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csulb-my.sharepoint.com/personal/tess_monzon_csulb_edu/Documents/Desktop/"/>
    </mc:Choice>
  </mc:AlternateContent>
  <xr:revisionPtr revIDLastSave="30" documentId="8_{B9C35AD5-50B5-4AAD-B726-BA8E4D8F7641}" xr6:coauthVersionLast="47" xr6:coauthVersionMax="47" xr10:uidLastSave="{C3AD32C6-996A-4487-A00C-42A4763063E1}"/>
  <bookViews>
    <workbookView xWindow="-108" yWindow="-108" windowWidth="23256" windowHeight="12576" tabRatio="821" firstSheet="2" activeTab="2" xr2:uid="{00000000-000D-0000-FFFF-FFFF00000000}"/>
  </bookViews>
  <sheets>
    <sheet name="Interface" sheetId="1" state="hidden" r:id="rId1"/>
    <sheet name="DataSetting" sheetId="2" state="hidden" r:id="rId2"/>
    <sheet name="Summary" sheetId="3" r:id="rId3"/>
    <sheet name="OSR_Summary_18VAVWG" sheetId="4" state="hidden" r:id="rId4"/>
    <sheet name="OSR_Current ...69b7dd8c_1IEQKFK" sheetId="5" state="hidden" r:id="rId5"/>
    <sheet name="OSR_Div 1_7H47HR" sheetId="7" state="hidden" r:id="rId6"/>
    <sheet name="OSR_Div 3 (2)...4cb81c06_PBSMLS" sheetId="8" state="hidden" r:id="rId7"/>
    <sheet name="OSR_Div 2_1PQ800A" sheetId="10" state="hidden" r:id="rId8"/>
    <sheet name="OSR_Div 1 (2)...789fe994_2NV3KA" sheetId="11" state="hidden" r:id="rId9"/>
    <sheet name="OSR_Div 3_18723PH" sheetId="13" state="hidden" r:id="rId10"/>
    <sheet name="OSR_300 (2)_7...54cb56fc_UFX0O2" sheetId="14" state="hidden" r:id="rId11"/>
    <sheet name="OSR_300_IYZXI6" sheetId="16" state="hidden" r:id="rId12"/>
    <sheet name="OSR_310 (2)_5...3d931dee_QNK8R2" sheetId="17" state="hidden" r:id="rId13"/>
    <sheet name="OSR_300 &amp; 317_1C00ID4" sheetId="19" state="hidden" r:id="rId14"/>
    <sheet name="OSR_300 (2)_...6aa5a22d_14M6XO4" sheetId="20" state="hidden" r:id="rId15"/>
    <sheet name="OSR_310_1CMTOSB" sheetId="22" state="hidden" r:id="rId16"/>
    <sheet name="OSR_300 (2)_e...5d0da5bf_6BPGAO" sheetId="23" state="hidden" r:id="rId17"/>
    <sheet name="OSR_330_10VFP5Y" sheetId="25" state="hidden" r:id="rId18"/>
    <sheet name="OSR_310 (2)_...6e684f08_1FLCNJG" sheetId="26" state="hidden" r:id="rId19"/>
    <sheet name="OSR_308_UAWDAG" sheetId="28" state="hidden" r:id="rId20"/>
    <sheet name="OSR_330 (2)_...8a14c83e_1NSH7XI" sheetId="29" state="hidden" r:id="rId21"/>
    <sheet name="OSR_331_10VKQAJ" sheetId="31" state="hidden" r:id="rId22"/>
    <sheet name="OSR_308 (2)_...47685838_1YQW4QY" sheetId="32" state="hidden" r:id="rId23"/>
    <sheet name="OSR_332_6NDVBW" sheetId="34" state="hidden" r:id="rId24"/>
    <sheet name="OSR_331 (2)_...7280af70_1P5SPLT" sheetId="35" state="hidden" r:id="rId25"/>
    <sheet name="OSR_Div 4_1740TMT" sheetId="37" state="hidden" r:id="rId26"/>
    <sheet name="OSR_310 (2)_...8cac1423_1JTU33X" sheetId="38" state="hidden" r:id="rId27"/>
    <sheet name="OSR_310 &amp; 491_1NGRCS9" sheetId="40" state="hidden" r:id="rId28"/>
    <sheet name="OSR_491 (2)_...853a34aa_1UNC34K" sheetId="41" state="hidden" r:id="rId29"/>
    <sheet name="OSR_491_9Z9JH5" sheetId="43" state="hidden" r:id="rId30"/>
    <sheet name="OSR_Div 4 (2...2533da42_174R6QX" sheetId="44" state="hidden" r:id="rId31"/>
    <sheet name="OSR_492_943FP1" sheetId="46" state="hidden" r:id="rId32"/>
    <sheet name="OSR_Div 4 (2)...1a9a4454_CQFRNE" sheetId="47" state="hidden" r:id="rId33"/>
    <sheet name="OSR_Div 5_16NAZO2" sheetId="49" state="hidden" r:id="rId34"/>
    <sheet name="OSR_492 (2)_...cd97c6a6_13HYXEV" sheetId="50" state="hidden" r:id="rId35"/>
    <sheet name="OSR_Div 6_P37YY7" sheetId="52" state="hidden" r:id="rId36"/>
    <sheet name="OSR_Div 5 (2)...32d16c57_IVJ1QO" sheetId="53" state="hidden" r:id="rId37"/>
    <sheet name="Div 1" sheetId="6" r:id="rId38"/>
    <sheet name="100" sheetId="54" r:id="rId39"/>
    <sheet name="Div 2" sheetId="9" r:id="rId40"/>
    <sheet name="200" sheetId="55" r:id="rId41"/>
    <sheet name="201" sheetId="56" r:id="rId42"/>
    <sheet name="202" sheetId="57" r:id="rId43"/>
    <sheet name="203" sheetId="58" r:id="rId44"/>
    <sheet name="204" sheetId="59" r:id="rId45"/>
    <sheet name="205" sheetId="60" r:id="rId46"/>
    <sheet name="206" sheetId="61" r:id="rId47"/>
    <sheet name="Div 3" sheetId="12" r:id="rId48"/>
    <sheet name="300" sheetId="15" r:id="rId49"/>
    <sheet name="300 &amp; 317" sheetId="18" r:id="rId50"/>
    <sheet name="301" sheetId="62" r:id="rId51"/>
    <sheet name="330" sheetId="24" r:id="rId52"/>
    <sheet name="307" sheetId="63" r:id="rId53"/>
    <sheet name="308" sheetId="27" r:id="rId54"/>
    <sheet name="311" sheetId="65" r:id="rId55"/>
    <sheet name="324" sheetId="73" r:id="rId56"/>
    <sheet name="331" sheetId="30" r:id="rId57"/>
    <sheet name="315" sheetId="68" r:id="rId58"/>
    <sheet name="326" sheetId="75" r:id="rId59"/>
    <sheet name="332" sheetId="33" r:id="rId60"/>
    <sheet name="316" sheetId="69" r:id="rId61"/>
    <sheet name="Div 6" sheetId="51" r:id="rId62"/>
    <sheet name="317" sheetId="70" r:id="rId63"/>
    <sheet name="310" sheetId="21" r:id="rId64"/>
    <sheet name="309" sheetId="64" r:id="rId65"/>
    <sheet name="313" sheetId="66" r:id="rId66"/>
    <sheet name="321" sheetId="72" r:id="rId67"/>
    <sheet name="325" sheetId="74" r:id="rId68"/>
    <sheet name="Div 4" sheetId="36" r:id="rId69"/>
    <sheet name="310 &amp; 491" sheetId="39" r:id="rId70"/>
    <sheet name="491" sheetId="42" r:id="rId71"/>
    <sheet name="405" sheetId="76" r:id="rId72"/>
    <sheet name="411" sheetId="77" r:id="rId73"/>
    <sheet name="412" sheetId="78" r:id="rId74"/>
    <sheet name="413" sheetId="79" r:id="rId75"/>
    <sheet name="415" sheetId="80" r:id="rId76"/>
    <sheet name="418" sheetId="81" r:id="rId77"/>
    <sheet name="423" sheetId="82" r:id="rId78"/>
    <sheet name="424" sheetId="83" r:id="rId79"/>
    <sheet name="425" sheetId="84" r:id="rId80"/>
    <sheet name="455" sheetId="89" r:id="rId81"/>
    <sheet name="492" sheetId="45" r:id="rId82"/>
    <sheet name="430" sheetId="85" r:id="rId83"/>
    <sheet name="433" sheetId="86" r:id="rId84"/>
    <sheet name="444" sheetId="87" r:id="rId85"/>
    <sheet name="450" sheetId="88" r:id="rId86"/>
    <sheet name="Div 5" sheetId="48" r:id="rId87"/>
    <sheet name="501" sheetId="90" r:id="rId88"/>
    <sheet name="Dept" sheetId="91" state="hidden" r:id="rId89"/>
    <sheet name="OSR_Dept_Y0WUKY" sheetId="92" state="hidden" r:id="rId90"/>
    <sheet name="OSR_Summary (...56e5d78f_5JEYZH" sheetId="93" state="hidden" r:id="rId91"/>
  </sheets>
  <definedNames>
    <definedName name="OSRRefD13x_0" localSheetId="48">'300'!$D$13:$D$17</definedName>
    <definedName name="OSRRefD13x_0" localSheetId="49">'300 &amp; 317'!$D$13:$D$17</definedName>
    <definedName name="OSRRefD13x_0" localSheetId="52">'307'!$D$13:$D$14</definedName>
    <definedName name="OSRRefD13x_0" localSheetId="53">'308'!$D$13:$D$16</definedName>
    <definedName name="OSRRefD13x_0" localSheetId="63">'310'!$D$13:$D$14</definedName>
    <definedName name="OSRRefD13x_0" localSheetId="69">'310 &amp; 491'!$D$13:$D$16</definedName>
    <definedName name="OSRRefD13x_0" localSheetId="54">'311'!$D$13:$D$16</definedName>
    <definedName name="OSRRefD13x_0" localSheetId="57">'315'!$D$13:$D$16</definedName>
    <definedName name="OSRRefD13x_0" localSheetId="60">'316'!$D$13:$D$15</definedName>
    <definedName name="OSRRefD13x_0" localSheetId="62">'317'!$D$13:$D$16</definedName>
    <definedName name="OSRRefD13x_0" localSheetId="66">'321'!$D$13:$D$14</definedName>
    <definedName name="OSRRefD13x_0" localSheetId="55">'324'!$D$13:$D$14</definedName>
    <definedName name="OSRRefD13x_0" localSheetId="67">'325'!$D$13</definedName>
    <definedName name="OSRRefD13x_0" localSheetId="58">'326'!$D$13:$D$15</definedName>
    <definedName name="OSRRefD13x_0" localSheetId="51">'330'!$D$13:$D$14</definedName>
    <definedName name="OSRRefD13x_0" localSheetId="56">'331'!$D$13:$D$16</definedName>
    <definedName name="OSRRefD13x_0" localSheetId="59">'332'!$D$13:$D$15</definedName>
    <definedName name="OSRRefD13x_0" localSheetId="75">'415'!$D$13:$D$16</definedName>
    <definedName name="OSRRefD13x_0" localSheetId="76">'418'!$D$13:$D$14</definedName>
    <definedName name="OSRRefD13x_0" localSheetId="84">'444'!$D$13:$D$15</definedName>
    <definedName name="OSRRefD13x_0" localSheetId="70">'491'!$D$13:$D$16</definedName>
    <definedName name="OSRRefD13x_0" localSheetId="81">'492'!$D$13:$D$15</definedName>
    <definedName name="OSRRefD13x_0" localSheetId="87">'501'!$D$13</definedName>
    <definedName name="OSRRefD13x_0" localSheetId="47">'Div 3'!$D$13:$D$17</definedName>
    <definedName name="OSRRefD13x_0" localSheetId="68">'Div 4'!$D$13:$D$18</definedName>
    <definedName name="OSRRefD13x_0" localSheetId="86">'Div 5'!$D$13</definedName>
    <definedName name="OSRRefD13x_0" localSheetId="61">'Div 6'!$D$13:$D$16</definedName>
    <definedName name="OSRRefD13x_0" localSheetId="2">Summary!$D$13:$D$21</definedName>
    <definedName name="OSRRefD16x_0" localSheetId="48">'300'!$D$20:$D$40</definedName>
    <definedName name="OSRRefD16x_0" localSheetId="49">'300 &amp; 317'!$D$20:$D$46</definedName>
    <definedName name="OSRRefD16x_0" localSheetId="52">'307'!$D$17</definedName>
    <definedName name="OSRRefD16x_0" localSheetId="53">'308'!$D$19:$D$28</definedName>
    <definedName name="OSRRefD16x_0" localSheetId="63">'310'!$D$17:$D$18</definedName>
    <definedName name="OSRRefD16x_0" localSheetId="69">'310 &amp; 491'!$D$19:$D$21</definedName>
    <definedName name="OSRRefD16x_0" localSheetId="54">'311'!$D$19:$D$28</definedName>
    <definedName name="OSRRefD16x_0" localSheetId="57">'315'!$D$19:$D$33</definedName>
    <definedName name="OSRRefD16x_0" localSheetId="60">'316'!$D$18</definedName>
    <definedName name="OSRRefD16x_0" localSheetId="62">'317'!$D$19:$D$28</definedName>
    <definedName name="OSRRefD16x_0" localSheetId="66">'321'!$D$17</definedName>
    <definedName name="OSRRefD16x_0" localSheetId="55">'324'!$D$17</definedName>
    <definedName name="OSRRefD16x_0" localSheetId="67">'325'!$D$16</definedName>
    <definedName name="OSRRefD16x_0" localSheetId="58">'326'!$D$18:$D$19</definedName>
    <definedName name="OSRRefD16x_0" localSheetId="51">'330'!$D$17</definedName>
    <definedName name="OSRRefD16x_0" localSheetId="56">'331'!$D$19:$D$33</definedName>
    <definedName name="OSRRefD16x_0" localSheetId="59">'332'!$D$18</definedName>
    <definedName name="OSRRefD16x_0" localSheetId="71">'405'!$D$15</definedName>
    <definedName name="OSRRefD16x_0" localSheetId="75">'415'!$D$19:$D$21</definedName>
    <definedName name="OSRRefD16x_0" localSheetId="76">'418'!$D$17</definedName>
    <definedName name="OSRRefD16x_0" localSheetId="79">'425'!$D$15</definedName>
    <definedName name="OSRRefD16x_0" localSheetId="84">'444'!$D$18:$D$19</definedName>
    <definedName name="OSRRefD16x_0" localSheetId="70">'491'!$D$19:$D$21</definedName>
    <definedName name="OSRRefD16x_0" localSheetId="81">'492'!$D$18:$D$19</definedName>
    <definedName name="OSRRefD16x_0" localSheetId="47">'Div 3'!$D$20:$D$41</definedName>
    <definedName name="OSRRefD16x_0" localSheetId="68">'Div 4'!$D$21:$D$23</definedName>
    <definedName name="OSRRefD16x_0" localSheetId="61">'Div 6'!$D$19:$D$28</definedName>
    <definedName name="OSRRefD16x_0" localSheetId="2">Summary!$D$24:$D$52</definedName>
    <definedName name="OSRRefD22_0x_0" localSheetId="40">'200'!$D$20</definedName>
    <definedName name="OSRRefD22_0x_0" localSheetId="41">'201'!$D$20:$D$28</definedName>
    <definedName name="OSRRefD22_0x_0" localSheetId="42">'202'!$D$20:$D$28</definedName>
    <definedName name="OSRRefD22_0x_0" localSheetId="43">'203'!$D$20:$D$29</definedName>
    <definedName name="OSRRefD22_0x_0" localSheetId="44">'204'!$D$20:$D$28</definedName>
    <definedName name="OSRRefD22_0x_0" localSheetId="45">'205'!$D$20:$D$28</definedName>
    <definedName name="OSRRefD22_0x_0" localSheetId="46">'206'!$D$20:$D$28</definedName>
    <definedName name="OSRRefD22_0x_0" localSheetId="48">'300'!$D$46:$D$55</definedName>
    <definedName name="OSRRefD22_0x_0" localSheetId="49">'300 &amp; 317'!$D$52:$D$61</definedName>
    <definedName name="OSRRefD22_0x_0" localSheetId="50">'301'!$D$20:$D$29</definedName>
    <definedName name="OSRRefD22_0x_0" localSheetId="52">'307'!$D$23:$D$30</definedName>
    <definedName name="OSRRefD22_0x_0" localSheetId="53">'308'!$D$34:$D$43</definedName>
    <definedName name="OSRRefD22_0x_0" localSheetId="64">'309'!$D$20</definedName>
    <definedName name="OSRRefD22_0x_0" localSheetId="63">'310'!$D$24:$D$31</definedName>
    <definedName name="OSRRefD22_0x_0" localSheetId="69">'310 &amp; 491'!$D$27:$D$35</definedName>
    <definedName name="OSRRefD22_0x_0" localSheetId="54">'311'!$D$34:$D$43</definedName>
    <definedName name="OSRRefD22_0x_0" localSheetId="65">'313'!$D$20</definedName>
    <definedName name="OSRRefD22_0x_0" localSheetId="57">'315'!$D$39:$D$47</definedName>
    <definedName name="OSRRefD22_0x_0" localSheetId="60">'316'!$D$24:$D$32</definedName>
    <definedName name="OSRRefD22_0x_0" localSheetId="62">'317'!$D$34:$D$43</definedName>
    <definedName name="OSRRefD22_0x_0" localSheetId="66">'321'!$D$23:$D$30</definedName>
    <definedName name="OSRRefD22_0x_0" localSheetId="67">'325'!$D$22:$D$29</definedName>
    <definedName name="OSRRefD22_0x_0" localSheetId="58">'326'!$D$25:$D$33</definedName>
    <definedName name="OSRRefD22_0x_0" localSheetId="51">'330'!$D$23:$D$30</definedName>
    <definedName name="OSRRefD22_0x_0" localSheetId="56">'331'!$D$39:$D$47</definedName>
    <definedName name="OSRRefD22_0x_0" localSheetId="59">'332'!$D$24:$D$32</definedName>
    <definedName name="OSRRefD22_0x_0" localSheetId="71">'405'!$D$21:$D$29</definedName>
    <definedName name="OSRRefD22_0x_0" localSheetId="72">'411'!$D$20:$D$28</definedName>
    <definedName name="OSRRefD22_0x_0" localSheetId="73">'412'!$D$20</definedName>
    <definedName name="OSRRefD22_0x_0" localSheetId="74">'413'!$D$20</definedName>
    <definedName name="OSRRefD22_0x_0" localSheetId="75">'415'!$D$27:$D$35</definedName>
    <definedName name="OSRRefD22_0x_0" localSheetId="76">'418'!$D$23:$D$31</definedName>
    <definedName name="OSRRefD22_0x_0" localSheetId="77">'423'!$D$20:$D$27</definedName>
    <definedName name="OSRRefD22_0x_0" localSheetId="78">'424'!$D$20</definedName>
    <definedName name="OSRRefD22_0x_0" localSheetId="79">'425'!$D$21</definedName>
    <definedName name="OSRRefD22_0x_0" localSheetId="82">'430'!$D$20:$D$28</definedName>
    <definedName name="OSRRefD22_0x_0" localSheetId="83">'433'!$D$20:$D$29</definedName>
    <definedName name="OSRRefD22_0x_0" localSheetId="84">'444'!$D$25:$D$34</definedName>
    <definedName name="OSRRefD22_0x_0" localSheetId="85">'450'!$D$20:$D$29</definedName>
    <definedName name="OSRRefD22_0x_0" localSheetId="70">'491'!$D$27:$D$35</definedName>
    <definedName name="OSRRefD22_0x_0" localSheetId="81">'492'!$D$25:$D$34</definedName>
    <definedName name="OSRRefD22_0x_0" localSheetId="87">'501'!$D$21:$D$29</definedName>
    <definedName name="OSRRefD22_0x_0" localSheetId="39">'Div 2'!$D$20:$D$30</definedName>
    <definedName name="OSRRefD22_0x_0" localSheetId="47">'Div 3'!$D$47:$D$56</definedName>
    <definedName name="OSRRefD22_0x_0" localSheetId="68">'Div 4'!$D$29:$D$38</definedName>
    <definedName name="OSRRefD22_0x_0" localSheetId="86">'Div 5'!$D$21:$D$29</definedName>
    <definedName name="OSRRefD22_0x_0" localSheetId="61">'Div 6'!$D$34:$D$43</definedName>
    <definedName name="OSRRefD22_0x_0" localSheetId="2">Summary!$D$58:$D$67</definedName>
    <definedName name="OSRRefD22_10x_0" localSheetId="41">'201'!$D$58</definedName>
    <definedName name="OSRRefD22_10x_0" localSheetId="42">'202'!$D$59</definedName>
    <definedName name="OSRRefD22_10x_0" localSheetId="43">'203'!$D$60</definedName>
    <definedName name="OSRRefD22_10x_0" localSheetId="48">'300'!$D$86:$D$87</definedName>
    <definedName name="OSRRefD22_10x_0" localSheetId="49">'300 &amp; 317'!$D$92:$D$93</definedName>
    <definedName name="OSRRefD22_10x_0" localSheetId="50">'301'!$D$59</definedName>
    <definedName name="OSRRefD22_10x_0" localSheetId="53">'308'!$D$74:$D$75</definedName>
    <definedName name="OSRRefD22_10x_0" localSheetId="63">'310'!$D$62</definedName>
    <definedName name="OSRRefD22_10x_0" localSheetId="69">'310 &amp; 491'!$D$65</definedName>
    <definedName name="OSRRefD22_10x_0" localSheetId="54">'311'!$D$74:$D$75</definedName>
    <definedName name="OSRRefD22_10x_0" localSheetId="57">'315'!$D$77</definedName>
    <definedName name="OSRRefD22_10x_0" localSheetId="67">'325'!$D$64:$D$65</definedName>
    <definedName name="OSRRefD22_10x_0" localSheetId="58">'326'!$D$62</definedName>
    <definedName name="OSRRefD22_10x_0" localSheetId="56">'331'!$D$78</definedName>
    <definedName name="OSRRefD22_10x_0" localSheetId="71">'405'!$D$64</definedName>
    <definedName name="OSRRefD22_10x_0" localSheetId="72">'411'!$D$60</definedName>
    <definedName name="OSRRefD22_10x_0" localSheetId="75">'415'!$D$65:$D$66</definedName>
    <definedName name="OSRRefD22_10x_0" localSheetId="76">'418'!$D$71:$D$72</definedName>
    <definedName name="OSRRefD22_10x_0" localSheetId="83">'433'!$D$62:$D$67</definedName>
    <definedName name="OSRRefD22_10x_0" localSheetId="84">'444'!$D$64:$D$67</definedName>
    <definedName name="OSRRefD22_10x_0" localSheetId="85">'450'!$D$66</definedName>
    <definedName name="OSRRefD22_10x_0" localSheetId="70">'491'!$D$65</definedName>
    <definedName name="OSRRefD22_10x_0" localSheetId="81">'492'!$D$63</definedName>
    <definedName name="OSRRefD22_10x_0" localSheetId="87">'501'!$D$59</definedName>
    <definedName name="OSRRefD22_10x_0" localSheetId="39">'Div 2'!$D$60</definedName>
    <definedName name="OSRRefD22_10x_0" localSheetId="47">'Div 3'!$D$87:$D$88</definedName>
    <definedName name="OSRRefD22_10x_0" localSheetId="68">'Div 4'!$D$68</definedName>
    <definedName name="OSRRefD22_10x_0" localSheetId="86">'Div 5'!$D$59</definedName>
    <definedName name="OSRRefD22_10x_0" localSheetId="2">Summary!$D$98:$D$99</definedName>
    <definedName name="OSRRefD22_11x_0" localSheetId="43">'203'!$D$62:$D$65</definedName>
    <definedName name="OSRRefD22_11x_0" localSheetId="48">'300'!$D$89:$D$90</definedName>
    <definedName name="OSRRefD22_11x_0" localSheetId="49">'300 &amp; 317'!$D$95:$D$96</definedName>
    <definedName name="OSRRefD22_11x_0" localSheetId="50">'301'!$D$61</definedName>
    <definedName name="OSRRefD22_11x_0" localSheetId="53">'308'!$D$77:$D$78</definedName>
    <definedName name="OSRRefD22_11x_0" localSheetId="63">'310'!$D$64:$D$68</definedName>
    <definedName name="OSRRefD22_11x_0" localSheetId="69">'310 &amp; 491'!$D$67:$D$68</definedName>
    <definedName name="OSRRefD22_11x_0" localSheetId="54">'311'!$D$77:$D$78</definedName>
    <definedName name="OSRRefD22_11x_0" localSheetId="57">'315'!$D$79:$D$81</definedName>
    <definedName name="OSRRefD22_11x_0" localSheetId="67">'325'!$D$67</definedName>
    <definedName name="OSRRefD22_11x_0" localSheetId="58">'326'!$D$64:$D$65</definedName>
    <definedName name="OSRRefD22_11x_0" localSheetId="56">'331'!$D$80</definedName>
    <definedName name="OSRRefD22_11x_0" localSheetId="72">'411'!$D$62</definedName>
    <definedName name="OSRRefD22_11x_0" localSheetId="75">'415'!$D$68:$D$71</definedName>
    <definedName name="OSRRefD22_11x_0" localSheetId="76">'418'!$D$74</definedName>
    <definedName name="OSRRefD22_11x_0" localSheetId="83">'433'!$D$69</definedName>
    <definedName name="OSRRefD22_11x_0" localSheetId="84">'444'!$D$69:$D$74</definedName>
    <definedName name="OSRRefD22_11x_0" localSheetId="85">'450'!$D$68</definedName>
    <definedName name="OSRRefD22_11x_0" localSheetId="70">'491'!$D$67:$D$68</definedName>
    <definedName name="OSRRefD22_11x_0" localSheetId="81">'492'!$D$65:$D$67</definedName>
    <definedName name="OSRRefD22_11x_0" localSheetId="87">'501'!$D$61:$D$62</definedName>
    <definedName name="OSRRefD22_11x_0" localSheetId="39">'Div 2'!$D$62</definedName>
    <definedName name="OSRRefD22_11x_0" localSheetId="47">'Div 3'!$D$90:$D$91</definedName>
    <definedName name="OSRRefD22_11x_0" localSheetId="68">'Div 4'!$D$70</definedName>
    <definedName name="OSRRefD22_11x_0" localSheetId="86">'Div 5'!$D$61:$D$62</definedName>
    <definedName name="OSRRefD22_11x_0" localSheetId="2">Summary!$D$101:$D$102</definedName>
    <definedName name="OSRRefD22_12x_0" localSheetId="43">'203'!$D$67</definedName>
    <definedName name="OSRRefD22_12x_0" localSheetId="48">'300'!$D$92</definedName>
    <definedName name="OSRRefD22_12x_0" localSheetId="49">'300 &amp; 317'!$D$98</definedName>
    <definedName name="OSRRefD22_12x_0" localSheetId="50">'301'!$D$63</definedName>
    <definedName name="OSRRefD22_12x_0" localSheetId="63">'310'!$D$70:$D$71</definedName>
    <definedName name="OSRRefD22_12x_0" localSheetId="69">'310 &amp; 491'!$D$70</definedName>
    <definedName name="OSRRefD22_12x_0" localSheetId="57">'315'!$D$83:$D$84</definedName>
    <definedName name="OSRRefD22_12x_0" localSheetId="58">'326'!$D$67:$D$68</definedName>
    <definedName name="OSRRefD22_12x_0" localSheetId="56">'331'!$D$82:$D$83</definedName>
    <definedName name="OSRRefD22_12x_0" localSheetId="72">'411'!$D$64</definedName>
    <definedName name="OSRRefD22_12x_0" localSheetId="75">'415'!$D$73</definedName>
    <definedName name="OSRRefD22_12x_0" localSheetId="76">'418'!$D$76</definedName>
    <definedName name="OSRRefD22_12x_0" localSheetId="84">'444'!$D$76</definedName>
    <definedName name="OSRRefD22_12x_0" localSheetId="70">'491'!$D$70:$D$74</definedName>
    <definedName name="OSRRefD22_12x_0" localSheetId="81">'492'!$D$69:$D$72</definedName>
    <definedName name="OSRRefD22_12x_0" localSheetId="87">'501'!$D$64</definedName>
    <definedName name="OSRRefD22_12x_0" localSheetId="39">'Div 2'!$D$64:$D$67</definedName>
    <definedName name="OSRRefD22_12x_0" localSheetId="47">'Div 3'!$D$93</definedName>
    <definedName name="OSRRefD22_12x_0" localSheetId="68">'Div 4'!$D$72</definedName>
    <definedName name="OSRRefD22_12x_0" localSheetId="86">'Div 5'!$D$64</definedName>
    <definedName name="OSRRefD22_12x_0" localSheetId="2">Summary!$D$104</definedName>
    <definedName name="OSRRefD22_13x_0" localSheetId="43">'203'!$D$69</definedName>
    <definedName name="OSRRefD22_13x_0" localSheetId="48">'300'!$D$94</definedName>
    <definedName name="OSRRefD22_13x_0" localSheetId="49">'300 &amp; 317'!$D$100</definedName>
    <definedName name="OSRRefD22_13x_0" localSheetId="50">'301'!$D$65:$D$68</definedName>
    <definedName name="OSRRefD22_13x_0" localSheetId="63">'310'!$D$73</definedName>
    <definedName name="OSRRefD22_13x_0" localSheetId="69">'310 &amp; 491'!$D$72:$D$76</definedName>
    <definedName name="OSRRefD22_13x_0" localSheetId="57">'315'!$D$86:$D$88</definedName>
    <definedName name="OSRRefD22_13x_0" localSheetId="58">'326'!$D$70:$D$71</definedName>
    <definedName name="OSRRefD22_13x_0" localSheetId="56">'331'!$D$85:$D$87</definedName>
    <definedName name="OSRRefD22_13x_0" localSheetId="75">'415'!$D$75:$D$78</definedName>
    <definedName name="OSRRefD22_13x_0" localSheetId="84">'444'!$D$78</definedName>
    <definedName name="OSRRefD22_13x_0" localSheetId="70">'491'!$D$76</definedName>
    <definedName name="OSRRefD22_13x_0" localSheetId="81">'492'!$D$74:$D$80</definedName>
    <definedName name="OSRRefD22_13x_0" localSheetId="39">'Div 2'!$D$69:$D$72</definedName>
    <definedName name="OSRRefD22_13x_0" localSheetId="47">'Div 3'!$D$95</definedName>
    <definedName name="OSRRefD22_13x_0" localSheetId="68">'Div 4'!$D$74:$D$76</definedName>
    <definedName name="OSRRefD22_13x_0" localSheetId="2">Summary!$D$106</definedName>
    <definedName name="OSRRefD22_14x_0" localSheetId="48">'300'!$D$96</definedName>
    <definedName name="OSRRefD22_14x_0" localSheetId="49">'300 &amp; 317'!$D$102</definedName>
    <definedName name="OSRRefD22_14x_0" localSheetId="50">'301'!$D$70:$D$71</definedName>
    <definedName name="OSRRefD22_14x_0" localSheetId="69">'310 &amp; 491'!$D$78</definedName>
    <definedName name="OSRRefD22_14x_0" localSheetId="57">'315'!$D$90</definedName>
    <definedName name="OSRRefD22_14x_0" localSheetId="58">'326'!$D$73:$D$75</definedName>
    <definedName name="OSRRefD22_14x_0" localSheetId="56">'331'!$D$89:$D$90</definedName>
    <definedName name="OSRRefD22_14x_0" localSheetId="75">'415'!$D$80:$D$81</definedName>
    <definedName name="OSRRefD22_14x_0" localSheetId="70">'491'!$D$78:$D$85</definedName>
    <definedName name="OSRRefD22_14x_0" localSheetId="81">'492'!$D$82:$D$83</definedName>
    <definedName name="OSRRefD22_14x_0" localSheetId="39">'Div 2'!$D$74:$D$75</definedName>
    <definedName name="OSRRefD22_14x_0" localSheetId="47">'Div 3'!$D$97</definedName>
    <definedName name="OSRRefD22_14x_0" localSheetId="68">'Div 4'!$D$78:$D$82</definedName>
    <definedName name="OSRRefD22_14x_0" localSheetId="2">Summary!$D$108</definedName>
    <definedName name="OSRRefD22_15x_0" localSheetId="48">'300'!$D$98</definedName>
    <definedName name="OSRRefD22_15x_0" localSheetId="49">'300 &amp; 317'!$D$104</definedName>
    <definedName name="OSRRefD22_15x_0" localSheetId="50">'301'!$D$73:$D$76</definedName>
    <definedName name="OSRRefD22_15x_0" localSheetId="69">'310 &amp; 491'!$D$80:$D$89</definedName>
    <definedName name="OSRRefD22_15x_0" localSheetId="57">'315'!$D$92</definedName>
    <definedName name="OSRRefD22_15x_0" localSheetId="58">'326'!$D$77</definedName>
    <definedName name="OSRRefD22_15x_0" localSheetId="56">'331'!$D$92:$D$93</definedName>
    <definedName name="OSRRefD22_15x_0" localSheetId="75">'415'!$D$83</definedName>
    <definedName name="OSRRefD22_15x_0" localSheetId="70">'491'!$D$87:$D$88</definedName>
    <definedName name="OSRRefD22_15x_0" localSheetId="81">'492'!$D$85</definedName>
    <definedName name="OSRRefD22_15x_0" localSheetId="39">'Div 2'!$D$77</definedName>
    <definedName name="OSRRefD22_15x_0" localSheetId="47">'Div 3'!$D$99</definedName>
    <definedName name="OSRRefD22_15x_0" localSheetId="68">'Div 4'!$D$84</definedName>
    <definedName name="OSRRefD22_15x_0" localSheetId="2">Summary!$D$110</definedName>
    <definedName name="OSRRefD22_16x_0" localSheetId="48">'300'!$D$100:$D$103</definedName>
    <definedName name="OSRRefD22_16x_0" localSheetId="49">'300 &amp; 317'!$D$106:$D$109</definedName>
    <definedName name="OSRRefD22_16x_0" localSheetId="50">'301'!$D$78</definedName>
    <definedName name="OSRRefD22_16x_0" localSheetId="69">'310 &amp; 491'!$D$91:$D$92</definedName>
    <definedName name="OSRRefD22_16x_0" localSheetId="58">'326'!$D$79:$D$80</definedName>
    <definedName name="OSRRefD22_16x_0" localSheetId="56">'331'!$D$95:$D$98</definedName>
    <definedName name="OSRRefD22_16x_0" localSheetId="75">'415'!$D$85</definedName>
    <definedName name="OSRRefD22_16x_0" localSheetId="70">'491'!$D$90</definedName>
    <definedName name="OSRRefD22_16x_0" localSheetId="39">'Div 2'!$D$79:$D$84</definedName>
    <definedName name="OSRRefD22_16x_0" localSheetId="47">'Div 3'!$D$101</definedName>
    <definedName name="OSRRefD22_16x_0" localSheetId="68">'Div 4'!$D$86:$D$94</definedName>
    <definedName name="OSRRefD22_16x_0" localSheetId="2">Summary!$D$112</definedName>
    <definedName name="OSRRefD22_17x_0" localSheetId="48">'300'!$D$105:$D$108</definedName>
    <definedName name="OSRRefD22_17x_0" localSheetId="49">'300 &amp; 317'!$D$111:$D$114</definedName>
    <definedName name="OSRRefD22_17x_0" localSheetId="50">'301'!$D$80</definedName>
    <definedName name="OSRRefD22_17x_0" localSheetId="69">'310 &amp; 491'!$D$94</definedName>
    <definedName name="OSRRefD22_17x_0" localSheetId="58">'326'!$D$82</definedName>
    <definedName name="OSRRefD22_17x_0" localSheetId="56">'331'!$D$100</definedName>
    <definedName name="OSRRefD22_17x_0" localSheetId="70">'491'!$D$92</definedName>
    <definedName name="OSRRefD22_17x_0" localSheetId="39">'Div 2'!$D$86:$D$87</definedName>
    <definedName name="OSRRefD22_17x_0" localSheetId="47">'Div 3'!$D$103:$D$106</definedName>
    <definedName name="OSRRefD22_17x_0" localSheetId="68">'Div 4'!$D$96:$D$97</definedName>
    <definedName name="OSRRefD22_17x_0" localSheetId="2">Summary!$D$114</definedName>
    <definedName name="OSRRefD22_18x_0" localSheetId="48">'300'!$D$110:$D$112</definedName>
    <definedName name="OSRRefD22_18x_0" localSheetId="49">'300 &amp; 317'!$D$116:$D$118</definedName>
    <definedName name="OSRRefD22_18x_0" localSheetId="50">'301'!$D$82</definedName>
    <definedName name="OSRRefD22_18x_0" localSheetId="69">'310 &amp; 491'!$D$96</definedName>
    <definedName name="OSRRefD22_18x_0" localSheetId="56">'331'!$D$102:$D$103</definedName>
    <definedName name="OSRRefD22_18x_0" localSheetId="39">'Div 2'!$D$89</definedName>
    <definedName name="OSRRefD22_18x_0" localSheetId="47">'Div 3'!$D$108:$D$111</definedName>
    <definedName name="OSRRefD22_18x_0" localSheetId="68">'Div 4'!$D$99</definedName>
    <definedName name="OSRRefD22_18x_0" localSheetId="2">Summary!$D$116:$D$119</definedName>
    <definedName name="OSRRefD22_19x_0" localSheetId="48">'300'!$D$114:$D$115</definedName>
    <definedName name="OSRRefD22_19x_0" localSheetId="49">'300 &amp; 317'!$D$120:$D$121</definedName>
    <definedName name="OSRRefD22_19x_0" localSheetId="56">'331'!$D$105</definedName>
    <definedName name="OSRRefD22_19x_0" localSheetId="39">'Div 2'!$D$91</definedName>
    <definedName name="OSRRefD22_19x_0" localSheetId="47">'Div 3'!$D$113:$D$115</definedName>
    <definedName name="OSRRefD22_19x_0" localSheetId="68">'Div 4'!$D$101</definedName>
    <definedName name="OSRRefD22_19x_0" localSheetId="2">Summary!$D$121:$D$124</definedName>
    <definedName name="OSRRefD22_1x_0" localSheetId="40">'200'!$D$22</definedName>
    <definedName name="OSRRefD22_1x_0" localSheetId="41">'201'!$D$30:$D$39</definedName>
    <definedName name="OSRRefD22_1x_0" localSheetId="42">'202'!$D$30:$D$39</definedName>
    <definedName name="OSRRefD22_1x_0" localSheetId="43">'203'!$D$31:$D$40</definedName>
    <definedName name="OSRRefD22_1x_0" localSheetId="44">'204'!$D$30:$D$39</definedName>
    <definedName name="OSRRefD22_1x_0" localSheetId="45">'205'!$D$30:$D$39</definedName>
    <definedName name="OSRRefD22_1x_0" localSheetId="46">'206'!$D$30:$D$39</definedName>
    <definedName name="OSRRefD22_1x_0" localSheetId="48">'300'!$D$57:$D$66</definedName>
    <definedName name="OSRRefD22_1x_0" localSheetId="49">'300 &amp; 317'!$D$63:$D$72</definedName>
    <definedName name="OSRRefD22_1x_0" localSheetId="50">'301'!$D$31:$D$40</definedName>
    <definedName name="OSRRefD22_1x_0" localSheetId="52">'307'!$D$32:$D$41</definedName>
    <definedName name="OSRRefD22_1x_0" localSheetId="53">'308'!$D$45:$D$54</definedName>
    <definedName name="OSRRefD22_1x_0" localSheetId="64">'309'!$D$22</definedName>
    <definedName name="OSRRefD22_1x_0" localSheetId="63">'310'!$D$33:$D$42</definedName>
    <definedName name="OSRRefD22_1x_0" localSheetId="69">'310 &amp; 491'!$D$37:$D$46</definedName>
    <definedName name="OSRRefD22_1x_0" localSheetId="54">'311'!$D$45:$D$54</definedName>
    <definedName name="OSRRefD22_1x_0" localSheetId="57">'315'!$D$49:$D$58</definedName>
    <definedName name="OSRRefD22_1x_0" localSheetId="60">'316'!$D$34:$D$43</definedName>
    <definedName name="OSRRefD22_1x_0" localSheetId="62">'317'!$D$45:$D$54</definedName>
    <definedName name="OSRRefD22_1x_0" localSheetId="66">'321'!$D$32:$D$41</definedName>
    <definedName name="OSRRefD22_1x_0" localSheetId="67">'325'!$D$31:$D$40</definedName>
    <definedName name="OSRRefD22_1x_0" localSheetId="58">'326'!$D$35:$D$44</definedName>
    <definedName name="OSRRefD22_1x_0" localSheetId="51">'330'!$D$32:$D$41</definedName>
    <definedName name="OSRRefD22_1x_0" localSheetId="56">'331'!$D$49:$D$58</definedName>
    <definedName name="OSRRefD22_1x_0" localSheetId="59">'332'!$D$34:$D$43</definedName>
    <definedName name="OSRRefD22_1x_0" localSheetId="71">'405'!$D$31:$D$40</definedName>
    <definedName name="OSRRefD22_1x_0" localSheetId="72">'411'!$D$30:$D$39</definedName>
    <definedName name="OSRRefD22_1x_0" localSheetId="73">'412'!$D$22</definedName>
    <definedName name="OSRRefD22_1x_0" localSheetId="74">'413'!$D$22</definedName>
    <definedName name="OSRRefD22_1x_0" localSheetId="75">'415'!$D$37:$D$46</definedName>
    <definedName name="OSRRefD22_1x_0" localSheetId="76">'418'!$D$33:$D$42</definedName>
    <definedName name="OSRRefD22_1x_0" localSheetId="77">'423'!$D$29:$D$38</definedName>
    <definedName name="OSRRefD22_1x_0" localSheetId="78">'424'!$D$22</definedName>
    <definedName name="OSRRefD22_1x_0" localSheetId="79">'425'!$D$23</definedName>
    <definedName name="OSRRefD22_1x_0" localSheetId="82">'430'!$D$30:$D$39</definedName>
    <definedName name="OSRRefD22_1x_0" localSheetId="83">'433'!$D$31:$D$40</definedName>
    <definedName name="OSRRefD22_1x_0" localSheetId="84">'444'!$D$36:$D$45</definedName>
    <definedName name="OSRRefD22_1x_0" localSheetId="85">'450'!$D$31:$D$40</definedName>
    <definedName name="OSRRefD22_1x_0" localSheetId="70">'491'!$D$37:$D$46</definedName>
    <definedName name="OSRRefD22_1x_0" localSheetId="81">'492'!$D$36:$D$45</definedName>
    <definedName name="OSRRefD22_1x_0" localSheetId="87">'501'!$D$31:$D$40</definedName>
    <definedName name="OSRRefD22_1x_0" localSheetId="39">'Div 2'!$D$32:$D$41</definedName>
    <definedName name="OSRRefD22_1x_0" localSheetId="47">'Div 3'!$D$58:$D$67</definedName>
    <definedName name="OSRRefD22_1x_0" localSheetId="68">'Div 4'!$D$40:$D$49</definedName>
    <definedName name="OSRRefD22_1x_0" localSheetId="86">'Div 5'!$D$31:$D$40</definedName>
    <definedName name="OSRRefD22_1x_0" localSheetId="61">'Div 6'!$D$45:$D$54</definedName>
    <definedName name="OSRRefD22_1x_0" localSheetId="2">Summary!$D$69:$D$78</definedName>
    <definedName name="OSRRefD22_20x_0" localSheetId="48">'300'!$D$117:$D$122</definedName>
    <definedName name="OSRRefD22_20x_0" localSheetId="49">'300 &amp; 317'!$D$123:$D$128</definedName>
    <definedName name="OSRRefD22_20x_0" localSheetId="47">'Div 3'!$D$117:$D$118</definedName>
    <definedName name="OSRRefD22_20x_0" localSheetId="2">Summary!$D$126:$D$130</definedName>
    <definedName name="OSRRefD22_21x_0" localSheetId="48">'300'!$D$124:$D$125</definedName>
    <definedName name="OSRRefD22_21x_0" localSheetId="49">'300 &amp; 317'!$D$130:$D$131</definedName>
    <definedName name="OSRRefD22_21x_0" localSheetId="47">'Div 3'!$D$120:$D$126</definedName>
    <definedName name="OSRRefD22_21x_0" localSheetId="2">Summary!$D$132:$D$133</definedName>
    <definedName name="OSRRefD22_22x_0" localSheetId="48">'300'!$D$127:$D$129</definedName>
    <definedName name="OSRRefD22_22x_0" localSheetId="49">'300 &amp; 317'!$D$133:$D$135</definedName>
    <definedName name="OSRRefD22_22x_0" localSheetId="47">'Div 3'!$D$128:$D$129</definedName>
    <definedName name="OSRRefD22_22x_0" localSheetId="2">Summary!$D$135:$D$144</definedName>
    <definedName name="OSRRefD22_23x_0" localSheetId="48">'300'!$D$131</definedName>
    <definedName name="OSRRefD22_23x_0" localSheetId="49">'300 &amp; 317'!$D$137</definedName>
    <definedName name="OSRRefD22_23x_0" localSheetId="47">'Div 3'!$D$131:$D$133</definedName>
    <definedName name="OSRRefD22_23x_0" localSheetId="2">Summary!$D$146:$D$147</definedName>
    <definedName name="OSRRefD22_24x_0" localSheetId="47">'Div 3'!$D$135</definedName>
    <definedName name="OSRRefD22_24x_0" localSheetId="2">Summary!$D$149</definedName>
    <definedName name="OSRRefD22_25x_0" localSheetId="2">Summary!$D$151:$D$153</definedName>
    <definedName name="OSRRefD22_26x_0" localSheetId="2">Summary!$D$155</definedName>
    <definedName name="OSRRefD22_2x_0" localSheetId="40">'200'!$D$24</definedName>
    <definedName name="OSRRefD22_2x_0" localSheetId="41">'201'!$D$41</definedName>
    <definedName name="OSRRefD22_2x_0" localSheetId="42">'202'!$D$41</definedName>
    <definedName name="OSRRefD22_2x_0" localSheetId="43">'203'!$D$42</definedName>
    <definedName name="OSRRefD22_2x_0" localSheetId="44">'204'!$D$41</definedName>
    <definedName name="OSRRefD22_2x_0" localSheetId="45">'205'!$D$41</definedName>
    <definedName name="OSRRefD22_2x_0" localSheetId="46">'206'!$D$41</definedName>
    <definedName name="OSRRefD22_2x_0" localSheetId="48">'300'!$D$68</definedName>
    <definedName name="OSRRefD22_2x_0" localSheetId="49">'300 &amp; 317'!$D$74</definedName>
    <definedName name="OSRRefD22_2x_0" localSheetId="50">'301'!$D$42</definedName>
    <definedName name="OSRRefD22_2x_0" localSheetId="52">'307'!$D$43</definedName>
    <definedName name="OSRRefD22_2x_0" localSheetId="53">'308'!$D$56</definedName>
    <definedName name="OSRRefD22_2x_0" localSheetId="64">'309'!$D$24</definedName>
    <definedName name="OSRRefD22_2x_0" localSheetId="63">'310'!$D$44</definedName>
    <definedName name="OSRRefD22_2x_0" localSheetId="69">'310 &amp; 491'!$D$48</definedName>
    <definedName name="OSRRefD22_2x_0" localSheetId="54">'311'!$D$56</definedName>
    <definedName name="OSRRefD22_2x_0" localSheetId="57">'315'!$D$60</definedName>
    <definedName name="OSRRefD22_2x_0" localSheetId="60">'316'!$D$45</definedName>
    <definedName name="OSRRefD22_2x_0" localSheetId="62">'317'!$D$56</definedName>
    <definedName name="OSRRefD22_2x_0" localSheetId="66">'321'!$D$43</definedName>
    <definedName name="OSRRefD22_2x_0" localSheetId="67">'325'!$D$42</definedName>
    <definedName name="OSRRefD22_2x_0" localSheetId="58">'326'!$D$46</definedName>
    <definedName name="OSRRefD22_2x_0" localSheetId="51">'330'!$D$43</definedName>
    <definedName name="OSRRefD22_2x_0" localSheetId="56">'331'!$D$60</definedName>
    <definedName name="OSRRefD22_2x_0" localSheetId="59">'332'!$D$45</definedName>
    <definedName name="OSRRefD22_2x_0" localSheetId="71">'405'!$D$42</definedName>
    <definedName name="OSRRefD22_2x_0" localSheetId="72">'411'!$D$41</definedName>
    <definedName name="OSRRefD22_2x_0" localSheetId="73">'412'!$D$24</definedName>
    <definedName name="OSRRefD22_2x_0" localSheetId="75">'415'!$D$48</definedName>
    <definedName name="OSRRefD22_2x_0" localSheetId="76">'418'!$D$44</definedName>
    <definedName name="OSRRefD22_2x_0" localSheetId="77">'423'!$D$40</definedName>
    <definedName name="OSRRefD22_2x_0" localSheetId="82">'430'!$D$41</definedName>
    <definedName name="OSRRefD22_2x_0" localSheetId="83">'433'!$D$42</definedName>
    <definedName name="OSRRefD22_2x_0" localSheetId="84">'444'!$D$47</definedName>
    <definedName name="OSRRefD22_2x_0" localSheetId="85">'450'!$D$42</definedName>
    <definedName name="OSRRefD22_2x_0" localSheetId="70">'491'!$D$48</definedName>
    <definedName name="OSRRefD22_2x_0" localSheetId="81">'492'!$D$47</definedName>
    <definedName name="OSRRefD22_2x_0" localSheetId="87">'501'!$D$42</definedName>
    <definedName name="OSRRefD22_2x_0" localSheetId="39">'Div 2'!$D$43</definedName>
    <definedName name="OSRRefD22_2x_0" localSheetId="47">'Div 3'!$D$69</definedName>
    <definedName name="OSRRefD22_2x_0" localSheetId="68">'Div 4'!$D$51</definedName>
    <definedName name="OSRRefD22_2x_0" localSheetId="86">'Div 5'!$D$42</definedName>
    <definedName name="OSRRefD22_2x_0" localSheetId="61">'Div 6'!$D$56</definedName>
    <definedName name="OSRRefD22_2x_0" localSheetId="2">Summary!$D$80</definedName>
    <definedName name="OSRRefD22_3x_0" localSheetId="40">'200'!$D$26:$D$27</definedName>
    <definedName name="OSRRefD22_3x_0" localSheetId="41">'201'!$D$43</definedName>
    <definedName name="OSRRefD22_3x_0" localSheetId="42">'202'!$D$43</definedName>
    <definedName name="OSRRefD22_3x_0" localSheetId="43">'203'!$D$44</definedName>
    <definedName name="OSRRefD22_3x_0" localSheetId="44">'204'!$D$43:$D$44</definedName>
    <definedName name="OSRRefD22_3x_0" localSheetId="45">'205'!$D$43</definedName>
    <definedName name="OSRRefD22_3x_0" localSheetId="46">'206'!$D$43</definedName>
    <definedName name="OSRRefD22_3x_0" localSheetId="48">'300'!$D$70</definedName>
    <definedName name="OSRRefD22_3x_0" localSheetId="49">'300 &amp; 317'!$D$76</definedName>
    <definedName name="OSRRefD22_3x_0" localSheetId="50">'301'!$D$44</definedName>
    <definedName name="OSRRefD22_3x_0" localSheetId="52">'307'!$D$45</definedName>
    <definedName name="OSRRefD22_3x_0" localSheetId="53">'308'!$D$58</definedName>
    <definedName name="OSRRefD22_3x_0" localSheetId="63">'310'!$D$46</definedName>
    <definedName name="OSRRefD22_3x_0" localSheetId="69">'310 &amp; 491'!$D$50</definedName>
    <definedName name="OSRRefD22_3x_0" localSheetId="54">'311'!$D$58</definedName>
    <definedName name="OSRRefD22_3x_0" localSheetId="57">'315'!$D$62</definedName>
    <definedName name="OSRRefD22_3x_0" localSheetId="60">'316'!$D$47</definedName>
    <definedName name="OSRRefD22_3x_0" localSheetId="62">'317'!$D$58</definedName>
    <definedName name="OSRRefD22_3x_0" localSheetId="66">'321'!$D$45</definedName>
    <definedName name="OSRRefD22_3x_0" localSheetId="67">'325'!$D$44</definedName>
    <definedName name="OSRRefD22_3x_0" localSheetId="58">'326'!$D$48</definedName>
    <definedName name="OSRRefD22_3x_0" localSheetId="51">'330'!$D$45</definedName>
    <definedName name="OSRRefD22_3x_0" localSheetId="56">'331'!$D$62</definedName>
    <definedName name="OSRRefD22_3x_0" localSheetId="59">'332'!$D$47</definedName>
    <definedName name="OSRRefD22_3x_0" localSheetId="71">'405'!$D$44</definedName>
    <definedName name="OSRRefD22_3x_0" localSheetId="72">'411'!$D$43:$D$44</definedName>
    <definedName name="OSRRefD22_3x_0" localSheetId="75">'415'!$D$50</definedName>
    <definedName name="OSRRefD22_3x_0" localSheetId="76">'418'!$D$46</definedName>
    <definedName name="OSRRefD22_3x_0" localSheetId="77">'423'!$D$42</definedName>
    <definedName name="OSRRefD22_3x_0" localSheetId="82">'430'!$D$43</definedName>
    <definedName name="OSRRefD22_3x_0" localSheetId="83">'433'!$D$44</definedName>
    <definedName name="OSRRefD22_3x_0" localSheetId="84">'444'!$D$49</definedName>
    <definedName name="OSRRefD22_3x_0" localSheetId="85">'450'!$D$44</definedName>
    <definedName name="OSRRefD22_3x_0" localSheetId="70">'491'!$D$50</definedName>
    <definedName name="OSRRefD22_3x_0" localSheetId="81">'492'!$D$49</definedName>
    <definedName name="OSRRefD22_3x_0" localSheetId="87">'501'!$D$44</definedName>
    <definedName name="OSRRefD22_3x_0" localSheetId="39">'Div 2'!$D$45</definedName>
    <definedName name="OSRRefD22_3x_0" localSheetId="47">'Div 3'!$D$71</definedName>
    <definedName name="OSRRefD22_3x_0" localSheetId="68">'Div 4'!$D$53</definedName>
    <definedName name="OSRRefD22_3x_0" localSheetId="86">'Div 5'!$D$44</definedName>
    <definedName name="OSRRefD22_3x_0" localSheetId="61">'Div 6'!$D$58</definedName>
    <definedName name="OSRRefD22_3x_0" localSheetId="2">Summary!$D$82</definedName>
    <definedName name="OSRRefD22_4x_0" localSheetId="41">'201'!$D$45</definedName>
    <definedName name="OSRRefD22_4x_0" localSheetId="42">'202'!$D$45</definedName>
    <definedName name="OSRRefD22_4x_0" localSheetId="43">'203'!$D$46</definedName>
    <definedName name="OSRRefD22_4x_0" localSheetId="44">'204'!$D$46</definedName>
    <definedName name="OSRRefD22_4x_0" localSheetId="45">'205'!$D$45:$D$46</definedName>
    <definedName name="OSRRefD22_4x_0" localSheetId="46">'206'!$D$45</definedName>
    <definedName name="OSRRefD22_4x_0" localSheetId="48">'300'!$D$72</definedName>
    <definedName name="OSRRefD22_4x_0" localSheetId="49">'300 &amp; 317'!$D$78</definedName>
    <definedName name="OSRRefD22_4x_0" localSheetId="50">'301'!$D$46:$D$47</definedName>
    <definedName name="OSRRefD22_4x_0" localSheetId="52">'307'!$D$47</definedName>
    <definedName name="OSRRefD22_4x_0" localSheetId="53">'308'!$D$60</definedName>
    <definedName name="OSRRefD22_4x_0" localSheetId="63">'310'!$D$48:$D$49</definedName>
    <definedName name="OSRRefD22_4x_0" localSheetId="69">'310 &amp; 491'!$D$52</definedName>
    <definedName name="OSRRefD22_4x_0" localSheetId="54">'311'!$D$60</definedName>
    <definedName name="OSRRefD22_4x_0" localSheetId="57">'315'!$D$64</definedName>
    <definedName name="OSRRefD22_4x_0" localSheetId="60">'316'!$D$49</definedName>
    <definedName name="OSRRefD22_4x_0" localSheetId="62">'317'!$D$60</definedName>
    <definedName name="OSRRefD22_4x_0" localSheetId="66">'321'!$D$47:$D$48</definedName>
    <definedName name="OSRRefD22_4x_0" localSheetId="67">'325'!$D$46:$D$47</definedName>
    <definedName name="OSRRefD22_4x_0" localSheetId="58">'326'!$D$50</definedName>
    <definedName name="OSRRefD22_4x_0" localSheetId="51">'330'!$D$47</definedName>
    <definedName name="OSRRefD22_4x_0" localSheetId="56">'331'!$D$64</definedName>
    <definedName name="OSRRefD22_4x_0" localSheetId="59">'332'!$D$49</definedName>
    <definedName name="OSRRefD22_4x_0" localSheetId="71">'405'!$D$46:$D$47</definedName>
    <definedName name="OSRRefD22_4x_0" localSheetId="72">'411'!$D$46</definedName>
    <definedName name="OSRRefD22_4x_0" localSheetId="75">'415'!$D$52</definedName>
    <definedName name="OSRRefD22_4x_0" localSheetId="76">'418'!$D$48:$D$49</definedName>
    <definedName name="OSRRefD22_4x_0" localSheetId="77">'423'!$D$44</definedName>
    <definedName name="OSRRefD22_4x_0" localSheetId="82">'430'!$D$45</definedName>
    <definedName name="OSRRefD22_4x_0" localSheetId="83">'433'!$D$46</definedName>
    <definedName name="OSRRefD22_4x_0" localSheetId="84">'444'!$D$51</definedName>
    <definedName name="OSRRefD22_4x_0" localSheetId="85">'450'!$D$46</definedName>
    <definedName name="OSRRefD22_4x_0" localSheetId="70">'491'!$D$52</definedName>
    <definedName name="OSRRefD22_4x_0" localSheetId="81">'492'!$D$51</definedName>
    <definedName name="OSRRefD22_4x_0" localSheetId="87">'501'!$D$46</definedName>
    <definedName name="OSRRefD22_4x_0" localSheetId="39">'Div 2'!$D$47</definedName>
    <definedName name="OSRRefD22_4x_0" localSheetId="47">'Div 3'!$D$73</definedName>
    <definedName name="OSRRefD22_4x_0" localSheetId="68">'Div 4'!$D$55</definedName>
    <definedName name="OSRRefD22_4x_0" localSheetId="86">'Div 5'!$D$46</definedName>
    <definedName name="OSRRefD22_4x_0" localSheetId="61">'Div 6'!$D$60</definedName>
    <definedName name="OSRRefD22_4x_0" localSheetId="2">Summary!$D$84</definedName>
    <definedName name="OSRRefD22_5x_0" localSheetId="41">'201'!$D$47</definedName>
    <definedName name="OSRRefD22_5x_0" localSheetId="42">'202'!$D$47</definedName>
    <definedName name="OSRRefD22_5x_0" localSheetId="43">'203'!$D$48</definedName>
    <definedName name="OSRRefD22_5x_0" localSheetId="44">'204'!$D$48:$D$50</definedName>
    <definedName name="OSRRefD22_5x_0" localSheetId="45">'205'!$D$48</definedName>
    <definedName name="OSRRefD22_5x_0" localSheetId="46">'206'!$D$47</definedName>
    <definedName name="OSRRefD22_5x_0" localSheetId="48">'300'!$D$74:$D$75</definedName>
    <definedName name="OSRRefD22_5x_0" localSheetId="49">'300 &amp; 317'!$D$80:$D$81</definedName>
    <definedName name="OSRRefD22_5x_0" localSheetId="50">'301'!$D$49</definedName>
    <definedName name="OSRRefD22_5x_0" localSheetId="52">'307'!$D$49</definedName>
    <definedName name="OSRRefD22_5x_0" localSheetId="53">'308'!$D$62</definedName>
    <definedName name="OSRRefD22_5x_0" localSheetId="63">'310'!$D$51</definedName>
    <definedName name="OSRRefD22_5x_0" localSheetId="69">'310 &amp; 491'!$D$54:$D$55</definedName>
    <definedName name="OSRRefD22_5x_0" localSheetId="54">'311'!$D$62</definedName>
    <definedName name="OSRRefD22_5x_0" localSheetId="57">'315'!$D$66</definedName>
    <definedName name="OSRRefD22_5x_0" localSheetId="60">'316'!$D$51:$D$52</definedName>
    <definedName name="OSRRefD22_5x_0" localSheetId="62">'317'!$D$62</definedName>
    <definedName name="OSRRefD22_5x_0" localSheetId="66">'321'!$D$50</definedName>
    <definedName name="OSRRefD22_5x_0" localSheetId="67">'325'!$D$49</definedName>
    <definedName name="OSRRefD22_5x_0" localSheetId="58">'326'!$D$52</definedName>
    <definedName name="OSRRefD22_5x_0" localSheetId="51">'330'!$D$49</definedName>
    <definedName name="OSRRefD22_5x_0" localSheetId="56">'331'!$D$66</definedName>
    <definedName name="OSRRefD22_5x_0" localSheetId="59">'332'!$D$51:$D$52</definedName>
    <definedName name="OSRRefD22_5x_0" localSheetId="71">'405'!$D$49</definedName>
    <definedName name="OSRRefD22_5x_0" localSheetId="72">'411'!$D$48</definedName>
    <definedName name="OSRRefD22_5x_0" localSheetId="75">'415'!$D$54:$D$55</definedName>
    <definedName name="OSRRefD22_5x_0" localSheetId="76">'418'!$D$51</definedName>
    <definedName name="OSRRefD22_5x_0" localSheetId="82">'430'!$D$47:$D$48</definedName>
    <definedName name="OSRRefD22_5x_0" localSheetId="83">'433'!$D$48</definedName>
    <definedName name="OSRRefD22_5x_0" localSheetId="84">'444'!$D$53</definedName>
    <definedName name="OSRRefD22_5x_0" localSheetId="85">'450'!$D$48</definedName>
    <definedName name="OSRRefD22_5x_0" localSheetId="70">'491'!$D$54:$D$55</definedName>
    <definedName name="OSRRefD22_5x_0" localSheetId="81">'492'!$D$53</definedName>
    <definedName name="OSRRefD22_5x_0" localSheetId="87">'501'!$D$48</definedName>
    <definedName name="OSRRefD22_5x_0" localSheetId="39">'Div 2'!$D$49:$D$50</definedName>
    <definedName name="OSRRefD22_5x_0" localSheetId="47">'Div 3'!$D$75:$D$76</definedName>
    <definedName name="OSRRefD22_5x_0" localSheetId="68">'Div 4'!$D$57:$D$58</definedName>
    <definedName name="OSRRefD22_5x_0" localSheetId="86">'Div 5'!$D$48</definedName>
    <definedName name="OSRRefD22_5x_0" localSheetId="61">'Div 6'!$D$62</definedName>
    <definedName name="OSRRefD22_5x_0" localSheetId="2">Summary!$D$86:$D$87</definedName>
    <definedName name="OSRRefD22_6x_0" localSheetId="41">'201'!$D$49</definedName>
    <definedName name="OSRRefD22_6x_0" localSheetId="42">'202'!$D$49:$D$51</definedName>
    <definedName name="OSRRefD22_6x_0" localSheetId="43">'203'!$D$50</definedName>
    <definedName name="OSRRefD22_6x_0" localSheetId="44">'204'!$D$52</definedName>
    <definedName name="OSRRefD22_6x_0" localSheetId="45">'205'!$D$50:$D$51</definedName>
    <definedName name="OSRRefD22_6x_0" localSheetId="46">'206'!$D$49:$D$50</definedName>
    <definedName name="OSRRefD22_6x_0" localSheetId="48">'300'!$D$77:$D$78</definedName>
    <definedName name="OSRRefD22_6x_0" localSheetId="49">'300 &amp; 317'!$D$83:$D$84</definedName>
    <definedName name="OSRRefD22_6x_0" localSheetId="50">'301'!$D$51</definedName>
    <definedName name="OSRRefD22_6x_0" localSheetId="52">'307'!$D$51</definedName>
    <definedName name="OSRRefD22_6x_0" localSheetId="53">'308'!$D$64</definedName>
    <definedName name="OSRRefD22_6x_0" localSheetId="63">'310'!$D$53</definedName>
    <definedName name="OSRRefD22_6x_0" localSheetId="69">'310 &amp; 491'!$D$57</definedName>
    <definedName name="OSRRefD22_6x_0" localSheetId="54">'311'!$D$64</definedName>
    <definedName name="OSRRefD22_6x_0" localSheetId="57">'315'!$D$68:$D$69</definedName>
    <definedName name="OSRRefD22_6x_0" localSheetId="60">'316'!$D$54:$D$55</definedName>
    <definedName name="OSRRefD22_6x_0" localSheetId="62">'317'!$D$64</definedName>
    <definedName name="OSRRefD22_6x_0" localSheetId="66">'321'!$D$52</definedName>
    <definedName name="OSRRefD22_6x_0" localSheetId="67">'325'!$D$51</definedName>
    <definedName name="OSRRefD22_6x_0" localSheetId="58">'326'!$D$54</definedName>
    <definedName name="OSRRefD22_6x_0" localSheetId="51">'330'!$D$51</definedName>
    <definedName name="OSRRefD22_6x_0" localSheetId="56">'331'!$D$68:$D$69</definedName>
    <definedName name="OSRRefD22_6x_0" localSheetId="59">'332'!$D$54:$D$55</definedName>
    <definedName name="OSRRefD22_6x_0" localSheetId="71">'405'!$D$51:$D$52</definedName>
    <definedName name="OSRRefD22_6x_0" localSheetId="72">'411'!$D$50</definedName>
    <definedName name="OSRRefD22_6x_0" localSheetId="75">'415'!$D$57</definedName>
    <definedName name="OSRRefD22_6x_0" localSheetId="76">'418'!$D$53</definedName>
    <definedName name="OSRRefD22_6x_0" localSheetId="82">'430'!$D$50</definedName>
    <definedName name="OSRRefD22_6x_0" localSheetId="83">'433'!$D$50</definedName>
    <definedName name="OSRRefD22_6x_0" localSheetId="84">'444'!$D$55</definedName>
    <definedName name="OSRRefD22_6x_0" localSheetId="85">'450'!$D$50</definedName>
    <definedName name="OSRRefD22_6x_0" localSheetId="70">'491'!$D$57</definedName>
    <definedName name="OSRRefD22_6x_0" localSheetId="81">'492'!$D$55</definedName>
    <definedName name="OSRRefD22_6x_0" localSheetId="87">'501'!$D$50</definedName>
    <definedName name="OSRRefD22_6x_0" localSheetId="39">'Div 2'!$D$52</definedName>
    <definedName name="OSRRefD22_6x_0" localSheetId="47">'Div 3'!$D$78:$D$79</definedName>
    <definedName name="OSRRefD22_6x_0" localSheetId="68">'Div 4'!$D$60</definedName>
    <definedName name="OSRRefD22_6x_0" localSheetId="86">'Div 5'!$D$50</definedName>
    <definedName name="OSRRefD22_6x_0" localSheetId="61">'Div 6'!$D$64</definedName>
    <definedName name="OSRRefD22_6x_0" localSheetId="2">Summary!$D$89:$D$90</definedName>
    <definedName name="OSRRefD22_7x_0" localSheetId="41">'201'!$D$51</definedName>
    <definedName name="OSRRefD22_7x_0" localSheetId="42">'202'!$D$53</definedName>
    <definedName name="OSRRefD22_7x_0" localSheetId="43">'203'!$D$52</definedName>
    <definedName name="OSRRefD22_7x_0" localSheetId="44">'204'!$D$54:$D$55</definedName>
    <definedName name="OSRRefD22_7x_0" localSheetId="45">'205'!$D$53</definedName>
    <definedName name="OSRRefD22_7x_0" localSheetId="46">'206'!$D$52</definedName>
    <definedName name="OSRRefD22_7x_0" localSheetId="48">'300'!$D$80</definedName>
    <definedName name="OSRRefD22_7x_0" localSheetId="49">'300 &amp; 317'!$D$86</definedName>
    <definedName name="OSRRefD22_7x_0" localSheetId="50">'301'!$D$53</definedName>
    <definedName name="OSRRefD22_7x_0" localSheetId="52">'307'!$D$53</definedName>
    <definedName name="OSRRefD22_7x_0" localSheetId="53">'308'!$D$66</definedName>
    <definedName name="OSRRefD22_7x_0" localSheetId="63">'310'!$D$55</definedName>
    <definedName name="OSRRefD22_7x_0" localSheetId="69">'310 &amp; 491'!$D$59</definedName>
    <definedName name="OSRRefD22_7x_0" localSheetId="54">'311'!$D$66</definedName>
    <definedName name="OSRRefD22_7x_0" localSheetId="57">'315'!$D$71</definedName>
    <definedName name="OSRRefD22_7x_0" localSheetId="60">'316'!$D$57</definedName>
    <definedName name="OSRRefD22_7x_0" localSheetId="62">'317'!$D$66</definedName>
    <definedName name="OSRRefD22_7x_0" localSheetId="66">'321'!$D$54</definedName>
    <definedName name="OSRRefD22_7x_0" localSheetId="67">'325'!$D$53</definedName>
    <definedName name="OSRRefD22_7x_0" localSheetId="58">'326'!$D$56</definedName>
    <definedName name="OSRRefD22_7x_0" localSheetId="51">'330'!$D$53</definedName>
    <definedName name="OSRRefD22_7x_0" localSheetId="56">'331'!$D$71:$D$72</definedName>
    <definedName name="OSRRefD22_7x_0" localSheetId="59">'332'!$D$57</definedName>
    <definedName name="OSRRefD22_7x_0" localSheetId="71">'405'!$D$54</definedName>
    <definedName name="OSRRefD22_7x_0" localSheetId="72">'411'!$D$52:$D$53</definedName>
    <definedName name="OSRRefD22_7x_0" localSheetId="75">'415'!$D$59</definedName>
    <definedName name="OSRRefD22_7x_0" localSheetId="76">'418'!$D$55:$D$56</definedName>
    <definedName name="OSRRefD22_7x_0" localSheetId="83">'433'!$D$52</definedName>
    <definedName name="OSRRefD22_7x_0" localSheetId="84">'444'!$D$57</definedName>
    <definedName name="OSRRefD22_7x_0" localSheetId="85">'450'!$D$52:$D$53</definedName>
    <definedName name="OSRRefD22_7x_0" localSheetId="70">'491'!$D$59</definedName>
    <definedName name="OSRRefD22_7x_0" localSheetId="81">'492'!$D$57</definedName>
    <definedName name="OSRRefD22_7x_0" localSheetId="87">'501'!$D$52</definedName>
    <definedName name="OSRRefD22_7x_0" localSheetId="39">'Div 2'!$D$54</definedName>
    <definedName name="OSRRefD22_7x_0" localSheetId="47">'Div 3'!$D$81</definedName>
    <definedName name="OSRRefD22_7x_0" localSheetId="68">'Div 4'!$D$62</definedName>
    <definedName name="OSRRefD22_7x_0" localSheetId="86">'Div 5'!$D$52</definedName>
    <definedName name="OSRRefD22_7x_0" localSheetId="61">'Div 6'!$D$66</definedName>
    <definedName name="OSRRefD22_7x_0" localSheetId="2">Summary!$D$92</definedName>
    <definedName name="OSRRefD22_8x_0" localSheetId="41">'201'!$D$53</definedName>
    <definedName name="OSRRefD22_8x_0" localSheetId="42">'202'!$D$55</definedName>
    <definedName name="OSRRefD22_8x_0" localSheetId="43">'203'!$D$54:$D$56</definedName>
    <definedName name="OSRRefD22_8x_0" localSheetId="48">'300'!$D$82</definedName>
    <definedName name="OSRRefD22_8x_0" localSheetId="49">'300 &amp; 317'!$D$88</definedName>
    <definedName name="OSRRefD22_8x_0" localSheetId="50">'301'!$D$55</definedName>
    <definedName name="OSRRefD22_8x_0" localSheetId="52">'307'!$D$55:$D$57</definedName>
    <definedName name="OSRRefD22_8x_0" localSheetId="53">'308'!$D$68:$D$70</definedName>
    <definedName name="OSRRefD22_8x_0" localSheetId="63">'310'!$D$57:$D$58</definedName>
    <definedName name="OSRRefD22_8x_0" localSheetId="69">'310 &amp; 491'!$D$61</definedName>
    <definedName name="OSRRefD22_8x_0" localSheetId="54">'311'!$D$68:$D$70</definedName>
    <definedName name="OSRRefD22_8x_0" localSheetId="57">'315'!$D$73</definedName>
    <definedName name="OSRRefD22_8x_0" localSheetId="60">'316'!$D$59:$D$62</definedName>
    <definedName name="OSRRefD22_8x_0" localSheetId="62">'317'!$D$68:$D$69</definedName>
    <definedName name="OSRRefD22_8x_0" localSheetId="67">'325'!$D$55:$D$56</definedName>
    <definedName name="OSRRefD22_8x_0" localSheetId="58">'326'!$D$58</definedName>
    <definedName name="OSRRefD22_8x_0" localSheetId="51">'330'!$D$55:$D$57</definedName>
    <definedName name="OSRRefD22_8x_0" localSheetId="56">'331'!$D$74</definedName>
    <definedName name="OSRRefD22_8x_0" localSheetId="59">'332'!$D$59:$D$62</definedName>
    <definedName name="OSRRefD22_8x_0" localSheetId="71">'405'!$D$56:$D$60</definedName>
    <definedName name="OSRRefD22_8x_0" localSheetId="72">'411'!$D$55:$D$56</definedName>
    <definedName name="OSRRefD22_8x_0" localSheetId="75">'415'!$D$61</definedName>
    <definedName name="OSRRefD22_8x_0" localSheetId="76">'418'!$D$58:$D$60</definedName>
    <definedName name="OSRRefD22_8x_0" localSheetId="83">'433'!$D$54:$D$55</definedName>
    <definedName name="OSRRefD22_8x_0" localSheetId="84">'444'!$D$59</definedName>
    <definedName name="OSRRefD22_8x_0" localSheetId="85">'450'!$D$55:$D$57</definedName>
    <definedName name="OSRRefD22_8x_0" localSheetId="70">'491'!$D$61</definedName>
    <definedName name="OSRRefD22_8x_0" localSheetId="81">'492'!$D$59</definedName>
    <definedName name="OSRRefD22_8x_0" localSheetId="87">'501'!$D$54</definedName>
    <definedName name="OSRRefD22_8x_0" localSheetId="39">'Div 2'!$D$56</definedName>
    <definedName name="OSRRefD22_8x_0" localSheetId="47">'Div 3'!$D$83</definedName>
    <definedName name="OSRRefD22_8x_0" localSheetId="68">'Div 4'!$D$64</definedName>
    <definedName name="OSRRefD22_8x_0" localSheetId="86">'Div 5'!$D$54</definedName>
    <definedName name="OSRRefD22_8x_0" localSheetId="61">'Div 6'!$D$68:$D$69</definedName>
    <definedName name="OSRRefD22_8x_0" localSheetId="2">Summary!$D$94</definedName>
    <definedName name="OSRRefD22_9x_0" localSheetId="41">'201'!$D$55:$D$56</definedName>
    <definedName name="OSRRefD22_9x_0" localSheetId="42">'202'!$D$57</definedName>
    <definedName name="OSRRefD22_9x_0" localSheetId="43">'203'!$D$58</definedName>
    <definedName name="OSRRefD22_9x_0" localSheetId="48">'300'!$D$84</definedName>
    <definedName name="OSRRefD22_9x_0" localSheetId="49">'300 &amp; 317'!$D$90</definedName>
    <definedName name="OSRRefD22_9x_0" localSheetId="50">'301'!$D$57</definedName>
    <definedName name="OSRRefD22_9x_0" localSheetId="52">'307'!$D$59</definedName>
    <definedName name="OSRRefD22_9x_0" localSheetId="53">'308'!$D$72</definedName>
    <definedName name="OSRRefD22_9x_0" localSheetId="63">'310'!$D$60</definedName>
    <definedName name="OSRRefD22_9x_0" localSheetId="69">'310 &amp; 491'!$D$63</definedName>
    <definedName name="OSRRefD22_9x_0" localSheetId="54">'311'!$D$72</definedName>
    <definedName name="OSRRefD22_9x_0" localSheetId="57">'315'!$D$75</definedName>
    <definedName name="OSRRefD22_9x_0" localSheetId="60">'316'!$D$64</definedName>
    <definedName name="OSRRefD22_9x_0" localSheetId="62">'317'!$D$71</definedName>
    <definedName name="OSRRefD22_9x_0" localSheetId="67">'325'!$D$58:$D$62</definedName>
    <definedName name="OSRRefD22_9x_0" localSheetId="58">'326'!$D$60</definedName>
    <definedName name="OSRRefD22_9x_0" localSheetId="51">'330'!$D$59</definedName>
    <definedName name="OSRRefD22_9x_0" localSheetId="56">'331'!$D$76</definedName>
    <definedName name="OSRRefD22_9x_0" localSheetId="59">'332'!$D$64</definedName>
    <definedName name="OSRRefD22_9x_0" localSheetId="71">'405'!$D$62</definedName>
    <definedName name="OSRRefD22_9x_0" localSheetId="72">'411'!$D$58</definedName>
    <definedName name="OSRRefD22_9x_0" localSheetId="75">'415'!$D$63</definedName>
    <definedName name="OSRRefD22_9x_0" localSheetId="76">'418'!$D$62:$D$69</definedName>
    <definedName name="OSRRefD22_9x_0" localSheetId="83">'433'!$D$57:$D$60</definedName>
    <definedName name="OSRRefD22_9x_0" localSheetId="84">'444'!$D$61:$D$62</definedName>
    <definedName name="OSRRefD22_9x_0" localSheetId="85">'450'!$D$59:$D$64</definedName>
    <definedName name="OSRRefD22_9x_0" localSheetId="70">'491'!$D$63</definedName>
    <definedName name="OSRRefD22_9x_0" localSheetId="81">'492'!$D$61</definedName>
    <definedName name="OSRRefD22_9x_0" localSheetId="87">'501'!$D$56:$D$57</definedName>
    <definedName name="OSRRefD22_9x_0" localSheetId="39">'Div 2'!$D$58</definedName>
    <definedName name="OSRRefD22_9x_0" localSheetId="47">'Div 3'!$D$85</definedName>
    <definedName name="OSRRefD22_9x_0" localSheetId="68">'Div 4'!$D$66</definedName>
    <definedName name="OSRRefD22_9x_0" localSheetId="86">'Div 5'!$D$56:$D$57</definedName>
    <definedName name="OSRRefD22_9x_0" localSheetId="61">'Div 6'!$D$71</definedName>
    <definedName name="OSRRefD22_9x_0" localSheetId="2">Summary!$D$96</definedName>
    <definedName name="OSRRefD22x_0" localSheetId="40">'200'!$D$20,'200'!$D$22,'200'!$D$24,'200'!$D$26:$D$27</definedName>
    <definedName name="OSRRefD22x_0" localSheetId="41">'201'!$D$20:$D$28,'201'!$D$30:$D$39,'201'!$D$41,'201'!$D$43,'201'!$D$45,'201'!$D$47,'201'!$D$49,'201'!$D$51,'201'!$D$53,'201'!$D$55:$D$56,'201'!$D$58</definedName>
    <definedName name="OSRRefD22x_0" localSheetId="42">'202'!$D$20:$D$28,'202'!$D$30:$D$39,'202'!$D$41,'202'!$D$43,'202'!$D$45,'202'!$D$47,'202'!$D$49:$D$51,'202'!$D$53,'202'!$D$55,'202'!$D$57,'202'!$D$59</definedName>
    <definedName name="OSRRefD22x_0" localSheetId="43">'203'!$D$20:$D$29,'203'!$D$31:$D$40,'203'!$D$42,'203'!$D$44,'203'!$D$46,'203'!$D$48,'203'!$D$50,'203'!$D$52,'203'!$D$54:$D$56,'203'!$D$58,'203'!$D$60,'203'!$D$62:$D$65,'203'!$D$67,'203'!$D$69</definedName>
    <definedName name="OSRRefD22x_0" localSheetId="44">'204'!$D$20:$D$28,'204'!$D$30:$D$39,'204'!$D$41,'204'!$D$43:$D$44,'204'!$D$46,'204'!$D$48:$D$50,'204'!$D$52,'204'!$D$54:$D$55</definedName>
    <definedName name="OSRRefD22x_0" localSheetId="45">'205'!$D$20:$D$28,'205'!$D$30:$D$39,'205'!$D$41,'205'!$D$43,'205'!$D$45:$D$46,'205'!$D$48,'205'!$D$50:$D$51,'205'!$D$53</definedName>
    <definedName name="OSRRefD22x_0" localSheetId="46">'206'!$D$20:$D$28,'206'!$D$30:$D$39,'206'!$D$41,'206'!$D$43,'206'!$D$45,'206'!$D$47,'206'!$D$49:$D$50,'206'!$D$52</definedName>
    <definedName name="OSRRefD22x_0" localSheetId="48">'300'!$D$46:$D$55,'300'!$D$57:$D$66,'300'!$D$68,'300'!$D$70,'300'!$D$72,'300'!$D$74:$D$75,'300'!$D$77:$D$78,'300'!$D$80,'300'!$D$82,'300'!$D$84,'300'!$D$86:$D$87,'300'!$D$89:$D$90,'300'!$D$92,'300'!$D$94,'300'!$D$96,'300'!$D$98,'300'!$D$100:$D$103,'300'!$D$105:$D$108,'300'!$D$110:$D$112,'300'!$D$114:$D$115,'300'!$D$117:$D$122,'300'!$D$124:$D$125,'300'!$D$127:$D$129,'300'!$D$131</definedName>
    <definedName name="OSRRefD22x_0" localSheetId="49">'300 &amp; 317'!$D$52:$D$61,'300 &amp; 317'!$D$63:$D$72,'300 &amp; 317'!$D$74,'300 &amp; 317'!$D$76,'300 &amp; 317'!$D$78,'300 &amp; 317'!$D$80:$D$81,'300 &amp; 317'!$D$83:$D$84,'300 &amp; 317'!$D$86,'300 &amp; 317'!$D$88,'300 &amp; 317'!$D$90,'300 &amp; 317'!$D$92:$D$93,'300 &amp; 317'!$D$95:$D$96,'300 &amp; 317'!$D$98,'300 &amp; 317'!$D$100,'300 &amp; 317'!$D$102,'300 &amp; 317'!$D$104,'300 &amp; 317'!$D$106:$D$109,'300 &amp; 317'!$D$111:$D$114,'300 &amp; 317'!$D$116:$D$118,'300 &amp; 317'!$D$120:$D$121,'300 &amp; 317'!$D$123:$D$128,'300 &amp; 317'!$D$130:$D$131,'300 &amp; 317'!$D$133:$D$135,'300 &amp; 317'!$D$137</definedName>
    <definedName name="OSRRefD22x_0" localSheetId="50">'301'!$D$20:$D$29,'301'!$D$31:$D$40,'301'!$D$42,'301'!$D$44,'301'!$D$46:$D$47,'301'!$D$49,'301'!$D$51,'301'!$D$53,'301'!$D$55,'301'!$D$57,'301'!$D$59,'301'!$D$61,'301'!$D$63,'301'!$D$65:$D$68,'301'!$D$70:$D$71,'301'!$D$73:$D$76,'301'!$D$78,'301'!$D$80,'301'!$D$82</definedName>
    <definedName name="OSRRefD22x_0" localSheetId="52">'307'!$D$23:$D$30,'307'!$D$32:$D$41,'307'!$D$43,'307'!$D$45,'307'!$D$47,'307'!$D$49,'307'!$D$51,'307'!$D$53,'307'!$D$55:$D$57,'307'!$D$59</definedName>
    <definedName name="OSRRefD22x_0" localSheetId="53">'308'!$D$34:$D$43,'308'!$D$45:$D$54,'308'!$D$56,'308'!$D$58,'308'!$D$60,'308'!$D$62,'308'!$D$64,'308'!$D$66,'308'!$D$68:$D$70,'308'!$D$72,'308'!$D$74:$D$75,'308'!$D$77:$D$78</definedName>
    <definedName name="OSRRefD22x_0" localSheetId="64">'309'!$D$20,'309'!$D$22,'309'!$D$24</definedName>
    <definedName name="OSRRefD22x_0" localSheetId="63">'310'!$D$24:$D$31,'310'!$D$33:$D$42,'310'!$D$44,'310'!$D$46,'310'!$D$48:$D$49,'310'!$D$51,'310'!$D$53,'310'!$D$55,'310'!$D$57:$D$58,'310'!$D$60,'310'!$D$62,'310'!$D$64:$D$68,'310'!$D$70:$D$71,'310'!$D$73</definedName>
    <definedName name="OSRRefD22x_0" localSheetId="69">'310 &amp; 491'!$D$27:$D$35,'310 &amp; 491'!$D$37:$D$46,'310 &amp; 491'!$D$48,'310 &amp; 491'!$D$50,'310 &amp; 491'!$D$52,'310 &amp; 491'!$D$54:$D$55,'310 &amp; 491'!$D$57,'310 &amp; 491'!$D$59,'310 &amp; 491'!$D$61,'310 &amp; 491'!$D$63,'310 &amp; 491'!$D$65,'310 &amp; 491'!$D$67:$D$68,'310 &amp; 491'!$D$70,'310 &amp; 491'!$D$72:$D$76,'310 &amp; 491'!$D$78,'310 &amp; 491'!$D$80:$D$89,'310 &amp; 491'!$D$91:$D$92,'310 &amp; 491'!$D$94,'310 &amp; 491'!$D$96</definedName>
    <definedName name="OSRRefD22x_0" localSheetId="54">'311'!$D$34:$D$43,'311'!$D$45:$D$54,'311'!$D$56,'311'!$D$58,'311'!$D$60,'311'!$D$62,'311'!$D$64,'311'!$D$66,'311'!$D$68:$D$70,'311'!$D$72,'311'!$D$74:$D$75,'311'!$D$77:$D$78</definedName>
    <definedName name="OSRRefD22x_0" localSheetId="65">'313'!$D$20</definedName>
    <definedName name="OSRRefD22x_0" localSheetId="57">'315'!$D$39:$D$47,'315'!$D$49:$D$58,'315'!$D$60,'315'!$D$62,'315'!$D$64,'315'!$D$66,'315'!$D$68:$D$69,'315'!$D$71,'315'!$D$73,'315'!$D$75,'315'!$D$77,'315'!$D$79:$D$81,'315'!$D$83:$D$84,'315'!$D$86:$D$88,'315'!$D$90,'315'!$D$92</definedName>
    <definedName name="OSRRefD22x_0" localSheetId="60">'316'!$D$24:$D$32,'316'!$D$34:$D$43,'316'!$D$45,'316'!$D$47,'316'!$D$49,'316'!$D$51:$D$52,'316'!$D$54:$D$55,'316'!$D$57,'316'!$D$59:$D$62,'316'!$D$64</definedName>
    <definedName name="OSRRefD22x_0" localSheetId="62">'317'!$D$34:$D$43,'317'!$D$45:$D$54,'317'!$D$56,'317'!$D$58,'317'!$D$60,'317'!$D$62,'317'!$D$64,'317'!$D$66,'317'!$D$68:$D$69,'317'!$D$71</definedName>
    <definedName name="OSRRefD22x_0" localSheetId="66">'321'!$D$23:$D$30,'321'!$D$32:$D$41,'321'!$D$43,'321'!$D$45,'321'!$D$47:$D$48,'321'!$D$50,'321'!$D$52,'321'!$D$54</definedName>
    <definedName name="OSRRefD22x_0" localSheetId="67">'325'!$D$22:$D$29,'325'!$D$31:$D$40,'325'!$D$42,'325'!$D$44,'325'!$D$46:$D$47,'325'!$D$49,'325'!$D$51,'325'!$D$53,'325'!$D$55:$D$56,'325'!$D$58:$D$62,'325'!$D$64:$D$65,'325'!$D$67</definedName>
    <definedName name="OSRRefD22x_0" localSheetId="58">'326'!$D$25:$D$33,'326'!$D$35:$D$44,'326'!$D$46,'326'!$D$48,'326'!$D$50,'326'!$D$52,'326'!$D$54,'326'!$D$56,'326'!$D$58,'326'!$D$60,'326'!$D$62,'326'!$D$64:$D$65,'326'!$D$67:$D$68,'326'!$D$70:$D$71,'326'!$D$73:$D$75,'326'!$D$77,'326'!$D$79:$D$80,'326'!$D$82</definedName>
    <definedName name="OSRRefD22x_0" localSheetId="51">'330'!$D$23:$D$30,'330'!$D$32:$D$41,'330'!$D$43,'330'!$D$45,'330'!$D$47,'330'!$D$49,'330'!$D$51,'330'!$D$53,'330'!$D$55:$D$57,'330'!$D$59</definedName>
    <definedName name="OSRRefD22x_0" localSheetId="56">'331'!$D$39:$D$47,'331'!$D$49:$D$58,'331'!$D$60,'331'!$D$62,'331'!$D$64,'331'!$D$66,'331'!$D$68:$D$69,'331'!$D$71:$D$72,'331'!$D$74,'331'!$D$76,'331'!$D$78,'331'!$D$80,'331'!$D$82:$D$83,'331'!$D$85:$D$87,'331'!$D$89:$D$90,'331'!$D$92:$D$93,'331'!$D$95:$D$98,'331'!$D$100,'331'!$D$102:$D$103,'331'!$D$105</definedName>
    <definedName name="OSRRefD22x_0" localSheetId="59">'332'!$D$24:$D$32,'332'!$D$34:$D$43,'332'!$D$45,'332'!$D$47,'332'!$D$49,'332'!$D$51:$D$52,'332'!$D$54:$D$55,'332'!$D$57,'332'!$D$59:$D$62,'332'!$D$64</definedName>
    <definedName name="OSRRefD22x_0" localSheetId="71">'405'!$D$21:$D$29,'405'!$D$31:$D$40,'405'!$D$42,'405'!$D$44,'405'!$D$46:$D$47,'405'!$D$49,'405'!$D$51:$D$52,'405'!$D$54,'405'!$D$56:$D$60,'405'!$D$62,'405'!$D$64</definedName>
    <definedName name="OSRRefD22x_0" localSheetId="72">'411'!$D$20:$D$28,'411'!$D$30:$D$39,'411'!$D$41,'411'!$D$43:$D$44,'411'!$D$46,'411'!$D$48,'411'!$D$50,'411'!$D$52:$D$53,'411'!$D$55:$D$56,'411'!$D$58,'411'!$D$60,'411'!$D$62,'411'!$D$64</definedName>
    <definedName name="OSRRefD22x_0" localSheetId="73">'412'!$D$20,'412'!$D$22,'412'!$D$24</definedName>
    <definedName name="OSRRefD22x_0" localSheetId="74">'413'!$D$20,'413'!$D$22</definedName>
    <definedName name="OSRRefD22x_0" localSheetId="75">'415'!$D$27:$D$35,'415'!$D$37:$D$46,'415'!$D$48,'415'!$D$50,'415'!$D$52,'415'!$D$54:$D$55,'415'!$D$57,'415'!$D$59,'415'!$D$61,'415'!$D$63,'415'!$D$65:$D$66,'415'!$D$68:$D$71,'415'!$D$73,'415'!$D$75:$D$78,'415'!$D$80:$D$81,'415'!$D$83,'415'!$D$85</definedName>
    <definedName name="OSRRefD22x_0" localSheetId="76">'418'!$D$23:$D$31,'418'!$D$33:$D$42,'418'!$D$44,'418'!$D$46,'418'!$D$48:$D$49,'418'!$D$51,'418'!$D$53,'418'!$D$55:$D$56,'418'!$D$58:$D$60,'418'!$D$62:$D$69,'418'!$D$71:$D$72,'418'!$D$74,'418'!$D$76</definedName>
    <definedName name="OSRRefD22x_0" localSheetId="77">'423'!$D$20:$D$27,'423'!$D$29:$D$38,'423'!$D$40,'423'!$D$42,'423'!$D$44</definedName>
    <definedName name="OSRRefD22x_0" localSheetId="78">'424'!$D$20,'424'!$D$22</definedName>
    <definedName name="OSRRefD22x_0" localSheetId="79">'425'!$D$21,'425'!$D$23</definedName>
    <definedName name="OSRRefD22x_0" localSheetId="82">'430'!$D$20:$D$28,'430'!$D$30:$D$39,'430'!$D$41,'430'!$D$43,'430'!$D$45,'430'!$D$47:$D$48,'430'!$D$50</definedName>
    <definedName name="OSRRefD22x_0" localSheetId="83">'433'!$D$20:$D$29,'433'!$D$31:$D$40,'433'!$D$42,'433'!$D$44,'433'!$D$46,'433'!$D$48,'433'!$D$50,'433'!$D$52,'433'!$D$54:$D$55,'433'!$D$57:$D$60,'433'!$D$62:$D$67,'433'!$D$69</definedName>
    <definedName name="OSRRefD22x_0" localSheetId="84">'444'!$D$25:$D$34,'444'!$D$36:$D$45,'444'!$D$47,'444'!$D$49,'444'!$D$51,'444'!$D$53,'444'!$D$55,'444'!$D$57,'444'!$D$59,'444'!$D$61:$D$62,'444'!$D$64:$D$67,'444'!$D$69:$D$74,'444'!$D$76,'444'!$D$78</definedName>
    <definedName name="OSRRefD22x_0" localSheetId="85">'450'!$D$20:$D$29,'450'!$D$31:$D$40,'450'!$D$42,'450'!$D$44,'450'!$D$46,'450'!$D$48,'450'!$D$50,'450'!$D$52:$D$53,'450'!$D$55:$D$57,'450'!$D$59:$D$64,'450'!$D$66,'450'!$D$68</definedName>
    <definedName name="OSRRefD22x_0" localSheetId="70">'491'!$D$27:$D$35,'491'!$D$37:$D$46,'491'!$D$48,'491'!$D$50,'491'!$D$52,'491'!$D$54:$D$55,'491'!$D$57,'491'!$D$59,'491'!$D$61,'491'!$D$63,'491'!$D$65,'491'!$D$67:$D$68,'491'!$D$70:$D$74,'491'!$D$76,'491'!$D$78:$D$85,'491'!$D$87:$D$88,'491'!$D$90,'491'!$D$92</definedName>
    <definedName name="OSRRefD22x_0" localSheetId="81">'492'!$D$25:$D$34,'492'!$D$36:$D$45,'492'!$D$47,'492'!$D$49,'492'!$D$51,'492'!$D$53,'492'!$D$55,'492'!$D$57,'492'!$D$59,'492'!$D$61,'492'!$D$63,'492'!$D$65:$D$67,'492'!$D$69:$D$72,'492'!$D$74:$D$80,'492'!$D$82:$D$83,'492'!$D$85</definedName>
    <definedName name="OSRRefD22x_0" localSheetId="87">'501'!$D$21:$D$29,'501'!$D$31:$D$40,'501'!$D$42,'501'!$D$44,'501'!$D$46,'501'!$D$48,'501'!$D$50,'501'!$D$52,'501'!$D$54,'501'!$D$56:$D$57,'501'!$D$59,'501'!$D$61:$D$62,'501'!$D$64</definedName>
    <definedName name="OSRRefD22x_0" localSheetId="39">'Div 2'!$D$20:$D$30,'Div 2'!$D$32:$D$41,'Div 2'!$D$43,'Div 2'!$D$45,'Div 2'!$D$47,'Div 2'!$D$49:$D$50,'Div 2'!$D$52,'Div 2'!$D$54,'Div 2'!$D$56,'Div 2'!$D$58,'Div 2'!$D$60,'Div 2'!$D$62,'Div 2'!$D$64:$D$67,'Div 2'!$D$69:$D$72,'Div 2'!$D$74:$D$75,'Div 2'!$D$77,'Div 2'!$D$79:$D$84,'Div 2'!$D$86:$D$87,'Div 2'!$D$89,'Div 2'!$D$91</definedName>
    <definedName name="OSRRefD22x_0" localSheetId="47">'Div 3'!$D$47:$D$56,'Div 3'!$D$58:$D$67,'Div 3'!$D$69,'Div 3'!$D$71,'Div 3'!$D$73,'Div 3'!$D$75:$D$76,'Div 3'!$D$78:$D$79,'Div 3'!$D$81,'Div 3'!$D$83,'Div 3'!$D$85,'Div 3'!$D$87:$D$88,'Div 3'!$D$90:$D$91,'Div 3'!$D$93,'Div 3'!$D$95,'Div 3'!$D$97,'Div 3'!$D$99,'Div 3'!$D$101,'Div 3'!$D$103:$D$106,'Div 3'!$D$108:$D$111,'Div 3'!$D$113:$D$115,'Div 3'!$D$117:$D$118,'Div 3'!$D$120:$D$126,'Div 3'!$D$128:$D$129,'Div 3'!$D$131:$D$133,'Div 3'!$D$135</definedName>
    <definedName name="OSRRefD22x_0" localSheetId="68">'Div 4'!$D$29:$D$38,'Div 4'!$D$40:$D$49,'Div 4'!$D$51,'Div 4'!$D$53,'Div 4'!$D$55,'Div 4'!$D$57:$D$58,'Div 4'!$D$60,'Div 4'!$D$62,'Div 4'!$D$64,'Div 4'!$D$66,'Div 4'!$D$68,'Div 4'!$D$70,'Div 4'!$D$72,'Div 4'!$D$74:$D$76,'Div 4'!$D$78:$D$82,'Div 4'!$D$84,'Div 4'!$D$86:$D$94,'Div 4'!$D$96:$D$97,'Div 4'!$D$99,'Div 4'!$D$101</definedName>
    <definedName name="OSRRefD22x_0" localSheetId="86">'Div 5'!$D$21:$D$29,'Div 5'!$D$31:$D$40,'Div 5'!$D$42,'Div 5'!$D$44,'Div 5'!$D$46,'Div 5'!$D$48,'Div 5'!$D$50,'Div 5'!$D$52,'Div 5'!$D$54,'Div 5'!$D$56:$D$57,'Div 5'!$D$59,'Div 5'!$D$61:$D$62,'Div 5'!$D$64</definedName>
    <definedName name="OSRRefD22x_0" localSheetId="61">'Div 6'!$D$34:$D$43,'Div 6'!$D$45:$D$54,'Div 6'!$D$56,'Div 6'!$D$58,'Div 6'!$D$60,'Div 6'!$D$62,'Div 6'!$D$64,'Div 6'!$D$66,'Div 6'!$D$68:$D$69,'Div 6'!$D$71</definedName>
    <definedName name="OSRRefD22x_0" localSheetId="2">Summary!$D$58:$D$67,Summary!$D$69:$D$78,Summary!$D$80,Summary!$D$82,Summary!$D$84,Summary!$D$86:$D$87,Summary!$D$89:$D$90,Summary!$D$92,Summary!$D$94,Summary!$D$96,Summary!$D$98:$D$99,Summary!$D$101:$D$102,Summary!$D$104,Summary!$D$106,Summary!$D$108,Summary!$D$110,Summary!$D$112,Summary!$D$114,Summary!$D$116:$D$119,Summary!$D$121:$D$124,Summary!$D$126:$D$130,Summary!$D$132:$D$133,Summary!$D$135:$D$144,Summary!$D$146:$D$147,Summary!$D$149,Summary!$D$151:$D$153,Summary!$D$155</definedName>
    <definedName name="OSRRefD25x_0" localSheetId="48">'300'!$D$134:$D$137</definedName>
    <definedName name="OSRRefD25x_0" localSheetId="49">'300 &amp; 317'!$D$140:$D$145</definedName>
    <definedName name="OSRRefD25x_0" localSheetId="50">'301'!$D$85</definedName>
    <definedName name="OSRRefD25x_0" localSheetId="53">'308'!$D$81:$D$83</definedName>
    <definedName name="OSRRefD25x_0" localSheetId="69">'310 &amp; 491'!$D$99:$D$100</definedName>
    <definedName name="OSRRefD25x_0" localSheetId="54">'311'!$D$81:$D$83</definedName>
    <definedName name="OSRRefD25x_0" localSheetId="57">'315'!$D$95:$D$97</definedName>
    <definedName name="OSRRefD25x_0" localSheetId="60">'316'!$D$67</definedName>
    <definedName name="OSRRefD25x_0" localSheetId="62">'317'!$D$74:$D$76</definedName>
    <definedName name="OSRRefD25x_0" localSheetId="56">'331'!$D$108:$D$110</definedName>
    <definedName name="OSRRefD25x_0" localSheetId="59">'332'!$D$67</definedName>
    <definedName name="OSRRefD25x_0" localSheetId="72">'411'!$D$67</definedName>
    <definedName name="OSRRefD25x_0" localSheetId="75">'415'!$D$88</definedName>
    <definedName name="OSRRefD25x_0" localSheetId="80">'455'!$D$21</definedName>
    <definedName name="OSRRefD25x_0" localSheetId="70">'491'!$D$95:$D$96</definedName>
    <definedName name="OSRRefD25x_0" localSheetId="87">'501'!$D$67</definedName>
    <definedName name="OSRRefD25x_0" localSheetId="47">'Div 3'!$D$138:$D$141</definedName>
    <definedName name="OSRRefD25x_0" localSheetId="68">'Div 4'!$D$104:$D$105</definedName>
    <definedName name="OSRRefD25x_0" localSheetId="86">'Div 5'!$D$67</definedName>
    <definedName name="OSRRefD25x_0" localSheetId="61">'Div 6'!$D$74:$D$76</definedName>
    <definedName name="OSRRefD25x_0" localSheetId="2">Summary!$D$158:$D$163</definedName>
    <definedName name="OSRRefH13x_0" localSheetId="48">'300'!$H$13:$H$17</definedName>
    <definedName name="OSRRefH13x_0" localSheetId="49">'300 &amp; 317'!$H$13:$H$17</definedName>
    <definedName name="OSRRefH13x_0" localSheetId="52">'307'!$H$13:$H$14</definedName>
    <definedName name="OSRRefH13x_0" localSheetId="53">'308'!$H$13:$H$16</definedName>
    <definedName name="OSRRefH13x_0" localSheetId="63">'310'!$H$13:$H$14</definedName>
    <definedName name="OSRRefH13x_0" localSheetId="69">'310 &amp; 491'!$H$13:$H$16</definedName>
    <definedName name="OSRRefH13x_0" localSheetId="54">'311'!$H$13:$H$16</definedName>
    <definedName name="OSRRefH13x_0" localSheetId="57">'315'!$H$13:$H$16</definedName>
    <definedName name="OSRRefH13x_0" localSheetId="60">'316'!$H$13:$H$15</definedName>
    <definedName name="OSRRefH13x_0" localSheetId="62">'317'!$H$13:$H$16</definedName>
    <definedName name="OSRRefH13x_0" localSheetId="66">'321'!$H$13:$H$14</definedName>
    <definedName name="OSRRefH13x_0" localSheetId="55">'324'!$H$13:$H$14</definedName>
    <definedName name="OSRRefH13x_0" localSheetId="67">'325'!$H$13</definedName>
    <definedName name="OSRRefH13x_0" localSheetId="58">'326'!$H$13:$H$15</definedName>
    <definedName name="OSRRefH13x_0" localSheetId="51">'330'!$H$13:$H$14</definedName>
    <definedName name="OSRRefH13x_0" localSheetId="56">'331'!$H$13:$H$16</definedName>
    <definedName name="OSRRefH13x_0" localSheetId="59">'332'!$H$13:$H$15</definedName>
    <definedName name="OSRRefH13x_0" localSheetId="75">'415'!$H$13:$H$16</definedName>
    <definedName name="OSRRefH13x_0" localSheetId="76">'418'!$H$13:$H$14</definedName>
    <definedName name="OSRRefH13x_0" localSheetId="84">'444'!$H$13:$H$15</definedName>
    <definedName name="OSRRefH13x_0" localSheetId="70">'491'!$H$13:$H$16</definedName>
    <definedName name="OSRRefH13x_0" localSheetId="81">'492'!$H$13:$H$15</definedName>
    <definedName name="OSRRefH13x_0" localSheetId="87">'501'!$H$13</definedName>
    <definedName name="OSRRefH13x_0" localSheetId="47">'Div 3'!$H$13:$H$17</definedName>
    <definedName name="OSRRefH13x_0" localSheetId="68">'Div 4'!$H$13:$H$18</definedName>
    <definedName name="OSRRefH13x_0" localSheetId="86">'Div 5'!$H$13</definedName>
    <definedName name="OSRRefH13x_0" localSheetId="61">'Div 6'!$H$13:$H$16</definedName>
    <definedName name="OSRRefH13x_0" localSheetId="2">Summary!$H$13:$H$21</definedName>
    <definedName name="OSRRefH16x_0" localSheetId="48">'300'!$H$20:$H$40</definedName>
    <definedName name="OSRRefH16x_0" localSheetId="49">'300 &amp; 317'!$H$20:$H$46</definedName>
    <definedName name="OSRRefH16x_0" localSheetId="52">'307'!$H$17</definedName>
    <definedName name="OSRRefH16x_0" localSheetId="53">'308'!$H$19:$H$28</definedName>
    <definedName name="OSRRefH16x_0" localSheetId="63">'310'!$H$17:$H$18</definedName>
    <definedName name="OSRRefH16x_0" localSheetId="69">'310 &amp; 491'!$H$19:$H$21</definedName>
    <definedName name="OSRRefH16x_0" localSheetId="54">'311'!$H$19:$H$28</definedName>
    <definedName name="OSRRefH16x_0" localSheetId="57">'315'!$H$19:$H$33</definedName>
    <definedName name="OSRRefH16x_0" localSheetId="60">'316'!$H$18</definedName>
    <definedName name="OSRRefH16x_0" localSheetId="62">'317'!$H$19:$H$28</definedName>
    <definedName name="OSRRefH16x_0" localSheetId="66">'321'!$H$17</definedName>
    <definedName name="OSRRefH16x_0" localSheetId="55">'324'!$H$17</definedName>
    <definedName name="OSRRefH16x_0" localSheetId="67">'325'!$H$16</definedName>
    <definedName name="OSRRefH16x_0" localSheetId="58">'326'!$H$18:$H$19</definedName>
    <definedName name="OSRRefH16x_0" localSheetId="51">'330'!$H$17</definedName>
    <definedName name="OSRRefH16x_0" localSheetId="56">'331'!$H$19:$H$33</definedName>
    <definedName name="OSRRefH16x_0" localSheetId="59">'332'!$H$18</definedName>
    <definedName name="OSRRefH16x_0" localSheetId="71">'405'!$H$15</definedName>
    <definedName name="OSRRefH16x_0" localSheetId="75">'415'!$H$19:$H$21</definedName>
    <definedName name="OSRRefH16x_0" localSheetId="76">'418'!$H$17</definedName>
    <definedName name="OSRRefH16x_0" localSheetId="79">'425'!$H$15</definedName>
    <definedName name="OSRRefH16x_0" localSheetId="84">'444'!$H$18:$H$19</definedName>
    <definedName name="OSRRefH16x_0" localSheetId="70">'491'!$H$19:$H$21</definedName>
    <definedName name="OSRRefH16x_0" localSheetId="81">'492'!$H$18:$H$19</definedName>
    <definedName name="OSRRefH16x_0" localSheetId="47">'Div 3'!$H$20:$H$41</definedName>
    <definedName name="OSRRefH16x_0" localSheetId="68">'Div 4'!$H$21:$H$23</definedName>
    <definedName name="OSRRefH16x_0" localSheetId="61">'Div 6'!$H$19:$H$28</definedName>
    <definedName name="OSRRefH16x_0" localSheetId="2">Summary!$H$24:$H$52</definedName>
    <definedName name="OSRRefH22_0x_0" localSheetId="40">'200'!$H$20</definedName>
    <definedName name="OSRRefH22_0x_0" localSheetId="41">'201'!$H$20:$H$28</definedName>
    <definedName name="OSRRefH22_0x_0" localSheetId="42">'202'!$H$20:$H$28</definedName>
    <definedName name="OSRRefH22_0x_0" localSheetId="43">'203'!$H$20:$H$29</definedName>
    <definedName name="OSRRefH22_0x_0" localSheetId="44">'204'!$H$20:$H$28</definedName>
    <definedName name="OSRRefH22_0x_0" localSheetId="45">'205'!$H$20:$H$28</definedName>
    <definedName name="OSRRefH22_0x_0" localSheetId="46">'206'!$H$20:$H$28</definedName>
    <definedName name="OSRRefH22_0x_0" localSheetId="48">'300'!$H$46:$H$55</definedName>
    <definedName name="OSRRefH22_0x_0" localSheetId="49">'300 &amp; 317'!$H$52:$H$61</definedName>
    <definedName name="OSRRefH22_0x_0" localSheetId="50">'301'!$H$20:$H$29</definedName>
    <definedName name="OSRRefH22_0x_0" localSheetId="52">'307'!$H$23:$H$30</definedName>
    <definedName name="OSRRefH22_0x_0" localSheetId="53">'308'!$H$34:$H$43</definedName>
    <definedName name="OSRRefH22_0x_0" localSheetId="64">'309'!$H$20</definedName>
    <definedName name="OSRRefH22_0x_0" localSheetId="63">'310'!$H$24:$H$31</definedName>
    <definedName name="OSRRefH22_0x_0" localSheetId="69">'310 &amp; 491'!$H$27:$H$35</definedName>
    <definedName name="OSRRefH22_0x_0" localSheetId="54">'311'!$H$34:$H$43</definedName>
    <definedName name="OSRRefH22_0x_0" localSheetId="65">'313'!$H$20</definedName>
    <definedName name="OSRRefH22_0x_0" localSheetId="57">'315'!$H$39:$H$47</definedName>
    <definedName name="OSRRefH22_0x_0" localSheetId="60">'316'!$H$24:$H$32</definedName>
    <definedName name="OSRRefH22_0x_0" localSheetId="62">'317'!$H$34:$H$43</definedName>
    <definedName name="OSRRefH22_0x_0" localSheetId="66">'321'!$H$23:$H$30</definedName>
    <definedName name="OSRRefH22_0x_0" localSheetId="67">'325'!$H$22:$H$29</definedName>
    <definedName name="OSRRefH22_0x_0" localSheetId="58">'326'!$H$25:$H$33</definedName>
    <definedName name="OSRRefH22_0x_0" localSheetId="51">'330'!$H$23:$H$30</definedName>
    <definedName name="OSRRefH22_0x_0" localSheetId="56">'331'!$H$39:$H$47</definedName>
    <definedName name="OSRRefH22_0x_0" localSheetId="59">'332'!$H$24:$H$32</definedName>
    <definedName name="OSRRefH22_0x_0" localSheetId="71">'405'!$H$21:$H$29</definedName>
    <definedName name="OSRRefH22_0x_0" localSheetId="72">'411'!$H$20:$H$28</definedName>
    <definedName name="OSRRefH22_0x_0" localSheetId="73">'412'!$H$20</definedName>
    <definedName name="OSRRefH22_0x_0" localSheetId="74">'413'!$H$20</definedName>
    <definedName name="OSRRefH22_0x_0" localSheetId="75">'415'!$H$27:$H$35</definedName>
    <definedName name="OSRRefH22_0x_0" localSheetId="76">'418'!$H$23:$H$31</definedName>
    <definedName name="OSRRefH22_0x_0" localSheetId="77">'423'!$H$20:$H$27</definedName>
    <definedName name="OSRRefH22_0x_0" localSheetId="78">'424'!$H$20</definedName>
    <definedName name="OSRRefH22_0x_0" localSheetId="79">'425'!$H$21</definedName>
    <definedName name="OSRRefH22_0x_0" localSheetId="82">'430'!$H$20:$H$28</definedName>
    <definedName name="OSRRefH22_0x_0" localSheetId="83">'433'!$H$20:$H$29</definedName>
    <definedName name="OSRRefH22_0x_0" localSheetId="84">'444'!$H$25:$H$34</definedName>
    <definedName name="OSRRefH22_0x_0" localSheetId="85">'450'!$H$20:$H$29</definedName>
    <definedName name="OSRRefH22_0x_0" localSheetId="70">'491'!$H$27:$H$35</definedName>
    <definedName name="OSRRefH22_0x_0" localSheetId="81">'492'!$H$25:$H$34</definedName>
    <definedName name="OSRRefH22_0x_0" localSheetId="87">'501'!$H$21:$H$29</definedName>
    <definedName name="OSRRefH22_0x_0" localSheetId="39">'Div 2'!$H$20:$H$30</definedName>
    <definedName name="OSRRefH22_0x_0" localSheetId="47">'Div 3'!$H$47:$H$56</definedName>
    <definedName name="OSRRefH22_0x_0" localSheetId="68">'Div 4'!$H$29:$H$38</definedName>
    <definedName name="OSRRefH22_0x_0" localSheetId="86">'Div 5'!$H$21:$H$29</definedName>
    <definedName name="OSRRefH22_0x_0" localSheetId="61">'Div 6'!$H$34:$H$43</definedName>
    <definedName name="OSRRefH22_0x_0" localSheetId="2">Summary!$H$58:$H$67</definedName>
    <definedName name="OSRRefH22_10x_0" localSheetId="41">'201'!$H$58</definedName>
    <definedName name="OSRRefH22_10x_0" localSheetId="42">'202'!$H$59</definedName>
    <definedName name="OSRRefH22_10x_0" localSheetId="43">'203'!$H$60</definedName>
    <definedName name="OSRRefH22_10x_0" localSheetId="48">'300'!$H$86:$H$87</definedName>
    <definedName name="OSRRefH22_10x_0" localSheetId="49">'300 &amp; 317'!$H$92:$H$93</definedName>
    <definedName name="OSRRefH22_10x_0" localSheetId="50">'301'!$H$59</definedName>
    <definedName name="OSRRefH22_10x_0" localSheetId="53">'308'!$H$74:$H$75</definedName>
    <definedName name="OSRRefH22_10x_0" localSheetId="63">'310'!$H$62</definedName>
    <definedName name="OSRRefH22_10x_0" localSheetId="69">'310 &amp; 491'!$H$65</definedName>
    <definedName name="OSRRefH22_10x_0" localSheetId="54">'311'!$H$74:$H$75</definedName>
    <definedName name="OSRRefH22_10x_0" localSheetId="57">'315'!$H$77</definedName>
    <definedName name="OSRRefH22_10x_0" localSheetId="67">'325'!$H$64:$H$65</definedName>
    <definedName name="OSRRefH22_10x_0" localSheetId="58">'326'!$H$62</definedName>
    <definedName name="OSRRefH22_10x_0" localSheetId="56">'331'!$H$78</definedName>
    <definedName name="OSRRefH22_10x_0" localSheetId="71">'405'!$H$64</definedName>
    <definedName name="OSRRefH22_10x_0" localSheetId="72">'411'!$H$60</definedName>
    <definedName name="OSRRefH22_10x_0" localSheetId="75">'415'!$H$65:$H$66</definedName>
    <definedName name="OSRRefH22_10x_0" localSheetId="76">'418'!$H$71:$H$72</definedName>
    <definedName name="OSRRefH22_10x_0" localSheetId="83">'433'!$H$62:$H$67</definedName>
    <definedName name="OSRRefH22_10x_0" localSheetId="84">'444'!$H$64:$H$67</definedName>
    <definedName name="OSRRefH22_10x_0" localSheetId="85">'450'!$H$66</definedName>
    <definedName name="OSRRefH22_10x_0" localSheetId="70">'491'!$H$65</definedName>
    <definedName name="OSRRefH22_10x_0" localSheetId="81">'492'!$H$63</definedName>
    <definedName name="OSRRefH22_10x_0" localSheetId="87">'501'!$H$59</definedName>
    <definedName name="OSRRefH22_10x_0" localSheetId="39">'Div 2'!$H$60</definedName>
    <definedName name="OSRRefH22_10x_0" localSheetId="47">'Div 3'!$H$87:$H$88</definedName>
    <definedName name="OSRRefH22_10x_0" localSheetId="68">'Div 4'!$H$68</definedName>
    <definedName name="OSRRefH22_10x_0" localSheetId="86">'Div 5'!$H$59</definedName>
    <definedName name="OSRRefH22_10x_0" localSheetId="2">Summary!$H$98:$H$99</definedName>
    <definedName name="OSRRefH22_11x_0" localSheetId="43">'203'!$H$62:$H$65</definedName>
    <definedName name="OSRRefH22_11x_0" localSheetId="48">'300'!$H$89:$H$90</definedName>
    <definedName name="OSRRefH22_11x_0" localSheetId="49">'300 &amp; 317'!$H$95:$H$96</definedName>
    <definedName name="OSRRefH22_11x_0" localSheetId="50">'301'!$H$61</definedName>
    <definedName name="OSRRefH22_11x_0" localSheetId="53">'308'!$H$77:$H$78</definedName>
    <definedName name="OSRRefH22_11x_0" localSheetId="63">'310'!$H$64:$H$68</definedName>
    <definedName name="OSRRefH22_11x_0" localSheetId="69">'310 &amp; 491'!$H$67:$H$68</definedName>
    <definedName name="OSRRefH22_11x_0" localSheetId="54">'311'!$H$77:$H$78</definedName>
    <definedName name="OSRRefH22_11x_0" localSheetId="57">'315'!$H$79:$H$81</definedName>
    <definedName name="OSRRefH22_11x_0" localSheetId="67">'325'!$H$67</definedName>
    <definedName name="OSRRefH22_11x_0" localSheetId="58">'326'!$H$64:$H$65</definedName>
    <definedName name="OSRRefH22_11x_0" localSheetId="56">'331'!$H$80</definedName>
    <definedName name="OSRRefH22_11x_0" localSheetId="72">'411'!$H$62</definedName>
    <definedName name="OSRRefH22_11x_0" localSheetId="75">'415'!$H$68:$H$71</definedName>
    <definedName name="OSRRefH22_11x_0" localSheetId="76">'418'!$H$74</definedName>
    <definedName name="OSRRefH22_11x_0" localSheetId="83">'433'!$H$69</definedName>
    <definedName name="OSRRefH22_11x_0" localSheetId="84">'444'!$H$69:$H$74</definedName>
    <definedName name="OSRRefH22_11x_0" localSheetId="85">'450'!$H$68</definedName>
    <definedName name="OSRRefH22_11x_0" localSheetId="70">'491'!$H$67:$H$68</definedName>
    <definedName name="OSRRefH22_11x_0" localSheetId="81">'492'!$H$65:$H$67</definedName>
    <definedName name="OSRRefH22_11x_0" localSheetId="87">'501'!$H$61:$H$62</definedName>
    <definedName name="OSRRefH22_11x_0" localSheetId="39">'Div 2'!$H$62</definedName>
    <definedName name="OSRRefH22_11x_0" localSheetId="47">'Div 3'!$H$90:$H$91</definedName>
    <definedName name="OSRRefH22_11x_0" localSheetId="68">'Div 4'!$H$70</definedName>
    <definedName name="OSRRefH22_11x_0" localSheetId="86">'Div 5'!$H$61:$H$62</definedName>
    <definedName name="OSRRefH22_11x_0" localSheetId="2">Summary!$H$101:$H$102</definedName>
    <definedName name="OSRRefH22_12x_0" localSheetId="43">'203'!$H$67</definedName>
    <definedName name="OSRRefH22_12x_0" localSheetId="48">'300'!$H$92</definedName>
    <definedName name="OSRRefH22_12x_0" localSheetId="49">'300 &amp; 317'!$H$98</definedName>
    <definedName name="OSRRefH22_12x_0" localSheetId="50">'301'!$H$63</definedName>
    <definedName name="OSRRefH22_12x_0" localSheetId="63">'310'!$H$70:$H$71</definedName>
    <definedName name="OSRRefH22_12x_0" localSheetId="69">'310 &amp; 491'!$H$70</definedName>
    <definedName name="OSRRefH22_12x_0" localSheetId="57">'315'!$H$83:$H$84</definedName>
    <definedName name="OSRRefH22_12x_0" localSheetId="58">'326'!$H$67:$H$68</definedName>
    <definedName name="OSRRefH22_12x_0" localSheetId="56">'331'!$H$82:$H$83</definedName>
    <definedName name="OSRRefH22_12x_0" localSheetId="72">'411'!$H$64</definedName>
    <definedName name="OSRRefH22_12x_0" localSheetId="75">'415'!$H$73</definedName>
    <definedName name="OSRRefH22_12x_0" localSheetId="76">'418'!$H$76</definedName>
    <definedName name="OSRRefH22_12x_0" localSheetId="84">'444'!$H$76</definedName>
    <definedName name="OSRRefH22_12x_0" localSheetId="70">'491'!$H$70:$H$74</definedName>
    <definedName name="OSRRefH22_12x_0" localSheetId="81">'492'!$H$69:$H$72</definedName>
    <definedName name="OSRRefH22_12x_0" localSheetId="87">'501'!$H$64</definedName>
    <definedName name="OSRRefH22_12x_0" localSheetId="39">'Div 2'!$H$64:$H$67</definedName>
    <definedName name="OSRRefH22_12x_0" localSheetId="47">'Div 3'!$H$93</definedName>
    <definedName name="OSRRefH22_12x_0" localSheetId="68">'Div 4'!$H$72</definedName>
    <definedName name="OSRRefH22_12x_0" localSheetId="86">'Div 5'!$H$64</definedName>
    <definedName name="OSRRefH22_12x_0" localSheetId="2">Summary!$H$104</definedName>
    <definedName name="OSRRefH22_13x_0" localSheetId="43">'203'!$H$69</definedName>
    <definedName name="OSRRefH22_13x_0" localSheetId="48">'300'!$H$94</definedName>
    <definedName name="OSRRefH22_13x_0" localSheetId="49">'300 &amp; 317'!$H$100</definedName>
    <definedName name="OSRRefH22_13x_0" localSheetId="50">'301'!$H$65:$H$68</definedName>
    <definedName name="OSRRefH22_13x_0" localSheetId="63">'310'!$H$73</definedName>
    <definedName name="OSRRefH22_13x_0" localSheetId="69">'310 &amp; 491'!$H$72:$H$76</definedName>
    <definedName name="OSRRefH22_13x_0" localSheetId="57">'315'!$H$86:$H$88</definedName>
    <definedName name="OSRRefH22_13x_0" localSheetId="58">'326'!$H$70:$H$71</definedName>
    <definedName name="OSRRefH22_13x_0" localSheetId="56">'331'!$H$85:$H$87</definedName>
    <definedName name="OSRRefH22_13x_0" localSheetId="75">'415'!$H$75:$H$78</definedName>
    <definedName name="OSRRefH22_13x_0" localSheetId="84">'444'!$H$78</definedName>
    <definedName name="OSRRefH22_13x_0" localSheetId="70">'491'!$H$76</definedName>
    <definedName name="OSRRefH22_13x_0" localSheetId="81">'492'!$H$74:$H$80</definedName>
    <definedName name="OSRRefH22_13x_0" localSheetId="39">'Div 2'!$H$69:$H$72</definedName>
    <definedName name="OSRRefH22_13x_0" localSheetId="47">'Div 3'!$H$95</definedName>
    <definedName name="OSRRefH22_13x_0" localSheetId="68">'Div 4'!$H$74:$H$76</definedName>
    <definedName name="OSRRefH22_13x_0" localSheetId="2">Summary!$H$106</definedName>
    <definedName name="OSRRefH22_14x_0" localSheetId="48">'300'!$H$96</definedName>
    <definedName name="OSRRefH22_14x_0" localSheetId="49">'300 &amp; 317'!$H$102</definedName>
    <definedName name="OSRRefH22_14x_0" localSheetId="50">'301'!$H$70:$H$71</definedName>
    <definedName name="OSRRefH22_14x_0" localSheetId="69">'310 &amp; 491'!$H$78</definedName>
    <definedName name="OSRRefH22_14x_0" localSheetId="57">'315'!$H$90</definedName>
    <definedName name="OSRRefH22_14x_0" localSheetId="58">'326'!$H$73:$H$75</definedName>
    <definedName name="OSRRefH22_14x_0" localSheetId="56">'331'!$H$89:$H$90</definedName>
    <definedName name="OSRRefH22_14x_0" localSheetId="75">'415'!$H$80:$H$81</definedName>
    <definedName name="OSRRefH22_14x_0" localSheetId="70">'491'!$H$78:$H$85</definedName>
    <definedName name="OSRRefH22_14x_0" localSheetId="81">'492'!$H$82:$H$83</definedName>
    <definedName name="OSRRefH22_14x_0" localSheetId="39">'Div 2'!$H$74:$H$75</definedName>
    <definedName name="OSRRefH22_14x_0" localSheetId="47">'Div 3'!$H$97</definedName>
    <definedName name="OSRRefH22_14x_0" localSheetId="68">'Div 4'!$H$78:$H$82</definedName>
    <definedName name="OSRRefH22_14x_0" localSheetId="2">Summary!$H$108</definedName>
    <definedName name="OSRRefH22_15x_0" localSheetId="48">'300'!$H$98</definedName>
    <definedName name="OSRRefH22_15x_0" localSheetId="49">'300 &amp; 317'!$H$104</definedName>
    <definedName name="OSRRefH22_15x_0" localSheetId="50">'301'!$H$73:$H$76</definedName>
    <definedName name="OSRRefH22_15x_0" localSheetId="69">'310 &amp; 491'!$H$80:$H$89</definedName>
    <definedName name="OSRRefH22_15x_0" localSheetId="57">'315'!$H$92</definedName>
    <definedName name="OSRRefH22_15x_0" localSheetId="58">'326'!$H$77</definedName>
    <definedName name="OSRRefH22_15x_0" localSheetId="56">'331'!$H$92:$H$93</definedName>
    <definedName name="OSRRefH22_15x_0" localSheetId="75">'415'!$H$83</definedName>
    <definedName name="OSRRefH22_15x_0" localSheetId="70">'491'!$H$87:$H$88</definedName>
    <definedName name="OSRRefH22_15x_0" localSheetId="81">'492'!$H$85</definedName>
    <definedName name="OSRRefH22_15x_0" localSheetId="39">'Div 2'!$H$77</definedName>
    <definedName name="OSRRefH22_15x_0" localSheetId="47">'Div 3'!$H$99</definedName>
    <definedName name="OSRRefH22_15x_0" localSheetId="68">'Div 4'!$H$84</definedName>
    <definedName name="OSRRefH22_15x_0" localSheetId="2">Summary!$H$110</definedName>
    <definedName name="OSRRefH22_16x_0" localSheetId="48">'300'!$H$100:$H$103</definedName>
    <definedName name="OSRRefH22_16x_0" localSheetId="49">'300 &amp; 317'!$H$106:$H$109</definedName>
    <definedName name="OSRRefH22_16x_0" localSheetId="50">'301'!$H$78</definedName>
    <definedName name="OSRRefH22_16x_0" localSheetId="69">'310 &amp; 491'!$H$91:$H$92</definedName>
    <definedName name="OSRRefH22_16x_0" localSheetId="58">'326'!$H$79:$H$80</definedName>
    <definedName name="OSRRefH22_16x_0" localSheetId="56">'331'!$H$95:$H$98</definedName>
    <definedName name="OSRRefH22_16x_0" localSheetId="75">'415'!$H$85</definedName>
    <definedName name="OSRRefH22_16x_0" localSheetId="70">'491'!$H$90</definedName>
    <definedName name="OSRRefH22_16x_0" localSheetId="39">'Div 2'!$H$79:$H$84</definedName>
    <definedName name="OSRRefH22_16x_0" localSheetId="47">'Div 3'!$H$101</definedName>
    <definedName name="OSRRefH22_16x_0" localSheetId="68">'Div 4'!$H$86:$H$94</definedName>
    <definedName name="OSRRefH22_16x_0" localSheetId="2">Summary!$H$112</definedName>
    <definedName name="OSRRefH22_17x_0" localSheetId="48">'300'!$H$105:$H$108</definedName>
    <definedName name="OSRRefH22_17x_0" localSheetId="49">'300 &amp; 317'!$H$111:$H$114</definedName>
    <definedName name="OSRRefH22_17x_0" localSheetId="50">'301'!$H$80</definedName>
    <definedName name="OSRRefH22_17x_0" localSheetId="69">'310 &amp; 491'!$H$94</definedName>
    <definedName name="OSRRefH22_17x_0" localSheetId="58">'326'!$H$82</definedName>
    <definedName name="OSRRefH22_17x_0" localSheetId="56">'331'!$H$100</definedName>
    <definedName name="OSRRefH22_17x_0" localSheetId="70">'491'!$H$92</definedName>
    <definedName name="OSRRefH22_17x_0" localSheetId="39">'Div 2'!$H$86:$H$87</definedName>
    <definedName name="OSRRefH22_17x_0" localSheetId="47">'Div 3'!$H$103:$H$106</definedName>
    <definedName name="OSRRefH22_17x_0" localSheetId="68">'Div 4'!$H$96:$H$97</definedName>
    <definedName name="OSRRefH22_17x_0" localSheetId="2">Summary!$H$114</definedName>
    <definedName name="OSRRefH22_18x_0" localSheetId="48">'300'!$H$110:$H$112</definedName>
    <definedName name="OSRRefH22_18x_0" localSheetId="49">'300 &amp; 317'!$H$116:$H$118</definedName>
    <definedName name="OSRRefH22_18x_0" localSheetId="50">'301'!$H$82</definedName>
    <definedName name="OSRRefH22_18x_0" localSheetId="69">'310 &amp; 491'!$H$96</definedName>
    <definedName name="OSRRefH22_18x_0" localSheetId="56">'331'!$H$102:$H$103</definedName>
    <definedName name="OSRRefH22_18x_0" localSheetId="39">'Div 2'!$H$89</definedName>
    <definedName name="OSRRefH22_18x_0" localSheetId="47">'Div 3'!$H$108:$H$111</definedName>
    <definedName name="OSRRefH22_18x_0" localSheetId="68">'Div 4'!$H$99</definedName>
    <definedName name="OSRRefH22_18x_0" localSheetId="2">Summary!$H$116:$H$119</definedName>
    <definedName name="OSRRefH22_19x_0" localSheetId="48">'300'!$H$114:$H$115</definedName>
    <definedName name="OSRRefH22_19x_0" localSheetId="49">'300 &amp; 317'!$H$120:$H$121</definedName>
    <definedName name="OSRRefH22_19x_0" localSheetId="56">'331'!$H$105</definedName>
    <definedName name="OSRRefH22_19x_0" localSheetId="39">'Div 2'!$H$91</definedName>
    <definedName name="OSRRefH22_19x_0" localSheetId="47">'Div 3'!$H$113:$H$115</definedName>
    <definedName name="OSRRefH22_19x_0" localSheetId="68">'Div 4'!$H$101</definedName>
    <definedName name="OSRRefH22_19x_0" localSheetId="2">Summary!$H$121:$H$124</definedName>
    <definedName name="OSRRefH22_1x_0" localSheetId="40">'200'!$H$22</definedName>
    <definedName name="OSRRefH22_1x_0" localSheetId="41">'201'!$H$30:$H$39</definedName>
    <definedName name="OSRRefH22_1x_0" localSheetId="42">'202'!$H$30:$H$39</definedName>
    <definedName name="OSRRefH22_1x_0" localSheetId="43">'203'!$H$31:$H$40</definedName>
    <definedName name="OSRRefH22_1x_0" localSheetId="44">'204'!$H$30:$H$39</definedName>
    <definedName name="OSRRefH22_1x_0" localSheetId="45">'205'!$H$30:$H$39</definedName>
    <definedName name="OSRRefH22_1x_0" localSheetId="46">'206'!$H$30:$H$39</definedName>
    <definedName name="OSRRefH22_1x_0" localSheetId="48">'300'!$H$57:$H$66</definedName>
    <definedName name="OSRRefH22_1x_0" localSheetId="49">'300 &amp; 317'!$H$63:$H$72</definedName>
    <definedName name="OSRRefH22_1x_0" localSheetId="50">'301'!$H$31:$H$40</definedName>
    <definedName name="OSRRefH22_1x_0" localSheetId="52">'307'!$H$32:$H$41</definedName>
    <definedName name="OSRRefH22_1x_0" localSheetId="53">'308'!$H$45:$H$54</definedName>
    <definedName name="OSRRefH22_1x_0" localSheetId="64">'309'!$H$22</definedName>
    <definedName name="OSRRefH22_1x_0" localSheetId="63">'310'!$H$33:$H$42</definedName>
    <definedName name="OSRRefH22_1x_0" localSheetId="69">'310 &amp; 491'!$H$37:$H$46</definedName>
    <definedName name="OSRRefH22_1x_0" localSheetId="54">'311'!$H$45:$H$54</definedName>
    <definedName name="OSRRefH22_1x_0" localSheetId="57">'315'!$H$49:$H$58</definedName>
    <definedName name="OSRRefH22_1x_0" localSheetId="60">'316'!$H$34:$H$43</definedName>
    <definedName name="OSRRefH22_1x_0" localSheetId="62">'317'!$H$45:$H$54</definedName>
    <definedName name="OSRRefH22_1x_0" localSheetId="66">'321'!$H$32:$H$41</definedName>
    <definedName name="OSRRefH22_1x_0" localSheetId="67">'325'!$H$31:$H$40</definedName>
    <definedName name="OSRRefH22_1x_0" localSheetId="58">'326'!$H$35:$H$44</definedName>
    <definedName name="OSRRefH22_1x_0" localSheetId="51">'330'!$H$32:$H$41</definedName>
    <definedName name="OSRRefH22_1x_0" localSheetId="56">'331'!$H$49:$H$58</definedName>
    <definedName name="OSRRefH22_1x_0" localSheetId="59">'332'!$H$34:$H$43</definedName>
    <definedName name="OSRRefH22_1x_0" localSheetId="71">'405'!$H$31:$H$40</definedName>
    <definedName name="OSRRefH22_1x_0" localSheetId="72">'411'!$H$30:$H$39</definedName>
    <definedName name="OSRRefH22_1x_0" localSheetId="73">'412'!$H$22</definedName>
    <definedName name="OSRRefH22_1x_0" localSheetId="74">'413'!$H$22</definedName>
    <definedName name="OSRRefH22_1x_0" localSheetId="75">'415'!$H$37:$H$46</definedName>
    <definedName name="OSRRefH22_1x_0" localSheetId="76">'418'!$H$33:$H$42</definedName>
    <definedName name="OSRRefH22_1x_0" localSheetId="77">'423'!$H$29:$H$38</definedName>
    <definedName name="OSRRefH22_1x_0" localSheetId="78">'424'!$H$22</definedName>
    <definedName name="OSRRefH22_1x_0" localSheetId="79">'425'!$H$23</definedName>
    <definedName name="OSRRefH22_1x_0" localSheetId="82">'430'!$H$30:$H$39</definedName>
    <definedName name="OSRRefH22_1x_0" localSheetId="83">'433'!$H$31:$H$40</definedName>
    <definedName name="OSRRefH22_1x_0" localSheetId="84">'444'!$H$36:$H$45</definedName>
    <definedName name="OSRRefH22_1x_0" localSheetId="85">'450'!$H$31:$H$40</definedName>
    <definedName name="OSRRefH22_1x_0" localSheetId="70">'491'!$H$37:$H$46</definedName>
    <definedName name="OSRRefH22_1x_0" localSheetId="81">'492'!$H$36:$H$45</definedName>
    <definedName name="OSRRefH22_1x_0" localSheetId="87">'501'!$H$31:$H$40</definedName>
    <definedName name="OSRRefH22_1x_0" localSheetId="39">'Div 2'!$H$32:$H$41</definedName>
    <definedName name="OSRRefH22_1x_0" localSheetId="47">'Div 3'!$H$58:$H$67</definedName>
    <definedName name="OSRRefH22_1x_0" localSheetId="68">'Div 4'!$H$40:$H$49</definedName>
    <definedName name="OSRRefH22_1x_0" localSheetId="86">'Div 5'!$H$31:$H$40</definedName>
    <definedName name="OSRRefH22_1x_0" localSheetId="61">'Div 6'!$H$45:$H$54</definedName>
    <definedName name="OSRRefH22_1x_0" localSheetId="2">Summary!$H$69:$H$78</definedName>
    <definedName name="OSRRefH22_20x_0" localSheetId="48">'300'!$H$117:$H$122</definedName>
    <definedName name="OSRRefH22_20x_0" localSheetId="49">'300 &amp; 317'!$H$123:$H$128</definedName>
    <definedName name="OSRRefH22_20x_0" localSheetId="47">'Div 3'!$H$117:$H$118</definedName>
    <definedName name="OSRRefH22_20x_0" localSheetId="2">Summary!$H$126:$H$130</definedName>
    <definedName name="OSRRefH22_21x_0" localSheetId="48">'300'!$H$124:$H$125</definedName>
    <definedName name="OSRRefH22_21x_0" localSheetId="49">'300 &amp; 317'!$H$130:$H$131</definedName>
    <definedName name="OSRRefH22_21x_0" localSheetId="47">'Div 3'!$H$120:$H$126</definedName>
    <definedName name="OSRRefH22_21x_0" localSheetId="2">Summary!$H$132:$H$133</definedName>
    <definedName name="OSRRefH22_22x_0" localSheetId="48">'300'!$H$127:$H$129</definedName>
    <definedName name="OSRRefH22_22x_0" localSheetId="49">'300 &amp; 317'!$H$133:$H$135</definedName>
    <definedName name="OSRRefH22_22x_0" localSheetId="47">'Div 3'!$H$128:$H$129</definedName>
    <definedName name="OSRRefH22_22x_0" localSheetId="2">Summary!$H$135:$H$144</definedName>
    <definedName name="OSRRefH22_23x_0" localSheetId="48">'300'!$H$131</definedName>
    <definedName name="OSRRefH22_23x_0" localSheetId="49">'300 &amp; 317'!$H$137</definedName>
    <definedName name="OSRRefH22_23x_0" localSheetId="47">'Div 3'!$H$131:$H$133</definedName>
    <definedName name="OSRRefH22_23x_0" localSheetId="2">Summary!$H$146:$H$147</definedName>
    <definedName name="OSRRefH22_24x_0" localSheetId="47">'Div 3'!$H$135</definedName>
    <definedName name="OSRRefH22_24x_0" localSheetId="2">Summary!$H$149</definedName>
    <definedName name="OSRRefH22_25x_0" localSheetId="2">Summary!$H$151:$H$153</definedName>
    <definedName name="OSRRefH22_26x_0" localSheetId="2">Summary!$H$155</definedName>
    <definedName name="OSRRefH22_2x_0" localSheetId="40">'200'!$H$24</definedName>
    <definedName name="OSRRefH22_2x_0" localSheetId="41">'201'!$H$41</definedName>
    <definedName name="OSRRefH22_2x_0" localSheetId="42">'202'!$H$41</definedName>
    <definedName name="OSRRefH22_2x_0" localSheetId="43">'203'!$H$42</definedName>
    <definedName name="OSRRefH22_2x_0" localSheetId="44">'204'!$H$41</definedName>
    <definedName name="OSRRefH22_2x_0" localSheetId="45">'205'!$H$41</definedName>
    <definedName name="OSRRefH22_2x_0" localSheetId="46">'206'!$H$41</definedName>
    <definedName name="OSRRefH22_2x_0" localSheetId="48">'300'!$H$68</definedName>
    <definedName name="OSRRefH22_2x_0" localSheetId="49">'300 &amp; 317'!$H$74</definedName>
    <definedName name="OSRRefH22_2x_0" localSheetId="50">'301'!$H$42</definedName>
    <definedName name="OSRRefH22_2x_0" localSheetId="52">'307'!$H$43</definedName>
    <definedName name="OSRRefH22_2x_0" localSheetId="53">'308'!$H$56</definedName>
    <definedName name="OSRRefH22_2x_0" localSheetId="64">'309'!$H$24</definedName>
    <definedName name="OSRRefH22_2x_0" localSheetId="63">'310'!$H$44</definedName>
    <definedName name="OSRRefH22_2x_0" localSheetId="69">'310 &amp; 491'!$H$48</definedName>
    <definedName name="OSRRefH22_2x_0" localSheetId="54">'311'!$H$56</definedName>
    <definedName name="OSRRefH22_2x_0" localSheetId="57">'315'!$H$60</definedName>
    <definedName name="OSRRefH22_2x_0" localSheetId="60">'316'!$H$45</definedName>
    <definedName name="OSRRefH22_2x_0" localSheetId="62">'317'!$H$56</definedName>
    <definedName name="OSRRefH22_2x_0" localSheetId="66">'321'!$H$43</definedName>
    <definedName name="OSRRefH22_2x_0" localSheetId="67">'325'!$H$42</definedName>
    <definedName name="OSRRefH22_2x_0" localSheetId="58">'326'!$H$46</definedName>
    <definedName name="OSRRefH22_2x_0" localSheetId="51">'330'!$H$43</definedName>
    <definedName name="OSRRefH22_2x_0" localSheetId="56">'331'!$H$60</definedName>
    <definedName name="OSRRefH22_2x_0" localSheetId="59">'332'!$H$45</definedName>
    <definedName name="OSRRefH22_2x_0" localSheetId="71">'405'!$H$42</definedName>
    <definedName name="OSRRefH22_2x_0" localSheetId="72">'411'!$H$41</definedName>
    <definedName name="OSRRefH22_2x_0" localSheetId="73">'412'!$H$24</definedName>
    <definedName name="OSRRefH22_2x_0" localSheetId="75">'415'!$H$48</definedName>
    <definedName name="OSRRefH22_2x_0" localSheetId="76">'418'!$H$44</definedName>
    <definedName name="OSRRefH22_2x_0" localSheetId="77">'423'!$H$40</definedName>
    <definedName name="OSRRefH22_2x_0" localSheetId="82">'430'!$H$41</definedName>
    <definedName name="OSRRefH22_2x_0" localSheetId="83">'433'!$H$42</definedName>
    <definedName name="OSRRefH22_2x_0" localSheetId="84">'444'!$H$47</definedName>
    <definedName name="OSRRefH22_2x_0" localSheetId="85">'450'!$H$42</definedName>
    <definedName name="OSRRefH22_2x_0" localSheetId="70">'491'!$H$48</definedName>
    <definedName name="OSRRefH22_2x_0" localSheetId="81">'492'!$H$47</definedName>
    <definedName name="OSRRefH22_2x_0" localSheetId="87">'501'!$H$42</definedName>
    <definedName name="OSRRefH22_2x_0" localSheetId="39">'Div 2'!$H$43</definedName>
    <definedName name="OSRRefH22_2x_0" localSheetId="47">'Div 3'!$H$69</definedName>
    <definedName name="OSRRefH22_2x_0" localSheetId="68">'Div 4'!$H$51</definedName>
    <definedName name="OSRRefH22_2x_0" localSheetId="86">'Div 5'!$H$42</definedName>
    <definedName name="OSRRefH22_2x_0" localSheetId="61">'Div 6'!$H$56</definedName>
    <definedName name="OSRRefH22_2x_0" localSheetId="2">Summary!$H$80</definedName>
    <definedName name="OSRRefH22_3x_0" localSheetId="40">'200'!$H$26:$H$27</definedName>
    <definedName name="OSRRefH22_3x_0" localSheetId="41">'201'!$H$43</definedName>
    <definedName name="OSRRefH22_3x_0" localSheetId="42">'202'!$H$43</definedName>
    <definedName name="OSRRefH22_3x_0" localSheetId="43">'203'!$H$44</definedName>
    <definedName name="OSRRefH22_3x_0" localSheetId="44">'204'!$H$43:$H$44</definedName>
    <definedName name="OSRRefH22_3x_0" localSheetId="45">'205'!$H$43</definedName>
    <definedName name="OSRRefH22_3x_0" localSheetId="46">'206'!$H$43</definedName>
    <definedName name="OSRRefH22_3x_0" localSheetId="48">'300'!$H$70</definedName>
    <definedName name="OSRRefH22_3x_0" localSheetId="49">'300 &amp; 317'!$H$76</definedName>
    <definedName name="OSRRefH22_3x_0" localSheetId="50">'301'!$H$44</definedName>
    <definedName name="OSRRefH22_3x_0" localSheetId="52">'307'!$H$45</definedName>
    <definedName name="OSRRefH22_3x_0" localSheetId="53">'308'!$H$58</definedName>
    <definedName name="OSRRefH22_3x_0" localSheetId="63">'310'!$H$46</definedName>
    <definedName name="OSRRefH22_3x_0" localSheetId="69">'310 &amp; 491'!$H$50</definedName>
    <definedName name="OSRRefH22_3x_0" localSheetId="54">'311'!$H$58</definedName>
    <definedName name="OSRRefH22_3x_0" localSheetId="57">'315'!$H$62</definedName>
    <definedName name="OSRRefH22_3x_0" localSheetId="60">'316'!$H$47</definedName>
    <definedName name="OSRRefH22_3x_0" localSheetId="62">'317'!$H$58</definedName>
    <definedName name="OSRRefH22_3x_0" localSheetId="66">'321'!$H$45</definedName>
    <definedName name="OSRRefH22_3x_0" localSheetId="67">'325'!$H$44</definedName>
    <definedName name="OSRRefH22_3x_0" localSheetId="58">'326'!$H$48</definedName>
    <definedName name="OSRRefH22_3x_0" localSheetId="51">'330'!$H$45</definedName>
    <definedName name="OSRRefH22_3x_0" localSheetId="56">'331'!$H$62</definedName>
    <definedName name="OSRRefH22_3x_0" localSheetId="59">'332'!$H$47</definedName>
    <definedName name="OSRRefH22_3x_0" localSheetId="71">'405'!$H$44</definedName>
    <definedName name="OSRRefH22_3x_0" localSheetId="72">'411'!$H$43:$H$44</definedName>
    <definedName name="OSRRefH22_3x_0" localSheetId="75">'415'!$H$50</definedName>
    <definedName name="OSRRefH22_3x_0" localSheetId="76">'418'!$H$46</definedName>
    <definedName name="OSRRefH22_3x_0" localSheetId="77">'423'!$H$42</definedName>
    <definedName name="OSRRefH22_3x_0" localSheetId="82">'430'!$H$43</definedName>
    <definedName name="OSRRefH22_3x_0" localSheetId="83">'433'!$H$44</definedName>
    <definedName name="OSRRefH22_3x_0" localSheetId="84">'444'!$H$49</definedName>
    <definedName name="OSRRefH22_3x_0" localSheetId="85">'450'!$H$44</definedName>
    <definedName name="OSRRefH22_3x_0" localSheetId="70">'491'!$H$50</definedName>
    <definedName name="OSRRefH22_3x_0" localSheetId="81">'492'!$H$49</definedName>
    <definedName name="OSRRefH22_3x_0" localSheetId="87">'501'!$H$44</definedName>
    <definedName name="OSRRefH22_3x_0" localSheetId="39">'Div 2'!$H$45</definedName>
    <definedName name="OSRRefH22_3x_0" localSheetId="47">'Div 3'!$H$71</definedName>
    <definedName name="OSRRefH22_3x_0" localSheetId="68">'Div 4'!$H$53</definedName>
    <definedName name="OSRRefH22_3x_0" localSheetId="86">'Div 5'!$H$44</definedName>
    <definedName name="OSRRefH22_3x_0" localSheetId="61">'Div 6'!$H$58</definedName>
    <definedName name="OSRRefH22_3x_0" localSheetId="2">Summary!$H$82</definedName>
    <definedName name="OSRRefH22_4x_0" localSheetId="41">'201'!$H$45</definedName>
    <definedName name="OSRRefH22_4x_0" localSheetId="42">'202'!$H$45</definedName>
    <definedName name="OSRRefH22_4x_0" localSheetId="43">'203'!$H$46</definedName>
    <definedName name="OSRRefH22_4x_0" localSheetId="44">'204'!$H$46</definedName>
    <definedName name="OSRRefH22_4x_0" localSheetId="45">'205'!$H$45:$H$46</definedName>
    <definedName name="OSRRefH22_4x_0" localSheetId="46">'206'!$H$45</definedName>
    <definedName name="OSRRefH22_4x_0" localSheetId="48">'300'!$H$72</definedName>
    <definedName name="OSRRefH22_4x_0" localSheetId="49">'300 &amp; 317'!$H$78</definedName>
    <definedName name="OSRRefH22_4x_0" localSheetId="50">'301'!$H$46:$H$47</definedName>
    <definedName name="OSRRefH22_4x_0" localSheetId="52">'307'!$H$47</definedName>
    <definedName name="OSRRefH22_4x_0" localSheetId="53">'308'!$H$60</definedName>
    <definedName name="OSRRefH22_4x_0" localSheetId="63">'310'!$H$48:$H$49</definedName>
    <definedName name="OSRRefH22_4x_0" localSheetId="69">'310 &amp; 491'!$H$52</definedName>
    <definedName name="OSRRefH22_4x_0" localSheetId="54">'311'!$H$60</definedName>
    <definedName name="OSRRefH22_4x_0" localSheetId="57">'315'!$H$64</definedName>
    <definedName name="OSRRefH22_4x_0" localSheetId="60">'316'!$H$49</definedName>
    <definedName name="OSRRefH22_4x_0" localSheetId="62">'317'!$H$60</definedName>
    <definedName name="OSRRefH22_4x_0" localSheetId="66">'321'!$H$47:$H$48</definedName>
    <definedName name="OSRRefH22_4x_0" localSheetId="67">'325'!$H$46:$H$47</definedName>
    <definedName name="OSRRefH22_4x_0" localSheetId="58">'326'!$H$50</definedName>
    <definedName name="OSRRefH22_4x_0" localSheetId="51">'330'!$H$47</definedName>
    <definedName name="OSRRefH22_4x_0" localSheetId="56">'331'!$H$64</definedName>
    <definedName name="OSRRefH22_4x_0" localSheetId="59">'332'!$H$49</definedName>
    <definedName name="OSRRefH22_4x_0" localSheetId="71">'405'!$H$46:$H$47</definedName>
    <definedName name="OSRRefH22_4x_0" localSheetId="72">'411'!$H$46</definedName>
    <definedName name="OSRRefH22_4x_0" localSheetId="75">'415'!$H$52</definedName>
    <definedName name="OSRRefH22_4x_0" localSheetId="76">'418'!$H$48:$H$49</definedName>
    <definedName name="OSRRefH22_4x_0" localSheetId="77">'423'!$H$44</definedName>
    <definedName name="OSRRefH22_4x_0" localSheetId="82">'430'!$H$45</definedName>
    <definedName name="OSRRefH22_4x_0" localSheetId="83">'433'!$H$46</definedName>
    <definedName name="OSRRefH22_4x_0" localSheetId="84">'444'!$H$51</definedName>
    <definedName name="OSRRefH22_4x_0" localSheetId="85">'450'!$H$46</definedName>
    <definedName name="OSRRefH22_4x_0" localSheetId="70">'491'!$H$52</definedName>
    <definedName name="OSRRefH22_4x_0" localSheetId="81">'492'!$H$51</definedName>
    <definedName name="OSRRefH22_4x_0" localSheetId="87">'501'!$H$46</definedName>
    <definedName name="OSRRefH22_4x_0" localSheetId="39">'Div 2'!$H$47</definedName>
    <definedName name="OSRRefH22_4x_0" localSheetId="47">'Div 3'!$H$73</definedName>
    <definedName name="OSRRefH22_4x_0" localSheetId="68">'Div 4'!$H$55</definedName>
    <definedName name="OSRRefH22_4x_0" localSheetId="86">'Div 5'!$H$46</definedName>
    <definedName name="OSRRefH22_4x_0" localSheetId="61">'Div 6'!$H$60</definedName>
    <definedName name="OSRRefH22_4x_0" localSheetId="2">Summary!$H$84</definedName>
    <definedName name="OSRRefH22_5x_0" localSheetId="41">'201'!$H$47</definedName>
    <definedName name="OSRRefH22_5x_0" localSheetId="42">'202'!$H$47</definedName>
    <definedName name="OSRRefH22_5x_0" localSheetId="43">'203'!$H$48</definedName>
    <definedName name="OSRRefH22_5x_0" localSheetId="44">'204'!$H$48:$H$50</definedName>
    <definedName name="OSRRefH22_5x_0" localSheetId="45">'205'!$H$48</definedName>
    <definedName name="OSRRefH22_5x_0" localSheetId="46">'206'!$H$47</definedName>
    <definedName name="OSRRefH22_5x_0" localSheetId="48">'300'!$H$74:$H$75</definedName>
    <definedName name="OSRRefH22_5x_0" localSheetId="49">'300 &amp; 317'!$H$80:$H$81</definedName>
    <definedName name="OSRRefH22_5x_0" localSheetId="50">'301'!$H$49</definedName>
    <definedName name="OSRRefH22_5x_0" localSheetId="52">'307'!$H$49</definedName>
    <definedName name="OSRRefH22_5x_0" localSheetId="53">'308'!$H$62</definedName>
    <definedName name="OSRRefH22_5x_0" localSheetId="63">'310'!$H$51</definedName>
    <definedName name="OSRRefH22_5x_0" localSheetId="69">'310 &amp; 491'!$H$54:$H$55</definedName>
    <definedName name="OSRRefH22_5x_0" localSheetId="54">'311'!$H$62</definedName>
    <definedName name="OSRRefH22_5x_0" localSheetId="57">'315'!$H$66</definedName>
    <definedName name="OSRRefH22_5x_0" localSheetId="60">'316'!$H$51:$H$52</definedName>
    <definedName name="OSRRefH22_5x_0" localSheetId="62">'317'!$H$62</definedName>
    <definedName name="OSRRefH22_5x_0" localSheetId="66">'321'!$H$50</definedName>
    <definedName name="OSRRefH22_5x_0" localSheetId="67">'325'!$H$49</definedName>
    <definedName name="OSRRefH22_5x_0" localSheetId="58">'326'!$H$52</definedName>
    <definedName name="OSRRefH22_5x_0" localSheetId="51">'330'!$H$49</definedName>
    <definedName name="OSRRefH22_5x_0" localSheetId="56">'331'!$H$66</definedName>
    <definedName name="OSRRefH22_5x_0" localSheetId="59">'332'!$H$51:$H$52</definedName>
    <definedName name="OSRRefH22_5x_0" localSheetId="71">'405'!$H$49</definedName>
    <definedName name="OSRRefH22_5x_0" localSheetId="72">'411'!$H$48</definedName>
    <definedName name="OSRRefH22_5x_0" localSheetId="75">'415'!$H$54:$H$55</definedName>
    <definedName name="OSRRefH22_5x_0" localSheetId="76">'418'!$H$51</definedName>
    <definedName name="OSRRefH22_5x_0" localSheetId="82">'430'!$H$47:$H$48</definedName>
    <definedName name="OSRRefH22_5x_0" localSheetId="83">'433'!$H$48</definedName>
    <definedName name="OSRRefH22_5x_0" localSheetId="84">'444'!$H$53</definedName>
    <definedName name="OSRRefH22_5x_0" localSheetId="85">'450'!$H$48</definedName>
    <definedName name="OSRRefH22_5x_0" localSheetId="70">'491'!$H$54:$H$55</definedName>
    <definedName name="OSRRefH22_5x_0" localSheetId="81">'492'!$H$53</definedName>
    <definedName name="OSRRefH22_5x_0" localSheetId="87">'501'!$H$48</definedName>
    <definedName name="OSRRefH22_5x_0" localSheetId="39">'Div 2'!$H$49:$H$50</definedName>
    <definedName name="OSRRefH22_5x_0" localSheetId="47">'Div 3'!$H$75:$H$76</definedName>
    <definedName name="OSRRefH22_5x_0" localSheetId="68">'Div 4'!$H$57:$H$58</definedName>
    <definedName name="OSRRefH22_5x_0" localSheetId="86">'Div 5'!$H$48</definedName>
    <definedName name="OSRRefH22_5x_0" localSheetId="61">'Div 6'!$H$62</definedName>
    <definedName name="OSRRefH22_5x_0" localSheetId="2">Summary!$H$86:$H$87</definedName>
    <definedName name="OSRRefH22_6x_0" localSheetId="41">'201'!$H$49</definedName>
    <definedName name="OSRRefH22_6x_0" localSheetId="42">'202'!$H$49:$H$51</definedName>
    <definedName name="OSRRefH22_6x_0" localSheetId="43">'203'!$H$50</definedName>
    <definedName name="OSRRefH22_6x_0" localSheetId="44">'204'!$H$52</definedName>
    <definedName name="OSRRefH22_6x_0" localSheetId="45">'205'!$H$50:$H$51</definedName>
    <definedName name="OSRRefH22_6x_0" localSheetId="46">'206'!$H$49:$H$50</definedName>
    <definedName name="OSRRefH22_6x_0" localSheetId="48">'300'!$H$77:$H$78</definedName>
    <definedName name="OSRRefH22_6x_0" localSheetId="49">'300 &amp; 317'!$H$83:$H$84</definedName>
    <definedName name="OSRRefH22_6x_0" localSheetId="50">'301'!$H$51</definedName>
    <definedName name="OSRRefH22_6x_0" localSheetId="52">'307'!$H$51</definedName>
    <definedName name="OSRRefH22_6x_0" localSheetId="53">'308'!$H$64</definedName>
    <definedName name="OSRRefH22_6x_0" localSheetId="63">'310'!$H$53</definedName>
    <definedName name="OSRRefH22_6x_0" localSheetId="69">'310 &amp; 491'!$H$57</definedName>
    <definedName name="OSRRefH22_6x_0" localSheetId="54">'311'!$H$64</definedName>
    <definedName name="OSRRefH22_6x_0" localSheetId="57">'315'!$H$68:$H$69</definedName>
    <definedName name="OSRRefH22_6x_0" localSheetId="60">'316'!$H$54:$H$55</definedName>
    <definedName name="OSRRefH22_6x_0" localSheetId="62">'317'!$H$64</definedName>
    <definedName name="OSRRefH22_6x_0" localSheetId="66">'321'!$H$52</definedName>
    <definedName name="OSRRefH22_6x_0" localSheetId="67">'325'!$H$51</definedName>
    <definedName name="OSRRefH22_6x_0" localSheetId="58">'326'!$H$54</definedName>
    <definedName name="OSRRefH22_6x_0" localSheetId="51">'330'!$H$51</definedName>
    <definedName name="OSRRefH22_6x_0" localSheetId="56">'331'!$H$68:$H$69</definedName>
    <definedName name="OSRRefH22_6x_0" localSheetId="59">'332'!$H$54:$H$55</definedName>
    <definedName name="OSRRefH22_6x_0" localSheetId="71">'405'!$H$51:$H$52</definedName>
    <definedName name="OSRRefH22_6x_0" localSheetId="72">'411'!$H$50</definedName>
    <definedName name="OSRRefH22_6x_0" localSheetId="75">'415'!$H$57</definedName>
    <definedName name="OSRRefH22_6x_0" localSheetId="76">'418'!$H$53</definedName>
    <definedName name="OSRRefH22_6x_0" localSheetId="82">'430'!$H$50</definedName>
    <definedName name="OSRRefH22_6x_0" localSheetId="83">'433'!$H$50</definedName>
    <definedName name="OSRRefH22_6x_0" localSheetId="84">'444'!$H$55</definedName>
    <definedName name="OSRRefH22_6x_0" localSheetId="85">'450'!$H$50</definedName>
    <definedName name="OSRRefH22_6x_0" localSheetId="70">'491'!$H$57</definedName>
    <definedName name="OSRRefH22_6x_0" localSheetId="81">'492'!$H$55</definedName>
    <definedName name="OSRRefH22_6x_0" localSheetId="87">'501'!$H$50</definedName>
    <definedName name="OSRRefH22_6x_0" localSheetId="39">'Div 2'!$H$52</definedName>
    <definedName name="OSRRefH22_6x_0" localSheetId="47">'Div 3'!$H$78:$H$79</definedName>
    <definedName name="OSRRefH22_6x_0" localSheetId="68">'Div 4'!$H$60</definedName>
    <definedName name="OSRRefH22_6x_0" localSheetId="86">'Div 5'!$H$50</definedName>
    <definedName name="OSRRefH22_6x_0" localSheetId="61">'Div 6'!$H$64</definedName>
    <definedName name="OSRRefH22_6x_0" localSheetId="2">Summary!$H$89:$H$90</definedName>
    <definedName name="OSRRefH22_7x_0" localSheetId="41">'201'!$H$51</definedName>
    <definedName name="OSRRefH22_7x_0" localSheetId="42">'202'!$H$53</definedName>
    <definedName name="OSRRefH22_7x_0" localSheetId="43">'203'!$H$52</definedName>
    <definedName name="OSRRefH22_7x_0" localSheetId="44">'204'!$H$54:$H$55</definedName>
    <definedName name="OSRRefH22_7x_0" localSheetId="45">'205'!$H$53</definedName>
    <definedName name="OSRRefH22_7x_0" localSheetId="46">'206'!$H$52</definedName>
    <definedName name="OSRRefH22_7x_0" localSheetId="48">'300'!$H$80</definedName>
    <definedName name="OSRRefH22_7x_0" localSheetId="49">'300 &amp; 317'!$H$86</definedName>
    <definedName name="OSRRefH22_7x_0" localSheetId="50">'301'!$H$53</definedName>
    <definedName name="OSRRefH22_7x_0" localSheetId="52">'307'!$H$53</definedName>
    <definedName name="OSRRefH22_7x_0" localSheetId="53">'308'!$H$66</definedName>
    <definedName name="OSRRefH22_7x_0" localSheetId="63">'310'!$H$55</definedName>
    <definedName name="OSRRefH22_7x_0" localSheetId="69">'310 &amp; 491'!$H$59</definedName>
    <definedName name="OSRRefH22_7x_0" localSheetId="54">'311'!$H$66</definedName>
    <definedName name="OSRRefH22_7x_0" localSheetId="57">'315'!$H$71</definedName>
    <definedName name="OSRRefH22_7x_0" localSheetId="60">'316'!$H$57</definedName>
    <definedName name="OSRRefH22_7x_0" localSheetId="62">'317'!$H$66</definedName>
    <definedName name="OSRRefH22_7x_0" localSheetId="66">'321'!$H$54</definedName>
    <definedName name="OSRRefH22_7x_0" localSheetId="67">'325'!$H$53</definedName>
    <definedName name="OSRRefH22_7x_0" localSheetId="58">'326'!$H$56</definedName>
    <definedName name="OSRRefH22_7x_0" localSheetId="51">'330'!$H$53</definedName>
    <definedName name="OSRRefH22_7x_0" localSheetId="56">'331'!$H$71:$H$72</definedName>
    <definedName name="OSRRefH22_7x_0" localSheetId="59">'332'!$H$57</definedName>
    <definedName name="OSRRefH22_7x_0" localSheetId="71">'405'!$H$54</definedName>
    <definedName name="OSRRefH22_7x_0" localSheetId="72">'411'!$H$52:$H$53</definedName>
    <definedName name="OSRRefH22_7x_0" localSheetId="75">'415'!$H$59</definedName>
    <definedName name="OSRRefH22_7x_0" localSheetId="76">'418'!$H$55:$H$56</definedName>
    <definedName name="OSRRefH22_7x_0" localSheetId="83">'433'!$H$52</definedName>
    <definedName name="OSRRefH22_7x_0" localSheetId="84">'444'!$H$57</definedName>
    <definedName name="OSRRefH22_7x_0" localSheetId="85">'450'!$H$52:$H$53</definedName>
    <definedName name="OSRRefH22_7x_0" localSheetId="70">'491'!$H$59</definedName>
    <definedName name="OSRRefH22_7x_0" localSheetId="81">'492'!$H$57</definedName>
    <definedName name="OSRRefH22_7x_0" localSheetId="87">'501'!$H$52</definedName>
    <definedName name="OSRRefH22_7x_0" localSheetId="39">'Div 2'!$H$54</definedName>
    <definedName name="OSRRefH22_7x_0" localSheetId="47">'Div 3'!$H$81</definedName>
    <definedName name="OSRRefH22_7x_0" localSheetId="68">'Div 4'!$H$62</definedName>
    <definedName name="OSRRefH22_7x_0" localSheetId="86">'Div 5'!$H$52</definedName>
    <definedName name="OSRRefH22_7x_0" localSheetId="61">'Div 6'!$H$66</definedName>
    <definedName name="OSRRefH22_7x_0" localSheetId="2">Summary!$H$92</definedName>
    <definedName name="OSRRefH22_8x_0" localSheetId="41">'201'!$H$53</definedName>
    <definedName name="OSRRefH22_8x_0" localSheetId="42">'202'!$H$55</definedName>
    <definedName name="OSRRefH22_8x_0" localSheetId="43">'203'!$H$54:$H$56</definedName>
    <definedName name="OSRRefH22_8x_0" localSheetId="48">'300'!$H$82</definedName>
    <definedName name="OSRRefH22_8x_0" localSheetId="49">'300 &amp; 317'!$H$88</definedName>
    <definedName name="OSRRefH22_8x_0" localSheetId="50">'301'!$H$55</definedName>
    <definedName name="OSRRefH22_8x_0" localSheetId="52">'307'!$H$55:$H$57</definedName>
    <definedName name="OSRRefH22_8x_0" localSheetId="53">'308'!$H$68:$H$70</definedName>
    <definedName name="OSRRefH22_8x_0" localSheetId="63">'310'!$H$57:$H$58</definedName>
    <definedName name="OSRRefH22_8x_0" localSheetId="69">'310 &amp; 491'!$H$61</definedName>
    <definedName name="OSRRefH22_8x_0" localSheetId="54">'311'!$H$68:$H$70</definedName>
    <definedName name="OSRRefH22_8x_0" localSheetId="57">'315'!$H$73</definedName>
    <definedName name="OSRRefH22_8x_0" localSheetId="60">'316'!$H$59:$H$62</definedName>
    <definedName name="OSRRefH22_8x_0" localSheetId="62">'317'!$H$68:$H$69</definedName>
    <definedName name="OSRRefH22_8x_0" localSheetId="67">'325'!$H$55:$H$56</definedName>
    <definedName name="OSRRefH22_8x_0" localSheetId="58">'326'!$H$58</definedName>
    <definedName name="OSRRefH22_8x_0" localSheetId="51">'330'!$H$55:$H$57</definedName>
    <definedName name="OSRRefH22_8x_0" localSheetId="56">'331'!$H$74</definedName>
    <definedName name="OSRRefH22_8x_0" localSheetId="59">'332'!$H$59:$H$62</definedName>
    <definedName name="OSRRefH22_8x_0" localSheetId="71">'405'!$H$56:$H$60</definedName>
    <definedName name="OSRRefH22_8x_0" localSheetId="72">'411'!$H$55:$H$56</definedName>
    <definedName name="OSRRefH22_8x_0" localSheetId="75">'415'!$H$61</definedName>
    <definedName name="OSRRefH22_8x_0" localSheetId="76">'418'!$H$58:$H$60</definedName>
    <definedName name="OSRRefH22_8x_0" localSheetId="83">'433'!$H$54:$H$55</definedName>
    <definedName name="OSRRefH22_8x_0" localSheetId="84">'444'!$H$59</definedName>
    <definedName name="OSRRefH22_8x_0" localSheetId="85">'450'!$H$55:$H$57</definedName>
    <definedName name="OSRRefH22_8x_0" localSheetId="70">'491'!$H$61</definedName>
    <definedName name="OSRRefH22_8x_0" localSheetId="81">'492'!$H$59</definedName>
    <definedName name="OSRRefH22_8x_0" localSheetId="87">'501'!$H$54</definedName>
    <definedName name="OSRRefH22_8x_0" localSheetId="39">'Div 2'!$H$56</definedName>
    <definedName name="OSRRefH22_8x_0" localSheetId="47">'Div 3'!$H$83</definedName>
    <definedName name="OSRRefH22_8x_0" localSheetId="68">'Div 4'!$H$64</definedName>
    <definedName name="OSRRefH22_8x_0" localSheetId="86">'Div 5'!$H$54</definedName>
    <definedName name="OSRRefH22_8x_0" localSheetId="61">'Div 6'!$H$68:$H$69</definedName>
    <definedName name="OSRRefH22_8x_0" localSheetId="2">Summary!$H$94</definedName>
    <definedName name="OSRRefH22_9x_0" localSheetId="41">'201'!$H$55:$H$56</definedName>
    <definedName name="OSRRefH22_9x_0" localSheetId="42">'202'!$H$57</definedName>
    <definedName name="OSRRefH22_9x_0" localSheetId="43">'203'!$H$58</definedName>
    <definedName name="OSRRefH22_9x_0" localSheetId="48">'300'!$H$84</definedName>
    <definedName name="OSRRefH22_9x_0" localSheetId="49">'300 &amp; 317'!$H$90</definedName>
    <definedName name="OSRRefH22_9x_0" localSheetId="50">'301'!$H$57</definedName>
    <definedName name="OSRRefH22_9x_0" localSheetId="52">'307'!$H$59</definedName>
    <definedName name="OSRRefH22_9x_0" localSheetId="53">'308'!$H$72</definedName>
    <definedName name="OSRRefH22_9x_0" localSheetId="63">'310'!$H$60</definedName>
    <definedName name="OSRRefH22_9x_0" localSheetId="69">'310 &amp; 491'!$H$63</definedName>
    <definedName name="OSRRefH22_9x_0" localSheetId="54">'311'!$H$72</definedName>
    <definedName name="OSRRefH22_9x_0" localSheetId="57">'315'!$H$75</definedName>
    <definedName name="OSRRefH22_9x_0" localSheetId="60">'316'!$H$64</definedName>
    <definedName name="OSRRefH22_9x_0" localSheetId="62">'317'!$H$71</definedName>
    <definedName name="OSRRefH22_9x_0" localSheetId="67">'325'!$H$58:$H$62</definedName>
    <definedName name="OSRRefH22_9x_0" localSheetId="58">'326'!$H$60</definedName>
    <definedName name="OSRRefH22_9x_0" localSheetId="51">'330'!$H$59</definedName>
    <definedName name="OSRRefH22_9x_0" localSheetId="56">'331'!$H$76</definedName>
    <definedName name="OSRRefH22_9x_0" localSheetId="59">'332'!$H$64</definedName>
    <definedName name="OSRRefH22_9x_0" localSheetId="71">'405'!$H$62</definedName>
    <definedName name="OSRRefH22_9x_0" localSheetId="72">'411'!$H$58</definedName>
    <definedName name="OSRRefH22_9x_0" localSheetId="75">'415'!$H$63</definedName>
    <definedName name="OSRRefH22_9x_0" localSheetId="76">'418'!$H$62:$H$69</definedName>
    <definedName name="OSRRefH22_9x_0" localSheetId="83">'433'!$H$57:$H$60</definedName>
    <definedName name="OSRRefH22_9x_0" localSheetId="84">'444'!$H$61:$H$62</definedName>
    <definedName name="OSRRefH22_9x_0" localSheetId="85">'450'!$H$59:$H$64</definedName>
    <definedName name="OSRRefH22_9x_0" localSheetId="70">'491'!$H$63</definedName>
    <definedName name="OSRRefH22_9x_0" localSheetId="81">'492'!$H$61</definedName>
    <definedName name="OSRRefH22_9x_0" localSheetId="87">'501'!$H$56:$H$57</definedName>
    <definedName name="OSRRefH22_9x_0" localSheetId="39">'Div 2'!$H$58</definedName>
    <definedName name="OSRRefH22_9x_0" localSheetId="47">'Div 3'!$H$85</definedName>
    <definedName name="OSRRefH22_9x_0" localSheetId="68">'Div 4'!$H$66</definedName>
    <definedName name="OSRRefH22_9x_0" localSheetId="86">'Div 5'!$H$56:$H$57</definedName>
    <definedName name="OSRRefH22_9x_0" localSheetId="61">'Div 6'!$H$71</definedName>
    <definedName name="OSRRefH22_9x_0" localSheetId="2">Summary!$H$96</definedName>
    <definedName name="OSRRefH22x_0" localSheetId="40">'200'!$H$20,'200'!$H$22,'200'!$H$24,'200'!$H$26:$H$27</definedName>
    <definedName name="OSRRefH22x_0" localSheetId="41">'201'!$H$20:$H$28,'201'!$H$30:$H$39,'201'!$H$41,'201'!$H$43,'201'!$H$45,'201'!$H$47,'201'!$H$49,'201'!$H$51,'201'!$H$53,'201'!$H$55:$H$56,'201'!$H$58</definedName>
    <definedName name="OSRRefH22x_0" localSheetId="42">'202'!$H$20:$H$28,'202'!$H$30:$H$39,'202'!$H$41,'202'!$H$43,'202'!$H$45,'202'!$H$47,'202'!$H$49:$H$51,'202'!$H$53,'202'!$H$55,'202'!$H$57,'202'!$H$59</definedName>
    <definedName name="OSRRefH22x_0" localSheetId="43">'203'!$H$20:$H$29,'203'!$H$31:$H$40,'203'!$H$42,'203'!$H$44,'203'!$H$46,'203'!$H$48,'203'!$H$50,'203'!$H$52,'203'!$H$54:$H$56,'203'!$H$58,'203'!$H$60,'203'!$H$62:$H$65,'203'!$H$67,'203'!$H$69</definedName>
    <definedName name="OSRRefH22x_0" localSheetId="44">'204'!$H$20:$H$28,'204'!$H$30:$H$39,'204'!$H$41,'204'!$H$43:$H$44,'204'!$H$46,'204'!$H$48:$H$50,'204'!$H$52,'204'!$H$54:$H$55</definedName>
    <definedName name="OSRRefH22x_0" localSheetId="45">'205'!$H$20:$H$28,'205'!$H$30:$H$39,'205'!$H$41,'205'!$H$43,'205'!$H$45:$H$46,'205'!$H$48,'205'!$H$50:$H$51,'205'!$H$53</definedName>
    <definedName name="OSRRefH22x_0" localSheetId="46">'206'!$H$20:$H$28,'206'!$H$30:$H$39,'206'!$H$41,'206'!$H$43,'206'!$H$45,'206'!$H$47,'206'!$H$49:$H$50,'206'!$H$52</definedName>
    <definedName name="OSRRefH22x_0" localSheetId="48">'300'!$H$46:$H$55,'300'!$H$57:$H$66,'300'!$H$68,'300'!$H$70,'300'!$H$72,'300'!$H$74:$H$75,'300'!$H$77:$H$78,'300'!$H$80,'300'!$H$82,'300'!$H$84,'300'!$H$86:$H$87,'300'!$H$89:$H$90,'300'!$H$92,'300'!$H$94,'300'!$H$96,'300'!$H$98,'300'!$H$100:$H$103,'300'!$H$105:$H$108,'300'!$H$110:$H$112,'300'!$H$114:$H$115,'300'!$H$117:$H$122,'300'!$H$124:$H$125,'300'!$H$127:$H$129,'300'!$H$131</definedName>
    <definedName name="OSRRefH22x_0" localSheetId="49">'300 &amp; 317'!$H$52:$H$61,'300 &amp; 317'!$H$63:$H$72,'300 &amp; 317'!$H$74,'300 &amp; 317'!$H$76,'300 &amp; 317'!$H$78,'300 &amp; 317'!$H$80:$H$81,'300 &amp; 317'!$H$83:$H$84,'300 &amp; 317'!$H$86,'300 &amp; 317'!$H$88,'300 &amp; 317'!$H$90,'300 &amp; 317'!$H$92:$H$93,'300 &amp; 317'!$H$95:$H$96,'300 &amp; 317'!$H$98,'300 &amp; 317'!$H$100,'300 &amp; 317'!$H$102,'300 &amp; 317'!$H$104,'300 &amp; 317'!$H$106:$H$109,'300 &amp; 317'!$H$111:$H$114,'300 &amp; 317'!$H$116:$H$118,'300 &amp; 317'!$H$120:$H$121,'300 &amp; 317'!$H$123:$H$128,'300 &amp; 317'!$H$130:$H$131,'300 &amp; 317'!$H$133:$H$135,'300 &amp; 317'!$H$137</definedName>
    <definedName name="OSRRefH22x_0" localSheetId="50">'301'!$H$20:$H$29,'301'!$H$31:$H$40,'301'!$H$42,'301'!$H$44,'301'!$H$46:$H$47,'301'!$H$49,'301'!$H$51,'301'!$H$53,'301'!$H$55,'301'!$H$57,'301'!$H$59,'301'!$H$61,'301'!$H$63,'301'!$H$65:$H$68,'301'!$H$70:$H$71,'301'!$H$73:$H$76,'301'!$H$78,'301'!$H$80,'301'!$H$82</definedName>
    <definedName name="OSRRefH22x_0" localSheetId="52">'307'!$H$23:$H$30,'307'!$H$32:$H$41,'307'!$H$43,'307'!$H$45,'307'!$H$47,'307'!$H$49,'307'!$H$51,'307'!$H$53,'307'!$H$55:$H$57,'307'!$H$59</definedName>
    <definedName name="OSRRefH22x_0" localSheetId="53">'308'!$H$34:$H$43,'308'!$H$45:$H$54,'308'!$H$56,'308'!$H$58,'308'!$H$60,'308'!$H$62,'308'!$H$64,'308'!$H$66,'308'!$H$68:$H$70,'308'!$H$72,'308'!$H$74:$H$75,'308'!$H$77:$H$78</definedName>
    <definedName name="OSRRefH22x_0" localSheetId="64">'309'!$H$20,'309'!$H$22,'309'!$H$24</definedName>
    <definedName name="OSRRefH22x_0" localSheetId="63">'310'!$H$24:$H$31,'310'!$H$33:$H$42,'310'!$H$44,'310'!$H$46,'310'!$H$48:$H$49,'310'!$H$51,'310'!$H$53,'310'!$H$55,'310'!$H$57:$H$58,'310'!$H$60,'310'!$H$62,'310'!$H$64:$H$68,'310'!$H$70:$H$71,'310'!$H$73</definedName>
    <definedName name="OSRRefH22x_0" localSheetId="69">'310 &amp; 491'!$H$27:$H$35,'310 &amp; 491'!$H$37:$H$46,'310 &amp; 491'!$H$48,'310 &amp; 491'!$H$50,'310 &amp; 491'!$H$52,'310 &amp; 491'!$H$54:$H$55,'310 &amp; 491'!$H$57,'310 &amp; 491'!$H$59,'310 &amp; 491'!$H$61,'310 &amp; 491'!$H$63,'310 &amp; 491'!$H$65,'310 &amp; 491'!$H$67:$H$68,'310 &amp; 491'!$H$70,'310 &amp; 491'!$H$72:$H$76,'310 &amp; 491'!$H$78,'310 &amp; 491'!$H$80:$H$89,'310 &amp; 491'!$H$91:$H$92,'310 &amp; 491'!$H$94,'310 &amp; 491'!$H$96</definedName>
    <definedName name="OSRRefH22x_0" localSheetId="54">'311'!$H$34:$H$43,'311'!$H$45:$H$54,'311'!$H$56,'311'!$H$58,'311'!$H$60,'311'!$H$62,'311'!$H$64,'311'!$H$66,'311'!$H$68:$H$70,'311'!$H$72,'311'!$H$74:$H$75,'311'!$H$77:$H$78</definedName>
    <definedName name="OSRRefH22x_0" localSheetId="65">'313'!$H$20</definedName>
    <definedName name="OSRRefH22x_0" localSheetId="57">'315'!$H$39:$H$47,'315'!$H$49:$H$58,'315'!$H$60,'315'!$H$62,'315'!$H$64,'315'!$H$66,'315'!$H$68:$H$69,'315'!$H$71,'315'!$H$73,'315'!$H$75,'315'!$H$77,'315'!$H$79:$H$81,'315'!$H$83:$H$84,'315'!$H$86:$H$88,'315'!$H$90,'315'!$H$92</definedName>
    <definedName name="OSRRefH22x_0" localSheetId="60">'316'!$H$24:$H$32,'316'!$H$34:$H$43,'316'!$H$45,'316'!$H$47,'316'!$H$49,'316'!$H$51:$H$52,'316'!$H$54:$H$55,'316'!$H$57,'316'!$H$59:$H$62,'316'!$H$64</definedName>
    <definedName name="OSRRefH22x_0" localSheetId="62">'317'!$H$34:$H$43,'317'!$H$45:$H$54,'317'!$H$56,'317'!$H$58,'317'!$H$60,'317'!$H$62,'317'!$H$64,'317'!$H$66,'317'!$H$68:$H$69,'317'!$H$71</definedName>
    <definedName name="OSRRefH22x_0" localSheetId="66">'321'!$H$23:$H$30,'321'!$H$32:$H$41,'321'!$H$43,'321'!$H$45,'321'!$H$47:$H$48,'321'!$H$50,'321'!$H$52,'321'!$H$54</definedName>
    <definedName name="OSRRefH22x_0" localSheetId="67">'325'!$H$22:$H$29,'325'!$H$31:$H$40,'325'!$H$42,'325'!$H$44,'325'!$H$46:$H$47,'325'!$H$49,'325'!$H$51,'325'!$H$53,'325'!$H$55:$H$56,'325'!$H$58:$H$62,'325'!$H$64:$H$65,'325'!$H$67</definedName>
    <definedName name="OSRRefH22x_0" localSheetId="58">'326'!$H$25:$H$33,'326'!$H$35:$H$44,'326'!$H$46,'326'!$H$48,'326'!$H$50,'326'!$H$52,'326'!$H$54,'326'!$H$56,'326'!$H$58,'326'!$H$60,'326'!$H$62,'326'!$H$64:$H$65,'326'!$H$67:$H$68,'326'!$H$70:$H$71,'326'!$H$73:$H$75,'326'!$H$77,'326'!$H$79:$H$80,'326'!$H$82</definedName>
    <definedName name="OSRRefH22x_0" localSheetId="51">'330'!$H$23:$H$30,'330'!$H$32:$H$41,'330'!$H$43,'330'!$H$45,'330'!$H$47,'330'!$H$49,'330'!$H$51,'330'!$H$53,'330'!$H$55:$H$57,'330'!$H$59</definedName>
    <definedName name="OSRRefH22x_0" localSheetId="56">'331'!$H$39:$H$47,'331'!$H$49:$H$58,'331'!$H$60,'331'!$H$62,'331'!$H$64,'331'!$H$66,'331'!$H$68:$H$69,'331'!$H$71:$H$72,'331'!$H$74,'331'!$H$76,'331'!$H$78,'331'!$H$80,'331'!$H$82:$H$83,'331'!$H$85:$H$87,'331'!$H$89:$H$90,'331'!$H$92:$H$93,'331'!$H$95:$H$98,'331'!$H$100,'331'!$H$102:$H$103,'331'!$H$105</definedName>
    <definedName name="OSRRefH22x_0" localSheetId="59">'332'!$H$24:$H$32,'332'!$H$34:$H$43,'332'!$H$45,'332'!$H$47,'332'!$H$49,'332'!$H$51:$H$52,'332'!$H$54:$H$55,'332'!$H$57,'332'!$H$59:$H$62,'332'!$H$64</definedName>
    <definedName name="OSRRefH22x_0" localSheetId="71">'405'!$H$21:$H$29,'405'!$H$31:$H$40,'405'!$H$42,'405'!$H$44,'405'!$H$46:$H$47,'405'!$H$49,'405'!$H$51:$H$52,'405'!$H$54,'405'!$H$56:$H$60,'405'!$H$62,'405'!$H$64</definedName>
    <definedName name="OSRRefH22x_0" localSheetId="72">'411'!$H$20:$H$28,'411'!$H$30:$H$39,'411'!$H$41,'411'!$H$43:$H$44,'411'!$H$46,'411'!$H$48,'411'!$H$50,'411'!$H$52:$H$53,'411'!$H$55:$H$56,'411'!$H$58,'411'!$H$60,'411'!$H$62,'411'!$H$64</definedName>
    <definedName name="OSRRefH22x_0" localSheetId="73">'412'!$H$20,'412'!$H$22,'412'!$H$24</definedName>
    <definedName name="OSRRefH22x_0" localSheetId="74">'413'!$H$20,'413'!$H$22</definedName>
    <definedName name="OSRRefH22x_0" localSheetId="75">'415'!$H$27:$H$35,'415'!$H$37:$H$46,'415'!$H$48,'415'!$H$50,'415'!$H$52,'415'!$H$54:$H$55,'415'!$H$57,'415'!$H$59,'415'!$H$61,'415'!$H$63,'415'!$H$65:$H$66,'415'!$H$68:$H$71,'415'!$H$73,'415'!$H$75:$H$78,'415'!$H$80:$H$81,'415'!$H$83,'415'!$H$85</definedName>
    <definedName name="OSRRefH22x_0" localSheetId="76">'418'!$H$23:$H$31,'418'!$H$33:$H$42,'418'!$H$44,'418'!$H$46,'418'!$H$48:$H$49,'418'!$H$51,'418'!$H$53,'418'!$H$55:$H$56,'418'!$H$58:$H$60,'418'!$H$62:$H$69,'418'!$H$71:$H$72,'418'!$H$74,'418'!$H$76</definedName>
    <definedName name="OSRRefH22x_0" localSheetId="77">'423'!$H$20:$H$27,'423'!$H$29:$H$38,'423'!$H$40,'423'!$H$42,'423'!$H$44</definedName>
    <definedName name="OSRRefH22x_0" localSheetId="78">'424'!$H$20,'424'!$H$22</definedName>
    <definedName name="OSRRefH22x_0" localSheetId="79">'425'!$H$21,'425'!$H$23</definedName>
    <definedName name="OSRRefH22x_0" localSheetId="82">'430'!$H$20:$H$28,'430'!$H$30:$H$39,'430'!$H$41,'430'!$H$43,'430'!$H$45,'430'!$H$47:$H$48,'430'!$H$50</definedName>
    <definedName name="OSRRefH22x_0" localSheetId="83">'433'!$H$20:$H$29,'433'!$H$31:$H$40,'433'!$H$42,'433'!$H$44,'433'!$H$46,'433'!$H$48,'433'!$H$50,'433'!$H$52,'433'!$H$54:$H$55,'433'!$H$57:$H$60,'433'!$H$62:$H$67,'433'!$H$69</definedName>
    <definedName name="OSRRefH22x_0" localSheetId="84">'444'!$H$25:$H$34,'444'!$H$36:$H$45,'444'!$H$47,'444'!$H$49,'444'!$H$51,'444'!$H$53,'444'!$H$55,'444'!$H$57,'444'!$H$59,'444'!$H$61:$H$62,'444'!$H$64:$H$67,'444'!$H$69:$H$74,'444'!$H$76,'444'!$H$78</definedName>
    <definedName name="OSRRefH22x_0" localSheetId="85">'450'!$H$20:$H$29,'450'!$H$31:$H$40,'450'!$H$42,'450'!$H$44,'450'!$H$46,'450'!$H$48,'450'!$H$50,'450'!$H$52:$H$53,'450'!$H$55:$H$57,'450'!$H$59:$H$64,'450'!$H$66,'450'!$H$68</definedName>
    <definedName name="OSRRefH22x_0" localSheetId="70">'491'!$H$27:$H$35,'491'!$H$37:$H$46,'491'!$H$48,'491'!$H$50,'491'!$H$52,'491'!$H$54:$H$55,'491'!$H$57,'491'!$H$59,'491'!$H$61,'491'!$H$63,'491'!$H$65,'491'!$H$67:$H$68,'491'!$H$70:$H$74,'491'!$H$76,'491'!$H$78:$H$85,'491'!$H$87:$H$88,'491'!$H$90,'491'!$H$92</definedName>
    <definedName name="OSRRefH22x_0" localSheetId="81">'492'!$H$25:$H$34,'492'!$H$36:$H$45,'492'!$H$47,'492'!$H$49,'492'!$H$51,'492'!$H$53,'492'!$H$55,'492'!$H$57,'492'!$H$59,'492'!$H$61,'492'!$H$63,'492'!$H$65:$H$67,'492'!$H$69:$H$72,'492'!$H$74:$H$80,'492'!$H$82:$H$83,'492'!$H$85</definedName>
    <definedName name="OSRRefH22x_0" localSheetId="87">'501'!$H$21:$H$29,'501'!$H$31:$H$40,'501'!$H$42,'501'!$H$44,'501'!$H$46,'501'!$H$48,'501'!$H$50,'501'!$H$52,'501'!$H$54,'501'!$H$56:$H$57,'501'!$H$59,'501'!$H$61:$H$62,'501'!$H$64</definedName>
    <definedName name="OSRRefH22x_0" localSheetId="39">'Div 2'!$H$20:$H$30,'Div 2'!$H$32:$H$41,'Div 2'!$H$43,'Div 2'!$H$45,'Div 2'!$H$47,'Div 2'!$H$49:$H$50,'Div 2'!$H$52,'Div 2'!$H$54,'Div 2'!$H$56,'Div 2'!$H$58,'Div 2'!$H$60,'Div 2'!$H$62,'Div 2'!$H$64:$H$67,'Div 2'!$H$69:$H$72,'Div 2'!$H$74:$H$75,'Div 2'!$H$77,'Div 2'!$H$79:$H$84,'Div 2'!$H$86:$H$87,'Div 2'!$H$89,'Div 2'!$H$91</definedName>
    <definedName name="OSRRefH22x_0" localSheetId="47">'Div 3'!$H$47:$H$56,'Div 3'!$H$58:$H$67,'Div 3'!$H$69,'Div 3'!$H$71,'Div 3'!$H$73,'Div 3'!$H$75:$H$76,'Div 3'!$H$78:$H$79,'Div 3'!$H$81,'Div 3'!$H$83,'Div 3'!$H$85,'Div 3'!$H$87:$H$88,'Div 3'!$H$90:$H$91,'Div 3'!$H$93,'Div 3'!$H$95,'Div 3'!$H$97,'Div 3'!$H$99,'Div 3'!$H$101,'Div 3'!$H$103:$H$106,'Div 3'!$H$108:$H$111,'Div 3'!$H$113:$H$115,'Div 3'!$H$117:$H$118,'Div 3'!$H$120:$H$126,'Div 3'!$H$128:$H$129,'Div 3'!$H$131:$H$133,'Div 3'!$H$135</definedName>
    <definedName name="OSRRefH22x_0" localSheetId="68">'Div 4'!$H$29:$H$38,'Div 4'!$H$40:$H$49,'Div 4'!$H$51,'Div 4'!$H$53,'Div 4'!$H$55,'Div 4'!$H$57:$H$58,'Div 4'!$H$60,'Div 4'!$H$62,'Div 4'!$H$64,'Div 4'!$H$66,'Div 4'!$H$68,'Div 4'!$H$70,'Div 4'!$H$72,'Div 4'!$H$74:$H$76,'Div 4'!$H$78:$H$82,'Div 4'!$H$84,'Div 4'!$H$86:$H$94,'Div 4'!$H$96:$H$97,'Div 4'!$H$99,'Div 4'!$H$101</definedName>
    <definedName name="OSRRefH22x_0" localSheetId="86">'Div 5'!$H$21:$H$29,'Div 5'!$H$31:$H$40,'Div 5'!$H$42,'Div 5'!$H$44,'Div 5'!$H$46,'Div 5'!$H$48,'Div 5'!$H$50,'Div 5'!$H$52,'Div 5'!$H$54,'Div 5'!$H$56:$H$57,'Div 5'!$H$59,'Div 5'!$H$61:$H$62,'Div 5'!$H$64</definedName>
    <definedName name="OSRRefH22x_0" localSheetId="61">'Div 6'!$H$34:$H$43,'Div 6'!$H$45:$H$54,'Div 6'!$H$56,'Div 6'!$H$58,'Div 6'!$H$60,'Div 6'!$H$62,'Div 6'!$H$64,'Div 6'!$H$66,'Div 6'!$H$68:$H$69,'Div 6'!$H$71</definedName>
    <definedName name="OSRRefH22x_0" localSheetId="2">Summary!$H$58:$H$67,Summary!$H$69:$H$78,Summary!$H$80,Summary!$H$82,Summary!$H$84,Summary!$H$86:$H$87,Summary!$H$89:$H$90,Summary!$H$92,Summary!$H$94,Summary!$H$96,Summary!$H$98:$H$99,Summary!$H$101:$H$102,Summary!$H$104,Summary!$H$106,Summary!$H$108,Summary!$H$110,Summary!$H$112,Summary!$H$114,Summary!$H$116:$H$119,Summary!$H$121:$H$124,Summary!$H$126:$H$130,Summary!$H$132:$H$133,Summary!$H$135:$H$144,Summary!$H$146:$H$147,Summary!$H$149,Summary!$H$151:$H$153,Summary!$H$155</definedName>
    <definedName name="OSRRefH25x_0" localSheetId="48">'300'!$H$134:$H$137</definedName>
    <definedName name="OSRRefH25x_0" localSheetId="49">'300 &amp; 317'!$H$140:$H$145</definedName>
    <definedName name="OSRRefH25x_0" localSheetId="50">'301'!$H$85</definedName>
    <definedName name="OSRRefH25x_0" localSheetId="53">'308'!$H$81:$H$83</definedName>
    <definedName name="OSRRefH25x_0" localSheetId="69">'310 &amp; 491'!$H$99:$H$100</definedName>
    <definedName name="OSRRefH25x_0" localSheetId="54">'311'!$H$81:$H$83</definedName>
    <definedName name="OSRRefH25x_0" localSheetId="57">'315'!$H$95:$H$97</definedName>
    <definedName name="OSRRefH25x_0" localSheetId="60">'316'!$H$67</definedName>
    <definedName name="OSRRefH25x_0" localSheetId="62">'317'!$H$74:$H$76</definedName>
    <definedName name="OSRRefH25x_0" localSheetId="56">'331'!$H$108:$H$110</definedName>
    <definedName name="OSRRefH25x_0" localSheetId="59">'332'!$H$67</definedName>
    <definedName name="OSRRefH25x_0" localSheetId="72">'411'!$H$67</definedName>
    <definedName name="OSRRefH25x_0" localSheetId="75">'415'!$H$88</definedName>
    <definedName name="OSRRefH25x_0" localSheetId="80">'455'!$H$21</definedName>
    <definedName name="OSRRefH25x_0" localSheetId="70">'491'!$H$95:$H$96</definedName>
    <definedName name="OSRRefH25x_0" localSheetId="87">'501'!$H$67</definedName>
    <definedName name="OSRRefH25x_0" localSheetId="47">'Div 3'!$H$138:$H$141</definedName>
    <definedName name="OSRRefH25x_0" localSheetId="68">'Div 4'!$H$104:$H$105</definedName>
    <definedName name="OSRRefH25x_0" localSheetId="86">'Div 5'!$H$67</definedName>
    <definedName name="OSRRefH25x_0" localSheetId="61">'Div 6'!$H$74:$H$76</definedName>
    <definedName name="OSRRefH25x_0" localSheetId="2">Summary!$H$158:$H$163</definedName>
    <definedName name="OSRRefP13x_0" localSheetId="48">'300'!$P$13:$P$17</definedName>
    <definedName name="OSRRefP13x_0" localSheetId="49">'300 &amp; 317'!$P$13:$P$17</definedName>
    <definedName name="OSRRefP13x_0" localSheetId="52">'307'!$P$13:$P$14</definedName>
    <definedName name="OSRRefP13x_0" localSheetId="53">'308'!$P$13:$P$16</definedName>
    <definedName name="OSRRefP13x_0" localSheetId="63">'310'!$P$13:$P$14</definedName>
    <definedName name="OSRRefP13x_0" localSheetId="69">'310 &amp; 491'!$P$13:$P$16</definedName>
    <definedName name="OSRRefP13x_0" localSheetId="54">'311'!$P$13:$P$16</definedName>
    <definedName name="OSRRefP13x_0" localSheetId="57">'315'!$P$13:$P$16</definedName>
    <definedName name="OSRRefP13x_0" localSheetId="60">'316'!$P$13:$P$15</definedName>
    <definedName name="OSRRefP13x_0" localSheetId="62">'317'!$P$13:$P$16</definedName>
    <definedName name="OSRRefP13x_0" localSheetId="66">'321'!$P$13:$P$14</definedName>
    <definedName name="OSRRefP13x_0" localSheetId="55">'324'!$P$13:$P$14</definedName>
    <definedName name="OSRRefP13x_0" localSheetId="67">'325'!$P$13</definedName>
    <definedName name="OSRRefP13x_0" localSheetId="58">'326'!$P$13:$P$15</definedName>
    <definedName name="OSRRefP13x_0" localSheetId="51">'330'!$P$13:$P$14</definedName>
    <definedName name="OSRRefP13x_0" localSheetId="56">'331'!$P$13:$P$16</definedName>
    <definedName name="OSRRefP13x_0" localSheetId="59">'332'!$P$13:$P$15</definedName>
    <definedName name="OSRRefP13x_0" localSheetId="75">'415'!$P$13:$P$16</definedName>
    <definedName name="OSRRefP13x_0" localSheetId="76">'418'!$P$13:$P$14</definedName>
    <definedName name="OSRRefP13x_0" localSheetId="84">'444'!$P$13:$P$15</definedName>
    <definedName name="OSRRefP13x_0" localSheetId="70">'491'!$P$13:$P$16</definedName>
    <definedName name="OSRRefP13x_0" localSheetId="81">'492'!$P$13:$P$15</definedName>
    <definedName name="OSRRefP13x_0" localSheetId="87">'501'!$P$13</definedName>
    <definedName name="OSRRefP13x_0" localSheetId="47">'Div 3'!$P$13:$P$17</definedName>
    <definedName name="OSRRefP13x_0" localSheetId="68">'Div 4'!$P$13:$P$18</definedName>
    <definedName name="OSRRefP13x_0" localSheetId="86">'Div 5'!$P$13</definedName>
    <definedName name="OSRRefP13x_0" localSheetId="61">'Div 6'!$P$13:$P$16</definedName>
    <definedName name="OSRRefP13x_0" localSheetId="2">Summary!$P$13:$P$21</definedName>
    <definedName name="OSRRefP16x_0" localSheetId="48">'300'!$P$20:$P$40</definedName>
    <definedName name="OSRRefP16x_0" localSheetId="49">'300 &amp; 317'!$P$20:$P$46</definedName>
    <definedName name="OSRRefP16x_0" localSheetId="52">'307'!$P$17</definedName>
    <definedName name="OSRRefP16x_0" localSheetId="53">'308'!$P$19:$P$28</definedName>
    <definedName name="OSRRefP16x_0" localSheetId="63">'310'!$P$17:$P$18</definedName>
    <definedName name="OSRRefP16x_0" localSheetId="69">'310 &amp; 491'!$P$19:$P$21</definedName>
    <definedName name="OSRRefP16x_0" localSheetId="54">'311'!$P$19:$P$28</definedName>
    <definedName name="OSRRefP16x_0" localSheetId="57">'315'!$P$19:$P$33</definedName>
    <definedName name="OSRRefP16x_0" localSheetId="60">'316'!$P$18</definedName>
    <definedName name="OSRRefP16x_0" localSheetId="62">'317'!$P$19:$P$28</definedName>
    <definedName name="OSRRefP16x_0" localSheetId="66">'321'!$P$17</definedName>
    <definedName name="OSRRefP16x_0" localSheetId="55">'324'!$P$17</definedName>
    <definedName name="OSRRefP16x_0" localSheetId="67">'325'!$P$16</definedName>
    <definedName name="OSRRefP16x_0" localSheetId="58">'326'!$P$18:$P$19</definedName>
    <definedName name="OSRRefP16x_0" localSheetId="51">'330'!$P$17</definedName>
    <definedName name="OSRRefP16x_0" localSheetId="56">'331'!$P$19:$P$33</definedName>
    <definedName name="OSRRefP16x_0" localSheetId="59">'332'!$P$18</definedName>
    <definedName name="OSRRefP16x_0" localSheetId="71">'405'!$P$15</definedName>
    <definedName name="OSRRefP16x_0" localSheetId="75">'415'!$P$19:$P$21</definedName>
    <definedName name="OSRRefP16x_0" localSheetId="76">'418'!$P$17</definedName>
    <definedName name="OSRRefP16x_0" localSheetId="79">'425'!$P$15</definedName>
    <definedName name="OSRRefP16x_0" localSheetId="84">'444'!$P$18:$P$19</definedName>
    <definedName name="OSRRefP16x_0" localSheetId="70">'491'!$P$19:$P$21</definedName>
    <definedName name="OSRRefP16x_0" localSheetId="81">'492'!$P$18:$P$19</definedName>
    <definedName name="OSRRefP16x_0" localSheetId="47">'Div 3'!$P$20:$P$41</definedName>
    <definedName name="OSRRefP16x_0" localSheetId="68">'Div 4'!$P$21:$P$23</definedName>
    <definedName name="OSRRefP16x_0" localSheetId="61">'Div 6'!$P$19:$P$28</definedName>
    <definedName name="OSRRefP16x_0" localSheetId="2">Summary!$P$24:$P$52</definedName>
    <definedName name="OSRRefP22_0x_0" localSheetId="40">'200'!$P$20</definedName>
    <definedName name="OSRRefP22_0x_0" localSheetId="41">'201'!$P$20:$P$28</definedName>
    <definedName name="OSRRefP22_0x_0" localSheetId="42">'202'!$P$20:$P$28</definedName>
    <definedName name="OSRRefP22_0x_0" localSheetId="43">'203'!$P$20:$P$29</definedName>
    <definedName name="OSRRefP22_0x_0" localSheetId="44">'204'!$P$20:$P$28</definedName>
    <definedName name="OSRRefP22_0x_0" localSheetId="45">'205'!$P$20:$P$28</definedName>
    <definedName name="OSRRefP22_0x_0" localSheetId="46">'206'!$P$20:$P$28</definedName>
    <definedName name="OSRRefP22_0x_0" localSheetId="48">'300'!$P$46:$P$55</definedName>
    <definedName name="OSRRefP22_0x_0" localSheetId="49">'300 &amp; 317'!$P$52:$P$61</definedName>
    <definedName name="OSRRefP22_0x_0" localSheetId="50">'301'!$P$20:$P$29</definedName>
    <definedName name="OSRRefP22_0x_0" localSheetId="52">'307'!$P$23:$P$30</definedName>
    <definedName name="OSRRefP22_0x_0" localSheetId="53">'308'!$P$34:$P$43</definedName>
    <definedName name="OSRRefP22_0x_0" localSheetId="64">'309'!$P$20</definedName>
    <definedName name="OSRRefP22_0x_0" localSheetId="63">'310'!$P$24:$P$31</definedName>
    <definedName name="OSRRefP22_0x_0" localSheetId="69">'310 &amp; 491'!$P$27:$P$35</definedName>
    <definedName name="OSRRefP22_0x_0" localSheetId="54">'311'!$P$34:$P$43</definedName>
    <definedName name="OSRRefP22_0x_0" localSheetId="65">'313'!$P$20</definedName>
    <definedName name="OSRRefP22_0x_0" localSheetId="57">'315'!$P$39:$P$47</definedName>
    <definedName name="OSRRefP22_0x_0" localSheetId="60">'316'!$P$24:$P$32</definedName>
    <definedName name="OSRRefP22_0x_0" localSheetId="62">'317'!$P$34:$P$43</definedName>
    <definedName name="OSRRefP22_0x_0" localSheetId="66">'321'!$P$23:$P$30</definedName>
    <definedName name="OSRRefP22_0x_0" localSheetId="67">'325'!$P$22:$P$29</definedName>
    <definedName name="OSRRefP22_0x_0" localSheetId="58">'326'!$P$25:$P$33</definedName>
    <definedName name="OSRRefP22_0x_0" localSheetId="51">'330'!$P$23:$P$30</definedName>
    <definedName name="OSRRefP22_0x_0" localSheetId="56">'331'!$P$39:$P$47</definedName>
    <definedName name="OSRRefP22_0x_0" localSheetId="59">'332'!$P$24:$P$32</definedName>
    <definedName name="OSRRefP22_0x_0" localSheetId="71">'405'!$P$21:$P$29</definedName>
    <definedName name="OSRRefP22_0x_0" localSheetId="72">'411'!$P$20:$P$28</definedName>
    <definedName name="OSRRefP22_0x_0" localSheetId="73">'412'!$P$20</definedName>
    <definedName name="OSRRefP22_0x_0" localSheetId="74">'413'!$P$20</definedName>
    <definedName name="OSRRefP22_0x_0" localSheetId="75">'415'!$P$27:$P$35</definedName>
    <definedName name="OSRRefP22_0x_0" localSheetId="76">'418'!$P$23:$P$31</definedName>
    <definedName name="OSRRefP22_0x_0" localSheetId="77">'423'!$P$20:$P$27</definedName>
    <definedName name="OSRRefP22_0x_0" localSheetId="78">'424'!$P$20</definedName>
    <definedName name="OSRRefP22_0x_0" localSheetId="79">'425'!$P$21</definedName>
    <definedName name="OSRRefP22_0x_0" localSheetId="82">'430'!$P$20:$P$28</definedName>
    <definedName name="OSRRefP22_0x_0" localSheetId="83">'433'!$P$20:$P$29</definedName>
    <definedName name="OSRRefP22_0x_0" localSheetId="84">'444'!$P$25:$P$34</definedName>
    <definedName name="OSRRefP22_0x_0" localSheetId="85">'450'!$P$20:$P$29</definedName>
    <definedName name="OSRRefP22_0x_0" localSheetId="70">'491'!$P$27:$P$35</definedName>
    <definedName name="OSRRefP22_0x_0" localSheetId="81">'492'!$P$25:$P$34</definedName>
    <definedName name="OSRRefP22_0x_0" localSheetId="87">'501'!$P$21:$P$29</definedName>
    <definedName name="OSRRefP22_0x_0" localSheetId="39">'Div 2'!$P$20:$P$30</definedName>
    <definedName name="OSRRefP22_0x_0" localSheetId="47">'Div 3'!$P$47:$P$56</definedName>
    <definedName name="OSRRefP22_0x_0" localSheetId="68">'Div 4'!$P$29:$P$38</definedName>
    <definedName name="OSRRefP22_0x_0" localSheetId="86">'Div 5'!$P$21:$P$29</definedName>
    <definedName name="OSRRefP22_0x_0" localSheetId="61">'Div 6'!$P$34:$P$43</definedName>
    <definedName name="OSRRefP22_0x_0" localSheetId="2">Summary!$P$58:$P$67</definedName>
    <definedName name="OSRRefP22_10x_0" localSheetId="41">'201'!$P$58</definedName>
    <definedName name="OSRRefP22_10x_0" localSheetId="42">'202'!$P$59</definedName>
    <definedName name="OSRRefP22_10x_0" localSheetId="43">'203'!$P$60</definedName>
    <definedName name="OSRRefP22_10x_0" localSheetId="48">'300'!$P$86:$P$87</definedName>
    <definedName name="OSRRefP22_10x_0" localSheetId="49">'300 &amp; 317'!$P$92:$P$93</definedName>
    <definedName name="OSRRefP22_10x_0" localSheetId="50">'301'!$P$59</definedName>
    <definedName name="OSRRefP22_10x_0" localSheetId="53">'308'!$P$74:$P$75</definedName>
    <definedName name="OSRRefP22_10x_0" localSheetId="63">'310'!$P$62</definedName>
    <definedName name="OSRRefP22_10x_0" localSheetId="69">'310 &amp; 491'!$P$65</definedName>
    <definedName name="OSRRefP22_10x_0" localSheetId="54">'311'!$P$74:$P$75</definedName>
    <definedName name="OSRRefP22_10x_0" localSheetId="57">'315'!$P$77</definedName>
    <definedName name="OSRRefP22_10x_0" localSheetId="67">'325'!$P$64:$P$65</definedName>
    <definedName name="OSRRefP22_10x_0" localSheetId="58">'326'!$P$62</definedName>
    <definedName name="OSRRefP22_10x_0" localSheetId="56">'331'!$P$78</definedName>
    <definedName name="OSRRefP22_10x_0" localSheetId="71">'405'!$P$64</definedName>
    <definedName name="OSRRefP22_10x_0" localSheetId="72">'411'!$P$60</definedName>
    <definedName name="OSRRefP22_10x_0" localSheetId="75">'415'!$P$65:$P$66</definedName>
    <definedName name="OSRRefP22_10x_0" localSheetId="76">'418'!$P$71:$P$72</definedName>
    <definedName name="OSRRefP22_10x_0" localSheetId="83">'433'!$P$62:$P$67</definedName>
    <definedName name="OSRRefP22_10x_0" localSheetId="84">'444'!$P$64:$P$67</definedName>
    <definedName name="OSRRefP22_10x_0" localSheetId="85">'450'!$P$66</definedName>
    <definedName name="OSRRefP22_10x_0" localSheetId="70">'491'!$P$65</definedName>
    <definedName name="OSRRefP22_10x_0" localSheetId="81">'492'!$P$63</definedName>
    <definedName name="OSRRefP22_10x_0" localSheetId="87">'501'!$P$59</definedName>
    <definedName name="OSRRefP22_10x_0" localSheetId="39">'Div 2'!$P$60</definedName>
    <definedName name="OSRRefP22_10x_0" localSheetId="47">'Div 3'!$P$87:$P$88</definedName>
    <definedName name="OSRRefP22_10x_0" localSheetId="68">'Div 4'!$P$68</definedName>
    <definedName name="OSRRefP22_10x_0" localSheetId="86">'Div 5'!$P$59</definedName>
    <definedName name="OSRRefP22_10x_0" localSheetId="2">Summary!$P$98:$P$99</definedName>
    <definedName name="OSRRefP22_11x_0" localSheetId="43">'203'!$P$62:$P$65</definedName>
    <definedName name="OSRRefP22_11x_0" localSheetId="48">'300'!$P$89:$P$90</definedName>
    <definedName name="OSRRefP22_11x_0" localSheetId="49">'300 &amp; 317'!$P$95:$P$96</definedName>
    <definedName name="OSRRefP22_11x_0" localSheetId="50">'301'!$P$61</definedName>
    <definedName name="OSRRefP22_11x_0" localSheetId="53">'308'!$P$77:$P$78</definedName>
    <definedName name="OSRRefP22_11x_0" localSheetId="63">'310'!$P$64:$P$68</definedName>
    <definedName name="OSRRefP22_11x_0" localSheetId="69">'310 &amp; 491'!$P$67:$P$68</definedName>
    <definedName name="OSRRefP22_11x_0" localSheetId="54">'311'!$P$77:$P$78</definedName>
    <definedName name="OSRRefP22_11x_0" localSheetId="57">'315'!$P$79:$P$81</definedName>
    <definedName name="OSRRefP22_11x_0" localSheetId="67">'325'!$P$67</definedName>
    <definedName name="OSRRefP22_11x_0" localSheetId="58">'326'!$P$64:$P$65</definedName>
    <definedName name="OSRRefP22_11x_0" localSheetId="56">'331'!$P$80</definedName>
    <definedName name="OSRRefP22_11x_0" localSheetId="72">'411'!$P$62</definedName>
    <definedName name="OSRRefP22_11x_0" localSheetId="75">'415'!$P$68:$P$71</definedName>
    <definedName name="OSRRefP22_11x_0" localSheetId="76">'418'!$P$74</definedName>
    <definedName name="OSRRefP22_11x_0" localSheetId="83">'433'!$P$69</definedName>
    <definedName name="OSRRefP22_11x_0" localSheetId="84">'444'!$P$69:$P$74</definedName>
    <definedName name="OSRRefP22_11x_0" localSheetId="85">'450'!$P$68</definedName>
    <definedName name="OSRRefP22_11x_0" localSheetId="70">'491'!$P$67:$P$68</definedName>
    <definedName name="OSRRefP22_11x_0" localSheetId="81">'492'!$P$65:$P$67</definedName>
    <definedName name="OSRRefP22_11x_0" localSheetId="87">'501'!$P$61:$P$62</definedName>
    <definedName name="OSRRefP22_11x_0" localSheetId="39">'Div 2'!$P$62</definedName>
    <definedName name="OSRRefP22_11x_0" localSheetId="47">'Div 3'!$P$90:$P$91</definedName>
    <definedName name="OSRRefP22_11x_0" localSheetId="68">'Div 4'!$P$70</definedName>
    <definedName name="OSRRefP22_11x_0" localSheetId="86">'Div 5'!$P$61:$P$62</definedName>
    <definedName name="OSRRefP22_11x_0" localSheetId="2">Summary!$P$101:$P$102</definedName>
    <definedName name="OSRRefP22_12x_0" localSheetId="43">'203'!$P$67</definedName>
    <definedName name="OSRRefP22_12x_0" localSheetId="48">'300'!$P$92</definedName>
    <definedName name="OSRRefP22_12x_0" localSheetId="49">'300 &amp; 317'!$P$98</definedName>
    <definedName name="OSRRefP22_12x_0" localSheetId="50">'301'!$P$63</definedName>
    <definedName name="OSRRefP22_12x_0" localSheetId="63">'310'!$P$70:$P$71</definedName>
    <definedName name="OSRRefP22_12x_0" localSheetId="69">'310 &amp; 491'!$P$70</definedName>
    <definedName name="OSRRefP22_12x_0" localSheetId="57">'315'!$P$83:$P$84</definedName>
    <definedName name="OSRRefP22_12x_0" localSheetId="58">'326'!$P$67:$P$68</definedName>
    <definedName name="OSRRefP22_12x_0" localSheetId="56">'331'!$P$82:$P$83</definedName>
    <definedName name="OSRRefP22_12x_0" localSheetId="72">'411'!$P$64</definedName>
    <definedName name="OSRRefP22_12x_0" localSheetId="75">'415'!$P$73</definedName>
    <definedName name="OSRRefP22_12x_0" localSheetId="76">'418'!$P$76</definedName>
    <definedName name="OSRRefP22_12x_0" localSheetId="84">'444'!$P$76</definedName>
    <definedName name="OSRRefP22_12x_0" localSheetId="70">'491'!$P$70:$P$74</definedName>
    <definedName name="OSRRefP22_12x_0" localSheetId="81">'492'!$P$69:$P$72</definedName>
    <definedName name="OSRRefP22_12x_0" localSheetId="87">'501'!$P$64</definedName>
    <definedName name="OSRRefP22_12x_0" localSheetId="39">'Div 2'!$P$64:$P$67</definedName>
    <definedName name="OSRRefP22_12x_0" localSheetId="47">'Div 3'!$P$93</definedName>
    <definedName name="OSRRefP22_12x_0" localSheetId="68">'Div 4'!$P$72</definedName>
    <definedName name="OSRRefP22_12x_0" localSheetId="86">'Div 5'!$P$64</definedName>
    <definedName name="OSRRefP22_12x_0" localSheetId="2">Summary!$P$104</definedName>
    <definedName name="OSRRefP22_13x_0" localSheetId="43">'203'!$P$69</definedName>
    <definedName name="OSRRefP22_13x_0" localSheetId="48">'300'!$P$94</definedName>
    <definedName name="OSRRefP22_13x_0" localSheetId="49">'300 &amp; 317'!$P$100</definedName>
    <definedName name="OSRRefP22_13x_0" localSheetId="50">'301'!$P$65:$P$68</definedName>
    <definedName name="OSRRefP22_13x_0" localSheetId="63">'310'!$P$73</definedName>
    <definedName name="OSRRefP22_13x_0" localSheetId="69">'310 &amp; 491'!$P$72:$P$76</definedName>
    <definedName name="OSRRefP22_13x_0" localSheetId="57">'315'!$P$86:$P$88</definedName>
    <definedName name="OSRRefP22_13x_0" localSheetId="58">'326'!$P$70:$P$71</definedName>
    <definedName name="OSRRefP22_13x_0" localSheetId="56">'331'!$P$85:$P$87</definedName>
    <definedName name="OSRRefP22_13x_0" localSheetId="75">'415'!$P$75:$P$78</definedName>
    <definedName name="OSRRefP22_13x_0" localSheetId="84">'444'!$P$78</definedName>
    <definedName name="OSRRefP22_13x_0" localSheetId="70">'491'!$P$76</definedName>
    <definedName name="OSRRefP22_13x_0" localSheetId="81">'492'!$P$74:$P$80</definedName>
    <definedName name="OSRRefP22_13x_0" localSheetId="39">'Div 2'!$P$69:$P$72</definedName>
    <definedName name="OSRRefP22_13x_0" localSheetId="47">'Div 3'!$P$95</definedName>
    <definedName name="OSRRefP22_13x_0" localSheetId="68">'Div 4'!$P$74:$P$76</definedName>
    <definedName name="OSRRefP22_13x_0" localSheetId="2">Summary!$P$106</definedName>
    <definedName name="OSRRefP22_14x_0" localSheetId="48">'300'!$P$96</definedName>
    <definedName name="OSRRefP22_14x_0" localSheetId="49">'300 &amp; 317'!$P$102</definedName>
    <definedName name="OSRRefP22_14x_0" localSheetId="50">'301'!$P$70:$P$71</definedName>
    <definedName name="OSRRefP22_14x_0" localSheetId="69">'310 &amp; 491'!$P$78</definedName>
    <definedName name="OSRRefP22_14x_0" localSheetId="57">'315'!$P$90</definedName>
    <definedName name="OSRRefP22_14x_0" localSheetId="58">'326'!$P$73:$P$75</definedName>
    <definedName name="OSRRefP22_14x_0" localSheetId="56">'331'!$P$89:$P$90</definedName>
    <definedName name="OSRRefP22_14x_0" localSheetId="75">'415'!$P$80:$P$81</definedName>
    <definedName name="OSRRefP22_14x_0" localSheetId="70">'491'!$P$78:$P$85</definedName>
    <definedName name="OSRRefP22_14x_0" localSheetId="81">'492'!$P$82:$P$83</definedName>
    <definedName name="OSRRefP22_14x_0" localSheetId="39">'Div 2'!$P$74:$P$75</definedName>
    <definedName name="OSRRefP22_14x_0" localSheetId="47">'Div 3'!$P$97</definedName>
    <definedName name="OSRRefP22_14x_0" localSheetId="68">'Div 4'!$P$78:$P$82</definedName>
    <definedName name="OSRRefP22_14x_0" localSheetId="2">Summary!$P$108</definedName>
    <definedName name="OSRRefP22_15x_0" localSheetId="48">'300'!$P$98</definedName>
    <definedName name="OSRRefP22_15x_0" localSheetId="49">'300 &amp; 317'!$P$104</definedName>
    <definedName name="OSRRefP22_15x_0" localSheetId="50">'301'!$P$73:$P$76</definedName>
    <definedName name="OSRRefP22_15x_0" localSheetId="69">'310 &amp; 491'!$P$80:$P$89</definedName>
    <definedName name="OSRRefP22_15x_0" localSheetId="57">'315'!$P$92</definedName>
    <definedName name="OSRRefP22_15x_0" localSheetId="58">'326'!$P$77</definedName>
    <definedName name="OSRRefP22_15x_0" localSheetId="56">'331'!$P$92:$P$93</definedName>
    <definedName name="OSRRefP22_15x_0" localSheetId="75">'415'!$P$83</definedName>
    <definedName name="OSRRefP22_15x_0" localSheetId="70">'491'!$P$87:$P$88</definedName>
    <definedName name="OSRRefP22_15x_0" localSheetId="81">'492'!$P$85</definedName>
    <definedName name="OSRRefP22_15x_0" localSheetId="39">'Div 2'!$P$77</definedName>
    <definedName name="OSRRefP22_15x_0" localSheetId="47">'Div 3'!$P$99</definedName>
    <definedName name="OSRRefP22_15x_0" localSheetId="68">'Div 4'!$P$84</definedName>
    <definedName name="OSRRefP22_15x_0" localSheetId="2">Summary!$P$110</definedName>
    <definedName name="OSRRefP22_16x_0" localSheetId="48">'300'!$P$100:$P$103</definedName>
    <definedName name="OSRRefP22_16x_0" localSheetId="49">'300 &amp; 317'!$P$106:$P$109</definedName>
    <definedName name="OSRRefP22_16x_0" localSheetId="50">'301'!$P$78</definedName>
    <definedName name="OSRRefP22_16x_0" localSheetId="69">'310 &amp; 491'!$P$91:$P$92</definedName>
    <definedName name="OSRRefP22_16x_0" localSheetId="58">'326'!$P$79:$P$80</definedName>
    <definedName name="OSRRefP22_16x_0" localSheetId="56">'331'!$P$95:$P$98</definedName>
    <definedName name="OSRRefP22_16x_0" localSheetId="75">'415'!$P$85</definedName>
    <definedName name="OSRRefP22_16x_0" localSheetId="70">'491'!$P$90</definedName>
    <definedName name="OSRRefP22_16x_0" localSheetId="39">'Div 2'!$P$79:$P$84</definedName>
    <definedName name="OSRRefP22_16x_0" localSheetId="47">'Div 3'!$P$101</definedName>
    <definedName name="OSRRefP22_16x_0" localSheetId="68">'Div 4'!$P$86:$P$94</definedName>
    <definedName name="OSRRefP22_16x_0" localSheetId="2">Summary!$P$112</definedName>
    <definedName name="OSRRefP22_17x_0" localSheetId="48">'300'!$P$105:$P$108</definedName>
    <definedName name="OSRRefP22_17x_0" localSheetId="49">'300 &amp; 317'!$P$111:$P$114</definedName>
    <definedName name="OSRRefP22_17x_0" localSheetId="50">'301'!$P$80</definedName>
    <definedName name="OSRRefP22_17x_0" localSheetId="69">'310 &amp; 491'!$P$94</definedName>
    <definedName name="OSRRefP22_17x_0" localSheetId="58">'326'!$P$82</definedName>
    <definedName name="OSRRefP22_17x_0" localSheetId="56">'331'!$P$100</definedName>
    <definedName name="OSRRefP22_17x_0" localSheetId="70">'491'!$P$92</definedName>
    <definedName name="OSRRefP22_17x_0" localSheetId="39">'Div 2'!$P$86:$P$87</definedName>
    <definedName name="OSRRefP22_17x_0" localSheetId="47">'Div 3'!$P$103:$P$106</definedName>
    <definedName name="OSRRefP22_17x_0" localSheetId="68">'Div 4'!$P$96:$P$97</definedName>
    <definedName name="OSRRefP22_17x_0" localSheetId="2">Summary!$P$114</definedName>
    <definedName name="OSRRefP22_18x_0" localSheetId="48">'300'!$P$110:$P$112</definedName>
    <definedName name="OSRRefP22_18x_0" localSheetId="49">'300 &amp; 317'!$P$116:$P$118</definedName>
    <definedName name="OSRRefP22_18x_0" localSheetId="50">'301'!$P$82</definedName>
    <definedName name="OSRRefP22_18x_0" localSheetId="69">'310 &amp; 491'!$P$96</definedName>
    <definedName name="OSRRefP22_18x_0" localSheetId="56">'331'!$P$102:$P$103</definedName>
    <definedName name="OSRRefP22_18x_0" localSheetId="39">'Div 2'!$P$89</definedName>
    <definedName name="OSRRefP22_18x_0" localSheetId="47">'Div 3'!$P$108:$P$111</definedName>
    <definedName name="OSRRefP22_18x_0" localSheetId="68">'Div 4'!$P$99</definedName>
    <definedName name="OSRRefP22_18x_0" localSheetId="2">Summary!$P$116:$P$119</definedName>
    <definedName name="OSRRefP22_19x_0" localSheetId="48">'300'!$P$114:$P$115</definedName>
    <definedName name="OSRRefP22_19x_0" localSheetId="49">'300 &amp; 317'!$P$120:$P$121</definedName>
    <definedName name="OSRRefP22_19x_0" localSheetId="56">'331'!$P$105</definedName>
    <definedName name="OSRRefP22_19x_0" localSheetId="39">'Div 2'!$P$91</definedName>
    <definedName name="OSRRefP22_19x_0" localSheetId="47">'Div 3'!$P$113:$P$115</definedName>
    <definedName name="OSRRefP22_19x_0" localSheetId="68">'Div 4'!$P$101</definedName>
    <definedName name="OSRRefP22_19x_0" localSheetId="2">Summary!$P$121:$P$124</definedName>
    <definedName name="OSRRefP22_1x_0" localSheetId="40">'200'!$P$22</definedName>
    <definedName name="OSRRefP22_1x_0" localSheetId="41">'201'!$P$30:$P$39</definedName>
    <definedName name="OSRRefP22_1x_0" localSheetId="42">'202'!$P$30:$P$39</definedName>
    <definedName name="OSRRefP22_1x_0" localSheetId="43">'203'!$P$31:$P$40</definedName>
    <definedName name="OSRRefP22_1x_0" localSheetId="44">'204'!$P$30:$P$39</definedName>
    <definedName name="OSRRefP22_1x_0" localSheetId="45">'205'!$P$30:$P$39</definedName>
    <definedName name="OSRRefP22_1x_0" localSheetId="46">'206'!$P$30:$P$39</definedName>
    <definedName name="OSRRefP22_1x_0" localSheetId="48">'300'!$P$57:$P$66</definedName>
    <definedName name="OSRRefP22_1x_0" localSheetId="49">'300 &amp; 317'!$P$63:$P$72</definedName>
    <definedName name="OSRRefP22_1x_0" localSheetId="50">'301'!$P$31:$P$40</definedName>
    <definedName name="OSRRefP22_1x_0" localSheetId="52">'307'!$P$32:$P$41</definedName>
    <definedName name="OSRRefP22_1x_0" localSheetId="53">'308'!$P$45:$P$54</definedName>
    <definedName name="OSRRefP22_1x_0" localSheetId="64">'309'!$P$22</definedName>
    <definedName name="OSRRefP22_1x_0" localSheetId="63">'310'!$P$33:$P$42</definedName>
    <definedName name="OSRRefP22_1x_0" localSheetId="69">'310 &amp; 491'!$P$37:$P$46</definedName>
    <definedName name="OSRRefP22_1x_0" localSheetId="54">'311'!$P$45:$P$54</definedName>
    <definedName name="OSRRefP22_1x_0" localSheetId="57">'315'!$P$49:$P$58</definedName>
    <definedName name="OSRRefP22_1x_0" localSheetId="60">'316'!$P$34:$P$43</definedName>
    <definedName name="OSRRefP22_1x_0" localSheetId="62">'317'!$P$45:$P$54</definedName>
    <definedName name="OSRRefP22_1x_0" localSheetId="66">'321'!$P$32:$P$41</definedName>
    <definedName name="OSRRefP22_1x_0" localSheetId="67">'325'!$P$31:$P$40</definedName>
    <definedName name="OSRRefP22_1x_0" localSheetId="58">'326'!$P$35:$P$44</definedName>
    <definedName name="OSRRefP22_1x_0" localSheetId="51">'330'!$P$32:$P$41</definedName>
    <definedName name="OSRRefP22_1x_0" localSheetId="56">'331'!$P$49:$P$58</definedName>
    <definedName name="OSRRefP22_1x_0" localSheetId="59">'332'!$P$34:$P$43</definedName>
    <definedName name="OSRRefP22_1x_0" localSheetId="71">'405'!$P$31:$P$40</definedName>
    <definedName name="OSRRefP22_1x_0" localSheetId="72">'411'!$P$30:$P$39</definedName>
    <definedName name="OSRRefP22_1x_0" localSheetId="73">'412'!$P$22</definedName>
    <definedName name="OSRRefP22_1x_0" localSheetId="74">'413'!$P$22</definedName>
    <definedName name="OSRRefP22_1x_0" localSheetId="75">'415'!$P$37:$P$46</definedName>
    <definedName name="OSRRefP22_1x_0" localSheetId="76">'418'!$P$33:$P$42</definedName>
    <definedName name="OSRRefP22_1x_0" localSheetId="77">'423'!$P$29:$P$38</definedName>
    <definedName name="OSRRefP22_1x_0" localSheetId="78">'424'!$P$22</definedName>
    <definedName name="OSRRefP22_1x_0" localSheetId="79">'425'!$P$23</definedName>
    <definedName name="OSRRefP22_1x_0" localSheetId="82">'430'!$P$30:$P$39</definedName>
    <definedName name="OSRRefP22_1x_0" localSheetId="83">'433'!$P$31:$P$40</definedName>
    <definedName name="OSRRefP22_1x_0" localSheetId="84">'444'!$P$36:$P$45</definedName>
    <definedName name="OSRRefP22_1x_0" localSheetId="85">'450'!$P$31:$P$40</definedName>
    <definedName name="OSRRefP22_1x_0" localSheetId="70">'491'!$P$37:$P$46</definedName>
    <definedName name="OSRRefP22_1x_0" localSheetId="81">'492'!$P$36:$P$45</definedName>
    <definedName name="OSRRefP22_1x_0" localSheetId="87">'501'!$P$31:$P$40</definedName>
    <definedName name="OSRRefP22_1x_0" localSheetId="39">'Div 2'!$P$32:$P$41</definedName>
    <definedName name="OSRRefP22_1x_0" localSheetId="47">'Div 3'!$P$58:$P$67</definedName>
    <definedName name="OSRRefP22_1x_0" localSheetId="68">'Div 4'!$P$40:$P$49</definedName>
    <definedName name="OSRRefP22_1x_0" localSheetId="86">'Div 5'!$P$31:$P$40</definedName>
    <definedName name="OSRRefP22_1x_0" localSheetId="61">'Div 6'!$P$45:$P$54</definedName>
    <definedName name="OSRRefP22_1x_0" localSheetId="2">Summary!$P$69:$P$78</definedName>
    <definedName name="OSRRefP22_20x_0" localSheetId="48">'300'!$P$117:$P$122</definedName>
    <definedName name="OSRRefP22_20x_0" localSheetId="49">'300 &amp; 317'!$P$123:$P$128</definedName>
    <definedName name="OSRRefP22_20x_0" localSheetId="47">'Div 3'!$P$117:$P$118</definedName>
    <definedName name="OSRRefP22_20x_0" localSheetId="2">Summary!$P$126:$P$130</definedName>
    <definedName name="OSRRefP22_21x_0" localSheetId="48">'300'!$P$124:$P$125</definedName>
    <definedName name="OSRRefP22_21x_0" localSheetId="49">'300 &amp; 317'!$P$130:$P$131</definedName>
    <definedName name="OSRRefP22_21x_0" localSheetId="47">'Div 3'!$P$120:$P$126</definedName>
    <definedName name="OSRRefP22_21x_0" localSheetId="2">Summary!$P$132:$P$133</definedName>
    <definedName name="OSRRefP22_22x_0" localSheetId="48">'300'!$P$127:$P$129</definedName>
    <definedName name="OSRRefP22_22x_0" localSheetId="49">'300 &amp; 317'!$P$133:$P$135</definedName>
    <definedName name="OSRRefP22_22x_0" localSheetId="47">'Div 3'!$P$128:$P$129</definedName>
    <definedName name="OSRRefP22_22x_0" localSheetId="2">Summary!$P$135:$P$144</definedName>
    <definedName name="OSRRefP22_23x_0" localSheetId="48">'300'!$P$131</definedName>
    <definedName name="OSRRefP22_23x_0" localSheetId="49">'300 &amp; 317'!$P$137</definedName>
    <definedName name="OSRRefP22_23x_0" localSheetId="47">'Div 3'!$P$131:$P$133</definedName>
    <definedName name="OSRRefP22_23x_0" localSheetId="2">Summary!$P$146:$P$147</definedName>
    <definedName name="OSRRefP22_24x_0" localSheetId="47">'Div 3'!$P$135</definedName>
    <definedName name="OSRRefP22_24x_0" localSheetId="2">Summary!$P$149</definedName>
    <definedName name="OSRRefP22_25x_0" localSheetId="2">Summary!$P$151:$P$153</definedName>
    <definedName name="OSRRefP22_26x_0" localSheetId="2">Summary!$P$155</definedName>
    <definedName name="OSRRefP22_2x_0" localSheetId="40">'200'!$P$24</definedName>
    <definedName name="OSRRefP22_2x_0" localSheetId="41">'201'!$P$41</definedName>
    <definedName name="OSRRefP22_2x_0" localSheetId="42">'202'!$P$41</definedName>
    <definedName name="OSRRefP22_2x_0" localSheetId="43">'203'!$P$42</definedName>
    <definedName name="OSRRefP22_2x_0" localSheetId="44">'204'!$P$41</definedName>
    <definedName name="OSRRefP22_2x_0" localSheetId="45">'205'!$P$41</definedName>
    <definedName name="OSRRefP22_2x_0" localSheetId="46">'206'!$P$41</definedName>
    <definedName name="OSRRefP22_2x_0" localSheetId="48">'300'!$P$68</definedName>
    <definedName name="OSRRefP22_2x_0" localSheetId="49">'300 &amp; 317'!$P$74</definedName>
    <definedName name="OSRRefP22_2x_0" localSheetId="50">'301'!$P$42</definedName>
    <definedName name="OSRRefP22_2x_0" localSheetId="52">'307'!$P$43</definedName>
    <definedName name="OSRRefP22_2x_0" localSheetId="53">'308'!$P$56</definedName>
    <definedName name="OSRRefP22_2x_0" localSheetId="64">'309'!$P$24</definedName>
    <definedName name="OSRRefP22_2x_0" localSheetId="63">'310'!$P$44</definedName>
    <definedName name="OSRRefP22_2x_0" localSheetId="69">'310 &amp; 491'!$P$48</definedName>
    <definedName name="OSRRefP22_2x_0" localSheetId="54">'311'!$P$56</definedName>
    <definedName name="OSRRefP22_2x_0" localSheetId="57">'315'!$P$60</definedName>
    <definedName name="OSRRefP22_2x_0" localSheetId="60">'316'!$P$45</definedName>
    <definedName name="OSRRefP22_2x_0" localSheetId="62">'317'!$P$56</definedName>
    <definedName name="OSRRefP22_2x_0" localSheetId="66">'321'!$P$43</definedName>
    <definedName name="OSRRefP22_2x_0" localSheetId="67">'325'!$P$42</definedName>
    <definedName name="OSRRefP22_2x_0" localSheetId="58">'326'!$P$46</definedName>
    <definedName name="OSRRefP22_2x_0" localSheetId="51">'330'!$P$43</definedName>
    <definedName name="OSRRefP22_2x_0" localSheetId="56">'331'!$P$60</definedName>
    <definedName name="OSRRefP22_2x_0" localSheetId="59">'332'!$P$45</definedName>
    <definedName name="OSRRefP22_2x_0" localSheetId="71">'405'!$P$42</definedName>
    <definedName name="OSRRefP22_2x_0" localSheetId="72">'411'!$P$41</definedName>
    <definedName name="OSRRefP22_2x_0" localSheetId="73">'412'!$P$24</definedName>
    <definedName name="OSRRefP22_2x_0" localSheetId="75">'415'!$P$48</definedName>
    <definedName name="OSRRefP22_2x_0" localSheetId="76">'418'!$P$44</definedName>
    <definedName name="OSRRefP22_2x_0" localSheetId="77">'423'!$P$40</definedName>
    <definedName name="OSRRefP22_2x_0" localSheetId="82">'430'!$P$41</definedName>
    <definedName name="OSRRefP22_2x_0" localSheetId="83">'433'!$P$42</definedName>
    <definedName name="OSRRefP22_2x_0" localSheetId="84">'444'!$P$47</definedName>
    <definedName name="OSRRefP22_2x_0" localSheetId="85">'450'!$P$42</definedName>
    <definedName name="OSRRefP22_2x_0" localSheetId="70">'491'!$P$48</definedName>
    <definedName name="OSRRefP22_2x_0" localSheetId="81">'492'!$P$47</definedName>
    <definedName name="OSRRefP22_2x_0" localSheetId="87">'501'!$P$42</definedName>
    <definedName name="OSRRefP22_2x_0" localSheetId="39">'Div 2'!$P$43</definedName>
    <definedName name="OSRRefP22_2x_0" localSheetId="47">'Div 3'!$P$69</definedName>
    <definedName name="OSRRefP22_2x_0" localSheetId="68">'Div 4'!$P$51</definedName>
    <definedName name="OSRRefP22_2x_0" localSheetId="86">'Div 5'!$P$42</definedName>
    <definedName name="OSRRefP22_2x_0" localSheetId="61">'Div 6'!$P$56</definedName>
    <definedName name="OSRRefP22_2x_0" localSheetId="2">Summary!$P$80</definedName>
    <definedName name="OSRRefP22_3x_0" localSheetId="40">'200'!$P$26:$P$27</definedName>
    <definedName name="OSRRefP22_3x_0" localSheetId="41">'201'!$P$43</definedName>
    <definedName name="OSRRefP22_3x_0" localSheetId="42">'202'!$P$43</definedName>
    <definedName name="OSRRefP22_3x_0" localSheetId="43">'203'!$P$44</definedName>
    <definedName name="OSRRefP22_3x_0" localSheetId="44">'204'!$P$43:$P$44</definedName>
    <definedName name="OSRRefP22_3x_0" localSheetId="45">'205'!$P$43</definedName>
    <definedName name="OSRRefP22_3x_0" localSheetId="46">'206'!$P$43</definedName>
    <definedName name="OSRRefP22_3x_0" localSheetId="48">'300'!$P$70</definedName>
    <definedName name="OSRRefP22_3x_0" localSheetId="49">'300 &amp; 317'!$P$76</definedName>
    <definedName name="OSRRefP22_3x_0" localSheetId="50">'301'!$P$44</definedName>
    <definedName name="OSRRefP22_3x_0" localSheetId="52">'307'!$P$45</definedName>
    <definedName name="OSRRefP22_3x_0" localSheetId="53">'308'!$P$58</definedName>
    <definedName name="OSRRefP22_3x_0" localSheetId="63">'310'!$P$46</definedName>
    <definedName name="OSRRefP22_3x_0" localSheetId="69">'310 &amp; 491'!$P$50</definedName>
    <definedName name="OSRRefP22_3x_0" localSheetId="54">'311'!$P$58</definedName>
    <definedName name="OSRRefP22_3x_0" localSheetId="57">'315'!$P$62</definedName>
    <definedName name="OSRRefP22_3x_0" localSheetId="60">'316'!$P$47</definedName>
    <definedName name="OSRRefP22_3x_0" localSheetId="62">'317'!$P$58</definedName>
    <definedName name="OSRRefP22_3x_0" localSheetId="66">'321'!$P$45</definedName>
    <definedName name="OSRRefP22_3x_0" localSheetId="67">'325'!$P$44</definedName>
    <definedName name="OSRRefP22_3x_0" localSheetId="58">'326'!$P$48</definedName>
    <definedName name="OSRRefP22_3x_0" localSheetId="51">'330'!$P$45</definedName>
    <definedName name="OSRRefP22_3x_0" localSheetId="56">'331'!$P$62</definedName>
    <definedName name="OSRRefP22_3x_0" localSheetId="59">'332'!$P$47</definedName>
    <definedName name="OSRRefP22_3x_0" localSheetId="71">'405'!$P$44</definedName>
    <definedName name="OSRRefP22_3x_0" localSheetId="72">'411'!$P$43:$P$44</definedName>
    <definedName name="OSRRefP22_3x_0" localSheetId="75">'415'!$P$50</definedName>
    <definedName name="OSRRefP22_3x_0" localSheetId="76">'418'!$P$46</definedName>
    <definedName name="OSRRefP22_3x_0" localSheetId="77">'423'!$P$42</definedName>
    <definedName name="OSRRefP22_3x_0" localSheetId="82">'430'!$P$43</definedName>
    <definedName name="OSRRefP22_3x_0" localSheetId="83">'433'!$P$44</definedName>
    <definedName name="OSRRefP22_3x_0" localSheetId="84">'444'!$P$49</definedName>
    <definedName name="OSRRefP22_3x_0" localSheetId="85">'450'!$P$44</definedName>
    <definedName name="OSRRefP22_3x_0" localSheetId="70">'491'!$P$50</definedName>
    <definedName name="OSRRefP22_3x_0" localSheetId="81">'492'!$P$49</definedName>
    <definedName name="OSRRefP22_3x_0" localSheetId="87">'501'!$P$44</definedName>
    <definedName name="OSRRefP22_3x_0" localSheetId="39">'Div 2'!$P$45</definedName>
    <definedName name="OSRRefP22_3x_0" localSheetId="47">'Div 3'!$P$71</definedName>
    <definedName name="OSRRefP22_3x_0" localSheetId="68">'Div 4'!$P$53</definedName>
    <definedName name="OSRRefP22_3x_0" localSheetId="86">'Div 5'!$P$44</definedName>
    <definedName name="OSRRefP22_3x_0" localSheetId="61">'Div 6'!$P$58</definedName>
    <definedName name="OSRRefP22_3x_0" localSheetId="2">Summary!$P$82</definedName>
    <definedName name="OSRRefP22_4x_0" localSheetId="41">'201'!$P$45</definedName>
    <definedName name="OSRRefP22_4x_0" localSheetId="42">'202'!$P$45</definedName>
    <definedName name="OSRRefP22_4x_0" localSheetId="43">'203'!$P$46</definedName>
    <definedName name="OSRRefP22_4x_0" localSheetId="44">'204'!$P$46</definedName>
    <definedName name="OSRRefP22_4x_0" localSheetId="45">'205'!$P$45:$P$46</definedName>
    <definedName name="OSRRefP22_4x_0" localSheetId="46">'206'!$P$45</definedName>
    <definedName name="OSRRefP22_4x_0" localSheetId="48">'300'!$P$72</definedName>
    <definedName name="OSRRefP22_4x_0" localSheetId="49">'300 &amp; 317'!$P$78</definedName>
    <definedName name="OSRRefP22_4x_0" localSheetId="50">'301'!$P$46:$P$47</definedName>
    <definedName name="OSRRefP22_4x_0" localSheetId="52">'307'!$P$47</definedName>
    <definedName name="OSRRefP22_4x_0" localSheetId="53">'308'!$P$60</definedName>
    <definedName name="OSRRefP22_4x_0" localSheetId="63">'310'!$P$48:$P$49</definedName>
    <definedName name="OSRRefP22_4x_0" localSheetId="69">'310 &amp; 491'!$P$52</definedName>
    <definedName name="OSRRefP22_4x_0" localSheetId="54">'311'!$P$60</definedName>
    <definedName name="OSRRefP22_4x_0" localSheetId="57">'315'!$P$64</definedName>
    <definedName name="OSRRefP22_4x_0" localSheetId="60">'316'!$P$49</definedName>
    <definedName name="OSRRefP22_4x_0" localSheetId="62">'317'!$P$60</definedName>
    <definedName name="OSRRefP22_4x_0" localSheetId="66">'321'!$P$47:$P$48</definedName>
    <definedName name="OSRRefP22_4x_0" localSheetId="67">'325'!$P$46:$P$47</definedName>
    <definedName name="OSRRefP22_4x_0" localSheetId="58">'326'!$P$50</definedName>
    <definedName name="OSRRefP22_4x_0" localSheetId="51">'330'!$P$47</definedName>
    <definedName name="OSRRefP22_4x_0" localSheetId="56">'331'!$P$64</definedName>
    <definedName name="OSRRefP22_4x_0" localSheetId="59">'332'!$P$49</definedName>
    <definedName name="OSRRefP22_4x_0" localSheetId="71">'405'!$P$46:$P$47</definedName>
    <definedName name="OSRRefP22_4x_0" localSheetId="72">'411'!$P$46</definedName>
    <definedName name="OSRRefP22_4x_0" localSheetId="75">'415'!$P$52</definedName>
    <definedName name="OSRRefP22_4x_0" localSheetId="76">'418'!$P$48:$P$49</definedName>
    <definedName name="OSRRefP22_4x_0" localSheetId="77">'423'!$P$44</definedName>
    <definedName name="OSRRefP22_4x_0" localSheetId="82">'430'!$P$45</definedName>
    <definedName name="OSRRefP22_4x_0" localSheetId="83">'433'!$P$46</definedName>
    <definedName name="OSRRefP22_4x_0" localSheetId="84">'444'!$P$51</definedName>
    <definedName name="OSRRefP22_4x_0" localSheetId="85">'450'!$P$46</definedName>
    <definedName name="OSRRefP22_4x_0" localSheetId="70">'491'!$P$52</definedName>
    <definedName name="OSRRefP22_4x_0" localSheetId="81">'492'!$P$51</definedName>
    <definedName name="OSRRefP22_4x_0" localSheetId="87">'501'!$P$46</definedName>
    <definedName name="OSRRefP22_4x_0" localSheetId="39">'Div 2'!$P$47</definedName>
    <definedName name="OSRRefP22_4x_0" localSheetId="47">'Div 3'!$P$73</definedName>
    <definedName name="OSRRefP22_4x_0" localSheetId="68">'Div 4'!$P$55</definedName>
    <definedName name="OSRRefP22_4x_0" localSheetId="86">'Div 5'!$P$46</definedName>
    <definedName name="OSRRefP22_4x_0" localSheetId="61">'Div 6'!$P$60</definedName>
    <definedName name="OSRRefP22_4x_0" localSheetId="2">Summary!$P$84</definedName>
    <definedName name="OSRRefP22_5x_0" localSheetId="41">'201'!$P$47</definedName>
    <definedName name="OSRRefP22_5x_0" localSheetId="42">'202'!$P$47</definedName>
    <definedName name="OSRRefP22_5x_0" localSheetId="43">'203'!$P$48</definedName>
    <definedName name="OSRRefP22_5x_0" localSheetId="44">'204'!$P$48:$P$50</definedName>
    <definedName name="OSRRefP22_5x_0" localSheetId="45">'205'!$P$48</definedName>
    <definedName name="OSRRefP22_5x_0" localSheetId="46">'206'!$P$47</definedName>
    <definedName name="OSRRefP22_5x_0" localSheetId="48">'300'!$P$74:$P$75</definedName>
    <definedName name="OSRRefP22_5x_0" localSheetId="49">'300 &amp; 317'!$P$80:$P$81</definedName>
    <definedName name="OSRRefP22_5x_0" localSheetId="50">'301'!$P$49</definedName>
    <definedName name="OSRRefP22_5x_0" localSheetId="52">'307'!$P$49</definedName>
    <definedName name="OSRRefP22_5x_0" localSheetId="53">'308'!$P$62</definedName>
    <definedName name="OSRRefP22_5x_0" localSheetId="63">'310'!$P$51</definedName>
    <definedName name="OSRRefP22_5x_0" localSheetId="69">'310 &amp; 491'!$P$54:$P$55</definedName>
    <definedName name="OSRRefP22_5x_0" localSheetId="54">'311'!$P$62</definedName>
    <definedName name="OSRRefP22_5x_0" localSheetId="57">'315'!$P$66</definedName>
    <definedName name="OSRRefP22_5x_0" localSheetId="60">'316'!$P$51:$P$52</definedName>
    <definedName name="OSRRefP22_5x_0" localSheetId="62">'317'!$P$62</definedName>
    <definedName name="OSRRefP22_5x_0" localSheetId="66">'321'!$P$50</definedName>
    <definedName name="OSRRefP22_5x_0" localSheetId="67">'325'!$P$49</definedName>
    <definedName name="OSRRefP22_5x_0" localSheetId="58">'326'!$P$52</definedName>
    <definedName name="OSRRefP22_5x_0" localSheetId="51">'330'!$P$49</definedName>
    <definedName name="OSRRefP22_5x_0" localSheetId="56">'331'!$P$66</definedName>
    <definedName name="OSRRefP22_5x_0" localSheetId="59">'332'!$P$51:$P$52</definedName>
    <definedName name="OSRRefP22_5x_0" localSheetId="71">'405'!$P$49</definedName>
    <definedName name="OSRRefP22_5x_0" localSheetId="72">'411'!$P$48</definedName>
    <definedName name="OSRRefP22_5x_0" localSheetId="75">'415'!$P$54:$P$55</definedName>
    <definedName name="OSRRefP22_5x_0" localSheetId="76">'418'!$P$51</definedName>
    <definedName name="OSRRefP22_5x_0" localSheetId="82">'430'!$P$47:$P$48</definedName>
    <definedName name="OSRRefP22_5x_0" localSheetId="83">'433'!$P$48</definedName>
    <definedName name="OSRRefP22_5x_0" localSheetId="84">'444'!$P$53</definedName>
    <definedName name="OSRRefP22_5x_0" localSheetId="85">'450'!$P$48</definedName>
    <definedName name="OSRRefP22_5x_0" localSheetId="70">'491'!$P$54:$P$55</definedName>
    <definedName name="OSRRefP22_5x_0" localSheetId="81">'492'!$P$53</definedName>
    <definedName name="OSRRefP22_5x_0" localSheetId="87">'501'!$P$48</definedName>
    <definedName name="OSRRefP22_5x_0" localSheetId="39">'Div 2'!$P$49:$P$50</definedName>
    <definedName name="OSRRefP22_5x_0" localSheetId="47">'Div 3'!$P$75:$P$76</definedName>
    <definedName name="OSRRefP22_5x_0" localSheetId="68">'Div 4'!$P$57:$P$58</definedName>
    <definedName name="OSRRefP22_5x_0" localSheetId="86">'Div 5'!$P$48</definedName>
    <definedName name="OSRRefP22_5x_0" localSheetId="61">'Div 6'!$P$62</definedName>
    <definedName name="OSRRefP22_5x_0" localSheetId="2">Summary!$P$86:$P$87</definedName>
    <definedName name="OSRRefP22_6x_0" localSheetId="41">'201'!$P$49</definedName>
    <definedName name="OSRRefP22_6x_0" localSheetId="42">'202'!$P$49:$P$51</definedName>
    <definedName name="OSRRefP22_6x_0" localSheetId="43">'203'!$P$50</definedName>
    <definedName name="OSRRefP22_6x_0" localSheetId="44">'204'!$P$52</definedName>
    <definedName name="OSRRefP22_6x_0" localSheetId="45">'205'!$P$50:$P$51</definedName>
    <definedName name="OSRRefP22_6x_0" localSheetId="46">'206'!$P$49:$P$50</definedName>
    <definedName name="OSRRefP22_6x_0" localSheetId="48">'300'!$P$77:$P$78</definedName>
    <definedName name="OSRRefP22_6x_0" localSheetId="49">'300 &amp; 317'!$P$83:$P$84</definedName>
    <definedName name="OSRRefP22_6x_0" localSheetId="50">'301'!$P$51</definedName>
    <definedName name="OSRRefP22_6x_0" localSheetId="52">'307'!$P$51</definedName>
    <definedName name="OSRRefP22_6x_0" localSheetId="53">'308'!$P$64</definedName>
    <definedName name="OSRRefP22_6x_0" localSheetId="63">'310'!$P$53</definedName>
    <definedName name="OSRRefP22_6x_0" localSheetId="69">'310 &amp; 491'!$P$57</definedName>
    <definedName name="OSRRefP22_6x_0" localSheetId="54">'311'!$P$64</definedName>
    <definedName name="OSRRefP22_6x_0" localSheetId="57">'315'!$P$68:$P$69</definedName>
    <definedName name="OSRRefP22_6x_0" localSheetId="60">'316'!$P$54:$P$55</definedName>
    <definedName name="OSRRefP22_6x_0" localSheetId="62">'317'!$P$64</definedName>
    <definedName name="OSRRefP22_6x_0" localSheetId="66">'321'!$P$52</definedName>
    <definedName name="OSRRefP22_6x_0" localSheetId="67">'325'!$P$51</definedName>
    <definedName name="OSRRefP22_6x_0" localSheetId="58">'326'!$P$54</definedName>
    <definedName name="OSRRefP22_6x_0" localSheetId="51">'330'!$P$51</definedName>
    <definedName name="OSRRefP22_6x_0" localSheetId="56">'331'!$P$68:$P$69</definedName>
    <definedName name="OSRRefP22_6x_0" localSheetId="59">'332'!$P$54:$P$55</definedName>
    <definedName name="OSRRefP22_6x_0" localSheetId="71">'405'!$P$51:$P$52</definedName>
    <definedName name="OSRRefP22_6x_0" localSheetId="72">'411'!$P$50</definedName>
    <definedName name="OSRRefP22_6x_0" localSheetId="75">'415'!$P$57</definedName>
    <definedName name="OSRRefP22_6x_0" localSheetId="76">'418'!$P$53</definedName>
    <definedName name="OSRRefP22_6x_0" localSheetId="82">'430'!$P$50</definedName>
    <definedName name="OSRRefP22_6x_0" localSheetId="83">'433'!$P$50</definedName>
    <definedName name="OSRRefP22_6x_0" localSheetId="84">'444'!$P$55</definedName>
    <definedName name="OSRRefP22_6x_0" localSheetId="85">'450'!$P$50</definedName>
    <definedName name="OSRRefP22_6x_0" localSheetId="70">'491'!$P$57</definedName>
    <definedName name="OSRRefP22_6x_0" localSheetId="81">'492'!$P$55</definedName>
    <definedName name="OSRRefP22_6x_0" localSheetId="87">'501'!$P$50</definedName>
    <definedName name="OSRRefP22_6x_0" localSheetId="39">'Div 2'!$P$52</definedName>
    <definedName name="OSRRefP22_6x_0" localSheetId="47">'Div 3'!$P$78:$P$79</definedName>
    <definedName name="OSRRefP22_6x_0" localSheetId="68">'Div 4'!$P$60</definedName>
    <definedName name="OSRRefP22_6x_0" localSheetId="86">'Div 5'!$P$50</definedName>
    <definedName name="OSRRefP22_6x_0" localSheetId="61">'Div 6'!$P$64</definedName>
    <definedName name="OSRRefP22_6x_0" localSheetId="2">Summary!$P$89:$P$90</definedName>
    <definedName name="OSRRefP22_7x_0" localSheetId="41">'201'!$P$51</definedName>
    <definedName name="OSRRefP22_7x_0" localSheetId="42">'202'!$P$53</definedName>
    <definedName name="OSRRefP22_7x_0" localSheetId="43">'203'!$P$52</definedName>
    <definedName name="OSRRefP22_7x_0" localSheetId="44">'204'!$P$54:$P$55</definedName>
    <definedName name="OSRRefP22_7x_0" localSheetId="45">'205'!$P$53</definedName>
    <definedName name="OSRRefP22_7x_0" localSheetId="46">'206'!$P$52</definedName>
    <definedName name="OSRRefP22_7x_0" localSheetId="48">'300'!$P$80</definedName>
    <definedName name="OSRRefP22_7x_0" localSheetId="49">'300 &amp; 317'!$P$86</definedName>
    <definedName name="OSRRefP22_7x_0" localSheetId="50">'301'!$P$53</definedName>
    <definedName name="OSRRefP22_7x_0" localSheetId="52">'307'!$P$53</definedName>
    <definedName name="OSRRefP22_7x_0" localSheetId="53">'308'!$P$66</definedName>
    <definedName name="OSRRefP22_7x_0" localSheetId="63">'310'!$P$55</definedName>
    <definedName name="OSRRefP22_7x_0" localSheetId="69">'310 &amp; 491'!$P$59</definedName>
    <definedName name="OSRRefP22_7x_0" localSheetId="54">'311'!$P$66</definedName>
    <definedName name="OSRRefP22_7x_0" localSheetId="57">'315'!$P$71</definedName>
    <definedName name="OSRRefP22_7x_0" localSheetId="60">'316'!$P$57</definedName>
    <definedName name="OSRRefP22_7x_0" localSheetId="62">'317'!$P$66</definedName>
    <definedName name="OSRRefP22_7x_0" localSheetId="66">'321'!$P$54</definedName>
    <definedName name="OSRRefP22_7x_0" localSheetId="67">'325'!$P$53</definedName>
    <definedName name="OSRRefP22_7x_0" localSheetId="58">'326'!$P$56</definedName>
    <definedName name="OSRRefP22_7x_0" localSheetId="51">'330'!$P$53</definedName>
    <definedName name="OSRRefP22_7x_0" localSheetId="56">'331'!$P$71:$P$72</definedName>
    <definedName name="OSRRefP22_7x_0" localSheetId="59">'332'!$P$57</definedName>
    <definedName name="OSRRefP22_7x_0" localSheetId="71">'405'!$P$54</definedName>
    <definedName name="OSRRefP22_7x_0" localSheetId="72">'411'!$P$52:$P$53</definedName>
    <definedName name="OSRRefP22_7x_0" localSheetId="75">'415'!$P$59</definedName>
    <definedName name="OSRRefP22_7x_0" localSheetId="76">'418'!$P$55:$P$56</definedName>
    <definedName name="OSRRefP22_7x_0" localSheetId="83">'433'!$P$52</definedName>
    <definedName name="OSRRefP22_7x_0" localSheetId="84">'444'!$P$57</definedName>
    <definedName name="OSRRefP22_7x_0" localSheetId="85">'450'!$P$52:$P$53</definedName>
    <definedName name="OSRRefP22_7x_0" localSheetId="70">'491'!$P$59</definedName>
    <definedName name="OSRRefP22_7x_0" localSheetId="81">'492'!$P$57</definedName>
    <definedName name="OSRRefP22_7x_0" localSheetId="87">'501'!$P$52</definedName>
    <definedName name="OSRRefP22_7x_0" localSheetId="39">'Div 2'!$P$54</definedName>
    <definedName name="OSRRefP22_7x_0" localSheetId="47">'Div 3'!$P$81</definedName>
    <definedName name="OSRRefP22_7x_0" localSheetId="68">'Div 4'!$P$62</definedName>
    <definedName name="OSRRefP22_7x_0" localSheetId="86">'Div 5'!$P$52</definedName>
    <definedName name="OSRRefP22_7x_0" localSheetId="61">'Div 6'!$P$66</definedName>
    <definedName name="OSRRefP22_7x_0" localSheetId="2">Summary!$P$92</definedName>
    <definedName name="OSRRefP22_8x_0" localSheetId="41">'201'!$P$53</definedName>
    <definedName name="OSRRefP22_8x_0" localSheetId="42">'202'!$P$55</definedName>
    <definedName name="OSRRefP22_8x_0" localSheetId="43">'203'!$P$54:$P$56</definedName>
    <definedName name="OSRRefP22_8x_0" localSheetId="48">'300'!$P$82</definedName>
    <definedName name="OSRRefP22_8x_0" localSheetId="49">'300 &amp; 317'!$P$88</definedName>
    <definedName name="OSRRefP22_8x_0" localSheetId="50">'301'!$P$55</definedName>
    <definedName name="OSRRefP22_8x_0" localSheetId="52">'307'!$P$55:$P$57</definedName>
    <definedName name="OSRRefP22_8x_0" localSheetId="53">'308'!$P$68:$P$70</definedName>
    <definedName name="OSRRefP22_8x_0" localSheetId="63">'310'!$P$57:$P$58</definedName>
    <definedName name="OSRRefP22_8x_0" localSheetId="69">'310 &amp; 491'!$P$61</definedName>
    <definedName name="OSRRefP22_8x_0" localSheetId="54">'311'!$P$68:$P$70</definedName>
    <definedName name="OSRRefP22_8x_0" localSheetId="57">'315'!$P$73</definedName>
    <definedName name="OSRRefP22_8x_0" localSheetId="60">'316'!$P$59:$P$62</definedName>
    <definedName name="OSRRefP22_8x_0" localSheetId="62">'317'!$P$68:$P$69</definedName>
    <definedName name="OSRRefP22_8x_0" localSheetId="67">'325'!$P$55:$P$56</definedName>
    <definedName name="OSRRefP22_8x_0" localSheetId="58">'326'!$P$58</definedName>
    <definedName name="OSRRefP22_8x_0" localSheetId="51">'330'!$P$55:$P$57</definedName>
    <definedName name="OSRRefP22_8x_0" localSheetId="56">'331'!$P$74</definedName>
    <definedName name="OSRRefP22_8x_0" localSheetId="59">'332'!$P$59:$P$62</definedName>
    <definedName name="OSRRefP22_8x_0" localSheetId="71">'405'!$P$56:$P$60</definedName>
    <definedName name="OSRRefP22_8x_0" localSheetId="72">'411'!$P$55:$P$56</definedName>
    <definedName name="OSRRefP22_8x_0" localSheetId="75">'415'!$P$61</definedName>
    <definedName name="OSRRefP22_8x_0" localSheetId="76">'418'!$P$58:$P$60</definedName>
    <definedName name="OSRRefP22_8x_0" localSheetId="83">'433'!$P$54:$P$55</definedName>
    <definedName name="OSRRefP22_8x_0" localSheetId="84">'444'!$P$59</definedName>
    <definedName name="OSRRefP22_8x_0" localSheetId="85">'450'!$P$55:$P$57</definedName>
    <definedName name="OSRRefP22_8x_0" localSheetId="70">'491'!$P$61</definedName>
    <definedName name="OSRRefP22_8x_0" localSheetId="81">'492'!$P$59</definedName>
    <definedName name="OSRRefP22_8x_0" localSheetId="87">'501'!$P$54</definedName>
    <definedName name="OSRRefP22_8x_0" localSheetId="39">'Div 2'!$P$56</definedName>
    <definedName name="OSRRefP22_8x_0" localSheetId="47">'Div 3'!$P$83</definedName>
    <definedName name="OSRRefP22_8x_0" localSheetId="68">'Div 4'!$P$64</definedName>
    <definedName name="OSRRefP22_8x_0" localSheetId="86">'Div 5'!$P$54</definedName>
    <definedName name="OSRRefP22_8x_0" localSheetId="61">'Div 6'!$P$68:$P$69</definedName>
    <definedName name="OSRRefP22_8x_0" localSheetId="2">Summary!$P$94</definedName>
    <definedName name="OSRRefP22_9x_0" localSheetId="41">'201'!$P$55:$P$56</definedName>
    <definedName name="OSRRefP22_9x_0" localSheetId="42">'202'!$P$57</definedName>
    <definedName name="OSRRefP22_9x_0" localSheetId="43">'203'!$P$58</definedName>
    <definedName name="OSRRefP22_9x_0" localSheetId="48">'300'!$P$84</definedName>
    <definedName name="OSRRefP22_9x_0" localSheetId="49">'300 &amp; 317'!$P$90</definedName>
    <definedName name="OSRRefP22_9x_0" localSheetId="50">'301'!$P$57</definedName>
    <definedName name="OSRRefP22_9x_0" localSheetId="52">'307'!$P$59</definedName>
    <definedName name="OSRRefP22_9x_0" localSheetId="53">'308'!$P$72</definedName>
    <definedName name="OSRRefP22_9x_0" localSheetId="63">'310'!$P$60</definedName>
    <definedName name="OSRRefP22_9x_0" localSheetId="69">'310 &amp; 491'!$P$63</definedName>
    <definedName name="OSRRefP22_9x_0" localSheetId="54">'311'!$P$72</definedName>
    <definedName name="OSRRefP22_9x_0" localSheetId="57">'315'!$P$75</definedName>
    <definedName name="OSRRefP22_9x_0" localSheetId="60">'316'!$P$64</definedName>
    <definedName name="OSRRefP22_9x_0" localSheetId="62">'317'!$P$71</definedName>
    <definedName name="OSRRefP22_9x_0" localSheetId="67">'325'!$P$58:$P$62</definedName>
    <definedName name="OSRRefP22_9x_0" localSheetId="58">'326'!$P$60</definedName>
    <definedName name="OSRRefP22_9x_0" localSheetId="51">'330'!$P$59</definedName>
    <definedName name="OSRRefP22_9x_0" localSheetId="56">'331'!$P$76</definedName>
    <definedName name="OSRRefP22_9x_0" localSheetId="59">'332'!$P$64</definedName>
    <definedName name="OSRRefP22_9x_0" localSheetId="71">'405'!$P$62</definedName>
    <definedName name="OSRRefP22_9x_0" localSheetId="72">'411'!$P$58</definedName>
    <definedName name="OSRRefP22_9x_0" localSheetId="75">'415'!$P$63</definedName>
    <definedName name="OSRRefP22_9x_0" localSheetId="76">'418'!$P$62:$P$69</definedName>
    <definedName name="OSRRefP22_9x_0" localSheetId="83">'433'!$P$57:$P$60</definedName>
    <definedName name="OSRRefP22_9x_0" localSheetId="84">'444'!$P$61:$P$62</definedName>
    <definedName name="OSRRefP22_9x_0" localSheetId="85">'450'!$P$59:$P$64</definedName>
    <definedName name="OSRRefP22_9x_0" localSheetId="70">'491'!$P$63</definedName>
    <definedName name="OSRRefP22_9x_0" localSheetId="81">'492'!$P$61</definedName>
    <definedName name="OSRRefP22_9x_0" localSheetId="87">'501'!$P$56:$P$57</definedName>
    <definedName name="OSRRefP22_9x_0" localSheetId="39">'Div 2'!$P$58</definedName>
    <definedName name="OSRRefP22_9x_0" localSheetId="47">'Div 3'!$P$85</definedName>
    <definedName name="OSRRefP22_9x_0" localSheetId="68">'Div 4'!$P$66</definedName>
    <definedName name="OSRRefP22_9x_0" localSheetId="86">'Div 5'!$P$56:$P$57</definedName>
    <definedName name="OSRRefP22_9x_0" localSheetId="61">'Div 6'!$P$71</definedName>
    <definedName name="OSRRefP22_9x_0" localSheetId="2">Summary!$P$96</definedName>
    <definedName name="OSRRefP22x_0" localSheetId="40">'200'!$P$20,'200'!$P$22,'200'!$P$24,'200'!$P$26:$P$27</definedName>
    <definedName name="OSRRefP22x_0" localSheetId="41">'201'!$P$20:$P$28,'201'!$P$30:$P$39,'201'!$P$41,'201'!$P$43,'201'!$P$45,'201'!$P$47,'201'!$P$49,'201'!$P$51,'201'!$P$53,'201'!$P$55:$P$56,'201'!$P$58</definedName>
    <definedName name="OSRRefP22x_0" localSheetId="42">'202'!$P$20:$P$28,'202'!$P$30:$P$39,'202'!$P$41,'202'!$P$43,'202'!$P$45,'202'!$P$47,'202'!$P$49:$P$51,'202'!$P$53,'202'!$P$55,'202'!$P$57,'202'!$P$59</definedName>
    <definedName name="OSRRefP22x_0" localSheetId="43">'203'!$P$20:$P$29,'203'!$P$31:$P$40,'203'!$P$42,'203'!$P$44,'203'!$P$46,'203'!$P$48,'203'!$P$50,'203'!$P$52,'203'!$P$54:$P$56,'203'!$P$58,'203'!$P$60,'203'!$P$62:$P$65,'203'!$P$67,'203'!$P$69</definedName>
    <definedName name="OSRRefP22x_0" localSheetId="44">'204'!$P$20:$P$28,'204'!$P$30:$P$39,'204'!$P$41,'204'!$P$43:$P$44,'204'!$P$46,'204'!$P$48:$P$50,'204'!$P$52,'204'!$P$54:$P$55</definedName>
    <definedName name="OSRRefP22x_0" localSheetId="45">'205'!$P$20:$P$28,'205'!$P$30:$P$39,'205'!$P$41,'205'!$P$43,'205'!$P$45:$P$46,'205'!$P$48,'205'!$P$50:$P$51,'205'!$P$53</definedName>
    <definedName name="OSRRefP22x_0" localSheetId="46">'206'!$P$20:$P$28,'206'!$P$30:$P$39,'206'!$P$41,'206'!$P$43,'206'!$P$45,'206'!$P$47,'206'!$P$49:$P$50,'206'!$P$52</definedName>
    <definedName name="OSRRefP22x_0" localSheetId="48">'300'!$P$46:$P$55,'300'!$P$57:$P$66,'300'!$P$68,'300'!$P$70,'300'!$P$72,'300'!$P$74:$P$75,'300'!$P$77:$P$78,'300'!$P$80,'300'!$P$82,'300'!$P$84,'300'!$P$86:$P$87,'300'!$P$89:$P$90,'300'!$P$92,'300'!$P$94,'300'!$P$96,'300'!$P$98,'300'!$P$100:$P$103,'300'!$P$105:$P$108,'300'!$P$110:$P$112,'300'!$P$114:$P$115,'300'!$P$117:$P$122,'300'!$P$124:$P$125,'300'!$P$127:$P$129,'300'!$P$131</definedName>
    <definedName name="OSRRefP22x_0" localSheetId="49">'300 &amp; 317'!$P$52:$P$61,'300 &amp; 317'!$P$63:$P$72,'300 &amp; 317'!$P$74,'300 &amp; 317'!$P$76,'300 &amp; 317'!$P$78,'300 &amp; 317'!$P$80:$P$81,'300 &amp; 317'!$P$83:$P$84,'300 &amp; 317'!$P$86,'300 &amp; 317'!$P$88,'300 &amp; 317'!$P$90,'300 &amp; 317'!$P$92:$P$93,'300 &amp; 317'!$P$95:$P$96,'300 &amp; 317'!$P$98,'300 &amp; 317'!$P$100,'300 &amp; 317'!$P$102,'300 &amp; 317'!$P$104,'300 &amp; 317'!$P$106:$P$109,'300 &amp; 317'!$P$111:$P$114,'300 &amp; 317'!$P$116:$P$118,'300 &amp; 317'!$P$120:$P$121,'300 &amp; 317'!$P$123:$P$128,'300 &amp; 317'!$P$130:$P$131,'300 &amp; 317'!$P$133:$P$135,'300 &amp; 317'!$P$137</definedName>
    <definedName name="OSRRefP22x_0" localSheetId="50">'301'!$P$20:$P$29,'301'!$P$31:$P$40,'301'!$P$42,'301'!$P$44,'301'!$P$46:$P$47,'301'!$P$49,'301'!$P$51,'301'!$P$53,'301'!$P$55,'301'!$P$57,'301'!$P$59,'301'!$P$61,'301'!$P$63,'301'!$P$65:$P$68,'301'!$P$70:$P$71,'301'!$P$73:$P$76,'301'!$P$78,'301'!$P$80,'301'!$P$82</definedName>
    <definedName name="OSRRefP22x_0" localSheetId="52">'307'!$P$23:$P$30,'307'!$P$32:$P$41,'307'!$P$43,'307'!$P$45,'307'!$P$47,'307'!$P$49,'307'!$P$51,'307'!$P$53,'307'!$P$55:$P$57,'307'!$P$59</definedName>
    <definedName name="OSRRefP22x_0" localSheetId="53">'308'!$P$34:$P$43,'308'!$P$45:$P$54,'308'!$P$56,'308'!$P$58,'308'!$P$60,'308'!$P$62,'308'!$P$64,'308'!$P$66,'308'!$P$68:$P$70,'308'!$P$72,'308'!$P$74:$P$75,'308'!$P$77:$P$78</definedName>
    <definedName name="OSRRefP22x_0" localSheetId="64">'309'!$P$20,'309'!$P$22,'309'!$P$24</definedName>
    <definedName name="OSRRefP22x_0" localSheetId="63">'310'!$P$24:$P$31,'310'!$P$33:$P$42,'310'!$P$44,'310'!$P$46,'310'!$P$48:$P$49,'310'!$P$51,'310'!$P$53,'310'!$P$55,'310'!$P$57:$P$58,'310'!$P$60,'310'!$P$62,'310'!$P$64:$P$68,'310'!$P$70:$P$71,'310'!$P$73</definedName>
    <definedName name="OSRRefP22x_0" localSheetId="69">'310 &amp; 491'!$P$27:$P$35,'310 &amp; 491'!$P$37:$P$46,'310 &amp; 491'!$P$48,'310 &amp; 491'!$P$50,'310 &amp; 491'!$P$52,'310 &amp; 491'!$P$54:$P$55,'310 &amp; 491'!$P$57,'310 &amp; 491'!$P$59,'310 &amp; 491'!$P$61,'310 &amp; 491'!$P$63,'310 &amp; 491'!$P$65,'310 &amp; 491'!$P$67:$P$68,'310 &amp; 491'!$P$70,'310 &amp; 491'!$P$72:$P$76,'310 &amp; 491'!$P$78,'310 &amp; 491'!$P$80:$P$89,'310 &amp; 491'!$P$91:$P$92,'310 &amp; 491'!$P$94,'310 &amp; 491'!$P$96</definedName>
    <definedName name="OSRRefP22x_0" localSheetId="54">'311'!$P$34:$P$43,'311'!$P$45:$P$54,'311'!$P$56,'311'!$P$58,'311'!$P$60,'311'!$P$62,'311'!$P$64,'311'!$P$66,'311'!$P$68:$P$70,'311'!$P$72,'311'!$P$74:$P$75,'311'!$P$77:$P$78</definedName>
    <definedName name="OSRRefP22x_0" localSheetId="65">'313'!$P$20</definedName>
    <definedName name="OSRRefP22x_0" localSheetId="57">'315'!$P$39:$P$47,'315'!$P$49:$P$58,'315'!$P$60,'315'!$P$62,'315'!$P$64,'315'!$P$66,'315'!$P$68:$P$69,'315'!$P$71,'315'!$P$73,'315'!$P$75,'315'!$P$77,'315'!$P$79:$P$81,'315'!$P$83:$P$84,'315'!$P$86:$P$88,'315'!$P$90,'315'!$P$92</definedName>
    <definedName name="OSRRefP22x_0" localSheetId="60">'316'!$P$24:$P$32,'316'!$P$34:$P$43,'316'!$P$45,'316'!$P$47,'316'!$P$49,'316'!$P$51:$P$52,'316'!$P$54:$P$55,'316'!$P$57,'316'!$P$59:$P$62,'316'!$P$64</definedName>
    <definedName name="OSRRefP22x_0" localSheetId="62">'317'!$P$34:$P$43,'317'!$P$45:$P$54,'317'!$P$56,'317'!$P$58,'317'!$P$60,'317'!$P$62,'317'!$P$64,'317'!$P$66,'317'!$P$68:$P$69,'317'!$P$71</definedName>
    <definedName name="OSRRefP22x_0" localSheetId="66">'321'!$P$23:$P$30,'321'!$P$32:$P$41,'321'!$P$43,'321'!$P$45,'321'!$P$47:$P$48,'321'!$P$50,'321'!$P$52,'321'!$P$54</definedName>
    <definedName name="OSRRefP22x_0" localSheetId="67">'325'!$P$22:$P$29,'325'!$P$31:$P$40,'325'!$P$42,'325'!$P$44,'325'!$P$46:$P$47,'325'!$P$49,'325'!$P$51,'325'!$P$53,'325'!$P$55:$P$56,'325'!$P$58:$P$62,'325'!$P$64:$P$65,'325'!$P$67</definedName>
    <definedName name="OSRRefP22x_0" localSheetId="58">'326'!$P$25:$P$33,'326'!$P$35:$P$44,'326'!$P$46,'326'!$P$48,'326'!$P$50,'326'!$P$52,'326'!$P$54,'326'!$P$56,'326'!$P$58,'326'!$P$60,'326'!$P$62,'326'!$P$64:$P$65,'326'!$P$67:$P$68,'326'!$P$70:$P$71,'326'!$P$73:$P$75,'326'!$P$77,'326'!$P$79:$P$80,'326'!$P$82</definedName>
    <definedName name="OSRRefP22x_0" localSheetId="51">'330'!$P$23:$P$30,'330'!$P$32:$P$41,'330'!$P$43,'330'!$P$45,'330'!$P$47,'330'!$P$49,'330'!$P$51,'330'!$P$53,'330'!$P$55:$P$57,'330'!$P$59</definedName>
    <definedName name="OSRRefP22x_0" localSheetId="56">'331'!$P$39:$P$47,'331'!$P$49:$P$58,'331'!$P$60,'331'!$P$62,'331'!$P$64,'331'!$P$66,'331'!$P$68:$P$69,'331'!$P$71:$P$72,'331'!$P$74,'331'!$P$76,'331'!$P$78,'331'!$P$80,'331'!$P$82:$P$83,'331'!$P$85:$P$87,'331'!$P$89:$P$90,'331'!$P$92:$P$93,'331'!$P$95:$P$98,'331'!$P$100,'331'!$P$102:$P$103,'331'!$P$105</definedName>
    <definedName name="OSRRefP22x_0" localSheetId="59">'332'!$P$24:$P$32,'332'!$P$34:$P$43,'332'!$P$45,'332'!$P$47,'332'!$P$49,'332'!$P$51:$P$52,'332'!$P$54:$P$55,'332'!$P$57,'332'!$P$59:$P$62,'332'!$P$64</definedName>
    <definedName name="OSRRefP22x_0" localSheetId="71">'405'!$P$21:$P$29,'405'!$P$31:$P$40,'405'!$P$42,'405'!$P$44,'405'!$P$46:$P$47,'405'!$P$49,'405'!$P$51:$P$52,'405'!$P$54,'405'!$P$56:$P$60,'405'!$P$62,'405'!$P$64</definedName>
    <definedName name="OSRRefP22x_0" localSheetId="72">'411'!$P$20:$P$28,'411'!$P$30:$P$39,'411'!$P$41,'411'!$P$43:$P$44,'411'!$P$46,'411'!$P$48,'411'!$P$50,'411'!$P$52:$P$53,'411'!$P$55:$P$56,'411'!$P$58,'411'!$P$60,'411'!$P$62,'411'!$P$64</definedName>
    <definedName name="OSRRefP22x_0" localSheetId="73">'412'!$P$20,'412'!$P$22,'412'!$P$24</definedName>
    <definedName name="OSRRefP22x_0" localSheetId="74">'413'!$P$20,'413'!$P$22</definedName>
    <definedName name="OSRRefP22x_0" localSheetId="75">'415'!$P$27:$P$35,'415'!$P$37:$P$46,'415'!$P$48,'415'!$P$50,'415'!$P$52,'415'!$P$54:$P$55,'415'!$P$57,'415'!$P$59,'415'!$P$61,'415'!$P$63,'415'!$P$65:$P$66,'415'!$P$68:$P$71,'415'!$P$73,'415'!$P$75:$P$78,'415'!$P$80:$P$81,'415'!$P$83,'415'!$P$85</definedName>
    <definedName name="OSRRefP22x_0" localSheetId="76">'418'!$P$23:$P$31,'418'!$P$33:$P$42,'418'!$P$44,'418'!$P$46,'418'!$P$48:$P$49,'418'!$P$51,'418'!$P$53,'418'!$P$55:$P$56,'418'!$P$58:$P$60,'418'!$P$62:$P$69,'418'!$P$71:$P$72,'418'!$P$74,'418'!$P$76</definedName>
    <definedName name="OSRRefP22x_0" localSheetId="77">'423'!$P$20:$P$27,'423'!$P$29:$P$38,'423'!$P$40,'423'!$P$42,'423'!$P$44</definedName>
    <definedName name="OSRRefP22x_0" localSheetId="78">'424'!$P$20,'424'!$P$22</definedName>
    <definedName name="OSRRefP22x_0" localSheetId="79">'425'!$P$21,'425'!$P$23</definedName>
    <definedName name="OSRRefP22x_0" localSheetId="82">'430'!$P$20:$P$28,'430'!$P$30:$P$39,'430'!$P$41,'430'!$P$43,'430'!$P$45,'430'!$P$47:$P$48,'430'!$P$50</definedName>
    <definedName name="OSRRefP22x_0" localSheetId="83">'433'!$P$20:$P$29,'433'!$P$31:$P$40,'433'!$P$42,'433'!$P$44,'433'!$P$46,'433'!$P$48,'433'!$P$50,'433'!$P$52,'433'!$P$54:$P$55,'433'!$P$57:$P$60,'433'!$P$62:$P$67,'433'!$P$69</definedName>
    <definedName name="OSRRefP22x_0" localSheetId="84">'444'!$P$25:$P$34,'444'!$P$36:$P$45,'444'!$P$47,'444'!$P$49,'444'!$P$51,'444'!$P$53,'444'!$P$55,'444'!$P$57,'444'!$P$59,'444'!$P$61:$P$62,'444'!$P$64:$P$67,'444'!$P$69:$P$74,'444'!$P$76,'444'!$P$78</definedName>
    <definedName name="OSRRefP22x_0" localSheetId="85">'450'!$P$20:$P$29,'450'!$P$31:$P$40,'450'!$P$42,'450'!$P$44,'450'!$P$46,'450'!$P$48,'450'!$P$50,'450'!$P$52:$P$53,'450'!$P$55:$P$57,'450'!$P$59:$P$64,'450'!$P$66,'450'!$P$68</definedName>
    <definedName name="OSRRefP22x_0" localSheetId="70">'491'!$P$27:$P$35,'491'!$P$37:$P$46,'491'!$P$48,'491'!$P$50,'491'!$P$52,'491'!$P$54:$P$55,'491'!$P$57,'491'!$P$59,'491'!$P$61,'491'!$P$63,'491'!$P$65,'491'!$P$67:$P$68,'491'!$P$70:$P$74,'491'!$P$76,'491'!$P$78:$P$85,'491'!$P$87:$P$88,'491'!$P$90,'491'!$P$92</definedName>
    <definedName name="OSRRefP22x_0" localSheetId="81">'492'!$P$25:$P$34,'492'!$P$36:$P$45,'492'!$P$47,'492'!$P$49,'492'!$P$51,'492'!$P$53,'492'!$P$55,'492'!$P$57,'492'!$P$59,'492'!$P$61,'492'!$P$63,'492'!$P$65:$P$67,'492'!$P$69:$P$72,'492'!$P$74:$P$80,'492'!$P$82:$P$83,'492'!$P$85</definedName>
    <definedName name="OSRRefP22x_0" localSheetId="87">'501'!$P$21:$P$29,'501'!$P$31:$P$40,'501'!$P$42,'501'!$P$44,'501'!$P$46,'501'!$P$48,'501'!$P$50,'501'!$P$52,'501'!$P$54,'501'!$P$56:$P$57,'501'!$P$59,'501'!$P$61:$P$62,'501'!$P$64</definedName>
    <definedName name="OSRRefP22x_0" localSheetId="39">'Div 2'!$P$20:$P$30,'Div 2'!$P$32:$P$41,'Div 2'!$P$43,'Div 2'!$P$45,'Div 2'!$P$47,'Div 2'!$P$49:$P$50,'Div 2'!$P$52,'Div 2'!$P$54,'Div 2'!$P$56,'Div 2'!$P$58,'Div 2'!$P$60,'Div 2'!$P$62,'Div 2'!$P$64:$P$67,'Div 2'!$P$69:$P$72,'Div 2'!$P$74:$P$75,'Div 2'!$P$77,'Div 2'!$P$79:$P$84,'Div 2'!$P$86:$P$87,'Div 2'!$P$89,'Div 2'!$P$91</definedName>
    <definedName name="OSRRefP22x_0" localSheetId="47">'Div 3'!$P$47:$P$56,'Div 3'!$P$58:$P$67,'Div 3'!$P$69,'Div 3'!$P$71,'Div 3'!$P$73,'Div 3'!$P$75:$P$76,'Div 3'!$P$78:$P$79,'Div 3'!$P$81,'Div 3'!$P$83,'Div 3'!$P$85,'Div 3'!$P$87:$P$88,'Div 3'!$P$90:$P$91,'Div 3'!$P$93,'Div 3'!$P$95,'Div 3'!$P$97,'Div 3'!$P$99,'Div 3'!$P$101,'Div 3'!$P$103:$P$106,'Div 3'!$P$108:$P$111,'Div 3'!$P$113:$P$115,'Div 3'!$P$117:$P$118,'Div 3'!$P$120:$P$126,'Div 3'!$P$128:$P$129,'Div 3'!$P$131:$P$133,'Div 3'!$P$135</definedName>
    <definedName name="OSRRefP22x_0" localSheetId="68">'Div 4'!$P$29:$P$38,'Div 4'!$P$40:$P$49,'Div 4'!$P$51,'Div 4'!$P$53,'Div 4'!$P$55,'Div 4'!$P$57:$P$58,'Div 4'!$P$60,'Div 4'!$P$62,'Div 4'!$P$64,'Div 4'!$P$66,'Div 4'!$P$68,'Div 4'!$P$70,'Div 4'!$P$72,'Div 4'!$P$74:$P$76,'Div 4'!$P$78:$P$82,'Div 4'!$P$84,'Div 4'!$P$86:$P$94,'Div 4'!$P$96:$P$97,'Div 4'!$P$99,'Div 4'!$P$101</definedName>
    <definedName name="OSRRefP22x_0" localSheetId="86">'Div 5'!$P$21:$P$29,'Div 5'!$P$31:$P$40,'Div 5'!$P$42,'Div 5'!$P$44,'Div 5'!$P$46,'Div 5'!$P$48,'Div 5'!$P$50,'Div 5'!$P$52,'Div 5'!$P$54,'Div 5'!$P$56:$P$57,'Div 5'!$P$59,'Div 5'!$P$61:$P$62,'Div 5'!$P$64</definedName>
    <definedName name="OSRRefP22x_0" localSheetId="61">'Div 6'!$P$34:$P$43,'Div 6'!$P$45:$P$54,'Div 6'!$P$56,'Div 6'!$P$58,'Div 6'!$P$60,'Div 6'!$P$62,'Div 6'!$P$64,'Div 6'!$P$66,'Div 6'!$P$68:$P$69,'Div 6'!$P$71</definedName>
    <definedName name="OSRRefP22x_0" localSheetId="2">Summary!$P$58:$P$67,Summary!$P$69:$P$78,Summary!$P$80,Summary!$P$82,Summary!$P$84,Summary!$P$86:$P$87,Summary!$P$89:$P$90,Summary!$P$92,Summary!$P$94,Summary!$P$96,Summary!$P$98:$P$99,Summary!$P$101:$P$102,Summary!$P$104,Summary!$P$106,Summary!$P$108,Summary!$P$110,Summary!$P$112,Summary!$P$114,Summary!$P$116:$P$119,Summary!$P$121:$P$124,Summary!$P$126:$P$130,Summary!$P$132:$P$133,Summary!$P$135:$P$144,Summary!$P$146:$P$147,Summary!$P$149,Summary!$P$151:$P$153,Summary!$P$155</definedName>
    <definedName name="OSRRefP25x_0" localSheetId="48">'300'!$P$134:$P$137</definedName>
    <definedName name="OSRRefP25x_0" localSheetId="49">'300 &amp; 317'!$P$140:$P$145</definedName>
    <definedName name="OSRRefP25x_0" localSheetId="50">'301'!$P$85</definedName>
    <definedName name="OSRRefP25x_0" localSheetId="53">'308'!$P$81:$P$83</definedName>
    <definedName name="OSRRefP25x_0" localSheetId="69">'310 &amp; 491'!$P$99:$P$100</definedName>
    <definedName name="OSRRefP25x_0" localSheetId="54">'311'!$P$81:$P$83</definedName>
    <definedName name="OSRRefP25x_0" localSheetId="57">'315'!$P$95:$P$97</definedName>
    <definedName name="OSRRefP25x_0" localSheetId="60">'316'!$P$67</definedName>
    <definedName name="OSRRefP25x_0" localSheetId="62">'317'!$P$74:$P$76</definedName>
    <definedName name="OSRRefP25x_0" localSheetId="56">'331'!$P$108:$P$110</definedName>
    <definedName name="OSRRefP25x_0" localSheetId="59">'332'!$P$67</definedName>
    <definedName name="OSRRefP25x_0" localSheetId="72">'411'!$P$67</definedName>
    <definedName name="OSRRefP25x_0" localSheetId="75">'415'!$P$88</definedName>
    <definedName name="OSRRefP25x_0" localSheetId="80">'455'!$P$21</definedName>
    <definedName name="OSRRefP25x_0" localSheetId="70">'491'!$P$95:$P$96</definedName>
    <definedName name="OSRRefP25x_0" localSheetId="87">'501'!$P$67</definedName>
    <definedName name="OSRRefP25x_0" localSheetId="47">'Div 3'!$P$138:$P$141</definedName>
    <definedName name="OSRRefP25x_0" localSheetId="68">'Div 4'!$P$104:$P$105</definedName>
    <definedName name="OSRRefP25x_0" localSheetId="86">'Div 5'!$P$67</definedName>
    <definedName name="OSRRefP25x_0" localSheetId="61">'Div 6'!$P$74:$P$76</definedName>
    <definedName name="OSRRefP25x_0" localSheetId="2">Summary!$P$158:$P$163</definedName>
    <definedName name="OSRRefT13x_0" localSheetId="48">'300'!$T$13:$T$17</definedName>
    <definedName name="OSRRefT13x_0" localSheetId="49">'300 &amp; 317'!$T$13:$T$17</definedName>
    <definedName name="OSRRefT13x_0" localSheetId="52">'307'!$T$13:$T$14</definedName>
    <definedName name="OSRRefT13x_0" localSheetId="53">'308'!$T$13:$T$16</definedName>
    <definedName name="OSRRefT13x_0" localSheetId="63">'310'!$T$13:$T$14</definedName>
    <definedName name="OSRRefT13x_0" localSheetId="69">'310 &amp; 491'!$T$13:$T$16</definedName>
    <definedName name="OSRRefT13x_0" localSheetId="54">'311'!$T$13:$T$16</definedName>
    <definedName name="OSRRefT13x_0" localSheetId="57">'315'!$T$13:$T$16</definedName>
    <definedName name="OSRRefT13x_0" localSheetId="60">'316'!$T$13:$T$15</definedName>
    <definedName name="OSRRefT13x_0" localSheetId="62">'317'!$T$13:$T$16</definedName>
    <definedName name="OSRRefT13x_0" localSheetId="66">'321'!$T$13:$T$14</definedName>
    <definedName name="OSRRefT13x_0" localSheetId="55">'324'!$T$13:$T$14</definedName>
    <definedName name="OSRRefT13x_0" localSheetId="67">'325'!$T$13</definedName>
    <definedName name="OSRRefT13x_0" localSheetId="58">'326'!$T$13:$T$15</definedName>
    <definedName name="OSRRefT13x_0" localSheetId="51">'330'!$T$13:$T$14</definedName>
    <definedName name="OSRRefT13x_0" localSheetId="56">'331'!$T$13:$T$16</definedName>
    <definedName name="OSRRefT13x_0" localSheetId="59">'332'!$T$13:$T$15</definedName>
    <definedName name="OSRRefT13x_0" localSheetId="75">'415'!$T$13:$T$16</definedName>
    <definedName name="OSRRefT13x_0" localSheetId="76">'418'!$T$13:$T$14</definedName>
    <definedName name="OSRRefT13x_0" localSheetId="84">'444'!$T$13:$T$15</definedName>
    <definedName name="OSRRefT13x_0" localSheetId="70">'491'!$T$13:$T$16</definedName>
    <definedName name="OSRRefT13x_0" localSheetId="81">'492'!$T$13:$T$15</definedName>
    <definedName name="OSRRefT13x_0" localSheetId="87">'501'!$T$13</definedName>
    <definedName name="OSRRefT13x_0" localSheetId="47">'Div 3'!$T$13:$T$17</definedName>
    <definedName name="OSRRefT13x_0" localSheetId="68">'Div 4'!$T$13:$T$18</definedName>
    <definedName name="OSRRefT13x_0" localSheetId="86">'Div 5'!$T$13</definedName>
    <definedName name="OSRRefT13x_0" localSheetId="61">'Div 6'!$T$13:$T$16</definedName>
    <definedName name="OSRRefT13x_0" localSheetId="2">Summary!$T$13:$T$21</definedName>
    <definedName name="OSRRefT16x_0" localSheetId="48">'300'!$T$20:$T$40</definedName>
    <definedName name="OSRRefT16x_0" localSheetId="49">'300 &amp; 317'!$T$20:$T$46</definedName>
    <definedName name="OSRRefT16x_0" localSheetId="52">'307'!$T$17</definedName>
    <definedName name="OSRRefT16x_0" localSheetId="53">'308'!$T$19:$T$28</definedName>
    <definedName name="OSRRefT16x_0" localSheetId="63">'310'!$T$17:$T$18</definedName>
    <definedName name="OSRRefT16x_0" localSheetId="69">'310 &amp; 491'!$T$19:$T$21</definedName>
    <definedName name="OSRRefT16x_0" localSheetId="54">'311'!$T$19:$T$28</definedName>
    <definedName name="OSRRefT16x_0" localSheetId="57">'315'!$T$19:$T$33</definedName>
    <definedName name="OSRRefT16x_0" localSheetId="60">'316'!$T$18</definedName>
    <definedName name="OSRRefT16x_0" localSheetId="62">'317'!$T$19:$T$28</definedName>
    <definedName name="OSRRefT16x_0" localSheetId="66">'321'!$T$17</definedName>
    <definedName name="OSRRefT16x_0" localSheetId="55">'324'!$T$17</definedName>
    <definedName name="OSRRefT16x_0" localSheetId="67">'325'!$T$16</definedName>
    <definedName name="OSRRefT16x_0" localSheetId="58">'326'!$T$18:$T$19</definedName>
    <definedName name="OSRRefT16x_0" localSheetId="51">'330'!$T$17</definedName>
    <definedName name="OSRRefT16x_0" localSheetId="56">'331'!$T$19:$T$33</definedName>
    <definedName name="OSRRefT16x_0" localSheetId="59">'332'!$T$18</definedName>
    <definedName name="OSRRefT16x_0" localSheetId="71">'405'!$T$15</definedName>
    <definedName name="OSRRefT16x_0" localSheetId="75">'415'!$T$19:$T$21</definedName>
    <definedName name="OSRRefT16x_0" localSheetId="76">'418'!$T$17</definedName>
    <definedName name="OSRRefT16x_0" localSheetId="79">'425'!$T$15</definedName>
    <definedName name="OSRRefT16x_0" localSheetId="84">'444'!$T$18:$T$19</definedName>
    <definedName name="OSRRefT16x_0" localSheetId="70">'491'!$T$19:$T$21</definedName>
    <definedName name="OSRRefT16x_0" localSheetId="81">'492'!$T$18:$T$19</definedName>
    <definedName name="OSRRefT16x_0" localSheetId="47">'Div 3'!$T$20:$T$41</definedName>
    <definedName name="OSRRefT16x_0" localSheetId="68">'Div 4'!$T$21:$T$23</definedName>
    <definedName name="OSRRefT16x_0" localSheetId="61">'Div 6'!$T$19:$T$28</definedName>
    <definedName name="OSRRefT16x_0" localSheetId="2">Summary!$T$24:$T$52</definedName>
    <definedName name="OSRRefT22_0x_0" localSheetId="40">'200'!$T$20</definedName>
    <definedName name="OSRRefT22_0x_0" localSheetId="41">'201'!$T$20:$T$28</definedName>
    <definedName name="OSRRefT22_0x_0" localSheetId="42">'202'!$T$20:$T$28</definedName>
    <definedName name="OSRRefT22_0x_0" localSheetId="43">'203'!$T$20:$T$29</definedName>
    <definedName name="OSRRefT22_0x_0" localSheetId="44">'204'!$T$20:$T$28</definedName>
    <definedName name="OSRRefT22_0x_0" localSheetId="45">'205'!$T$20:$T$28</definedName>
    <definedName name="OSRRefT22_0x_0" localSheetId="46">'206'!$T$20:$T$28</definedName>
    <definedName name="OSRRefT22_0x_0" localSheetId="48">'300'!$T$46:$T$55</definedName>
    <definedName name="OSRRefT22_0x_0" localSheetId="49">'300 &amp; 317'!$T$52:$T$61</definedName>
    <definedName name="OSRRefT22_0x_0" localSheetId="50">'301'!$T$20:$T$29</definedName>
    <definedName name="OSRRefT22_0x_0" localSheetId="52">'307'!$T$23:$T$30</definedName>
    <definedName name="OSRRefT22_0x_0" localSheetId="53">'308'!$T$34:$T$43</definedName>
    <definedName name="OSRRefT22_0x_0" localSheetId="64">'309'!$T$20</definedName>
    <definedName name="OSRRefT22_0x_0" localSheetId="63">'310'!$T$24:$T$31</definedName>
    <definedName name="OSRRefT22_0x_0" localSheetId="69">'310 &amp; 491'!$T$27:$T$35</definedName>
    <definedName name="OSRRefT22_0x_0" localSheetId="54">'311'!$T$34:$T$43</definedName>
    <definedName name="OSRRefT22_0x_0" localSheetId="65">'313'!$T$20</definedName>
    <definedName name="OSRRefT22_0x_0" localSheetId="57">'315'!$T$39:$T$47</definedName>
    <definedName name="OSRRefT22_0x_0" localSheetId="60">'316'!$T$24:$T$32</definedName>
    <definedName name="OSRRefT22_0x_0" localSheetId="62">'317'!$T$34:$T$43</definedName>
    <definedName name="OSRRefT22_0x_0" localSheetId="66">'321'!$T$23:$T$30</definedName>
    <definedName name="OSRRefT22_0x_0" localSheetId="67">'325'!$T$22:$T$29</definedName>
    <definedName name="OSRRefT22_0x_0" localSheetId="58">'326'!$T$25:$T$33</definedName>
    <definedName name="OSRRefT22_0x_0" localSheetId="51">'330'!$T$23:$T$30</definedName>
    <definedName name="OSRRefT22_0x_0" localSheetId="56">'331'!$T$39:$T$47</definedName>
    <definedName name="OSRRefT22_0x_0" localSheetId="59">'332'!$T$24:$T$32</definedName>
    <definedName name="OSRRefT22_0x_0" localSheetId="71">'405'!$T$21:$T$29</definedName>
    <definedName name="OSRRefT22_0x_0" localSheetId="72">'411'!$T$20:$T$28</definedName>
    <definedName name="OSRRefT22_0x_0" localSheetId="73">'412'!$T$20</definedName>
    <definedName name="OSRRefT22_0x_0" localSheetId="74">'413'!$T$20</definedName>
    <definedName name="OSRRefT22_0x_0" localSheetId="75">'415'!$T$27:$T$35</definedName>
    <definedName name="OSRRefT22_0x_0" localSheetId="76">'418'!$T$23:$T$31</definedName>
    <definedName name="OSRRefT22_0x_0" localSheetId="77">'423'!$T$20:$T$27</definedName>
    <definedName name="OSRRefT22_0x_0" localSheetId="78">'424'!$T$20</definedName>
    <definedName name="OSRRefT22_0x_0" localSheetId="79">'425'!$T$21</definedName>
    <definedName name="OSRRefT22_0x_0" localSheetId="82">'430'!$T$20:$T$28</definedName>
    <definedName name="OSRRefT22_0x_0" localSheetId="83">'433'!$T$20:$T$29</definedName>
    <definedName name="OSRRefT22_0x_0" localSheetId="84">'444'!$T$25:$T$34</definedName>
    <definedName name="OSRRefT22_0x_0" localSheetId="85">'450'!$T$20:$T$29</definedName>
    <definedName name="OSRRefT22_0x_0" localSheetId="70">'491'!$T$27:$T$35</definedName>
    <definedName name="OSRRefT22_0x_0" localSheetId="81">'492'!$T$25:$T$34</definedName>
    <definedName name="OSRRefT22_0x_0" localSheetId="87">'501'!$T$21:$T$29</definedName>
    <definedName name="OSRRefT22_0x_0" localSheetId="39">'Div 2'!$T$20:$T$30</definedName>
    <definedName name="OSRRefT22_0x_0" localSheetId="47">'Div 3'!$T$47:$T$56</definedName>
    <definedName name="OSRRefT22_0x_0" localSheetId="68">'Div 4'!$T$29:$T$38</definedName>
    <definedName name="OSRRefT22_0x_0" localSheetId="86">'Div 5'!$T$21:$T$29</definedName>
    <definedName name="OSRRefT22_0x_0" localSheetId="61">'Div 6'!$T$34:$T$43</definedName>
    <definedName name="OSRRefT22_0x_0" localSheetId="2">Summary!$T$58:$T$67</definedName>
    <definedName name="OSRRefT22_10x_0" localSheetId="41">'201'!$T$58</definedName>
    <definedName name="OSRRefT22_10x_0" localSheetId="42">'202'!$T$59</definedName>
    <definedName name="OSRRefT22_10x_0" localSheetId="43">'203'!$T$60</definedName>
    <definedName name="OSRRefT22_10x_0" localSheetId="48">'300'!$T$86:$T$87</definedName>
    <definedName name="OSRRefT22_10x_0" localSheetId="49">'300 &amp; 317'!$T$92:$T$93</definedName>
    <definedName name="OSRRefT22_10x_0" localSheetId="50">'301'!$T$59</definedName>
    <definedName name="OSRRefT22_10x_0" localSheetId="53">'308'!$T$74:$T$75</definedName>
    <definedName name="OSRRefT22_10x_0" localSheetId="63">'310'!$T$62</definedName>
    <definedName name="OSRRefT22_10x_0" localSheetId="69">'310 &amp; 491'!$T$65</definedName>
    <definedName name="OSRRefT22_10x_0" localSheetId="54">'311'!$T$74:$T$75</definedName>
    <definedName name="OSRRefT22_10x_0" localSheetId="57">'315'!$T$77</definedName>
    <definedName name="OSRRefT22_10x_0" localSheetId="67">'325'!$T$64:$T$65</definedName>
    <definedName name="OSRRefT22_10x_0" localSheetId="58">'326'!$T$62</definedName>
    <definedName name="OSRRefT22_10x_0" localSheetId="56">'331'!$T$78</definedName>
    <definedName name="OSRRefT22_10x_0" localSheetId="71">'405'!$T$64</definedName>
    <definedName name="OSRRefT22_10x_0" localSheetId="72">'411'!$T$60</definedName>
    <definedName name="OSRRefT22_10x_0" localSheetId="75">'415'!$T$65:$T$66</definedName>
    <definedName name="OSRRefT22_10x_0" localSheetId="76">'418'!$T$71:$T$72</definedName>
    <definedName name="OSRRefT22_10x_0" localSheetId="83">'433'!$T$62:$T$67</definedName>
    <definedName name="OSRRefT22_10x_0" localSheetId="84">'444'!$T$64:$T$67</definedName>
    <definedName name="OSRRefT22_10x_0" localSheetId="85">'450'!$T$66</definedName>
    <definedName name="OSRRefT22_10x_0" localSheetId="70">'491'!$T$65</definedName>
    <definedName name="OSRRefT22_10x_0" localSheetId="81">'492'!$T$63</definedName>
    <definedName name="OSRRefT22_10x_0" localSheetId="87">'501'!$T$59</definedName>
    <definedName name="OSRRefT22_10x_0" localSheetId="39">'Div 2'!$T$60</definedName>
    <definedName name="OSRRefT22_10x_0" localSheetId="47">'Div 3'!$T$87:$T$88</definedName>
    <definedName name="OSRRefT22_10x_0" localSheetId="68">'Div 4'!$T$68</definedName>
    <definedName name="OSRRefT22_10x_0" localSheetId="86">'Div 5'!$T$59</definedName>
    <definedName name="OSRRefT22_10x_0" localSheetId="2">Summary!$T$98:$T$99</definedName>
    <definedName name="OSRRefT22_11x_0" localSheetId="43">'203'!$T$62:$T$65</definedName>
    <definedName name="OSRRefT22_11x_0" localSheetId="48">'300'!$T$89:$T$90</definedName>
    <definedName name="OSRRefT22_11x_0" localSheetId="49">'300 &amp; 317'!$T$95:$T$96</definedName>
    <definedName name="OSRRefT22_11x_0" localSheetId="50">'301'!$T$61</definedName>
    <definedName name="OSRRefT22_11x_0" localSheetId="53">'308'!$T$77:$T$78</definedName>
    <definedName name="OSRRefT22_11x_0" localSheetId="63">'310'!$T$64:$T$68</definedName>
    <definedName name="OSRRefT22_11x_0" localSheetId="69">'310 &amp; 491'!$T$67:$T$68</definedName>
    <definedName name="OSRRefT22_11x_0" localSheetId="54">'311'!$T$77:$T$78</definedName>
    <definedName name="OSRRefT22_11x_0" localSheetId="57">'315'!$T$79:$T$81</definedName>
    <definedName name="OSRRefT22_11x_0" localSheetId="67">'325'!$T$67</definedName>
    <definedName name="OSRRefT22_11x_0" localSheetId="58">'326'!$T$64:$T$65</definedName>
    <definedName name="OSRRefT22_11x_0" localSheetId="56">'331'!$T$80</definedName>
    <definedName name="OSRRefT22_11x_0" localSheetId="72">'411'!$T$62</definedName>
    <definedName name="OSRRefT22_11x_0" localSheetId="75">'415'!$T$68:$T$71</definedName>
    <definedName name="OSRRefT22_11x_0" localSheetId="76">'418'!$T$74</definedName>
    <definedName name="OSRRefT22_11x_0" localSheetId="83">'433'!$T$69</definedName>
    <definedName name="OSRRefT22_11x_0" localSheetId="84">'444'!$T$69:$T$74</definedName>
    <definedName name="OSRRefT22_11x_0" localSheetId="85">'450'!$T$68</definedName>
    <definedName name="OSRRefT22_11x_0" localSheetId="70">'491'!$T$67:$T$68</definedName>
    <definedName name="OSRRefT22_11x_0" localSheetId="81">'492'!$T$65:$T$67</definedName>
    <definedName name="OSRRefT22_11x_0" localSheetId="87">'501'!$T$61:$T$62</definedName>
    <definedName name="OSRRefT22_11x_0" localSheetId="39">'Div 2'!$T$62</definedName>
    <definedName name="OSRRefT22_11x_0" localSheetId="47">'Div 3'!$T$90:$T$91</definedName>
    <definedName name="OSRRefT22_11x_0" localSheetId="68">'Div 4'!$T$70</definedName>
    <definedName name="OSRRefT22_11x_0" localSheetId="86">'Div 5'!$T$61:$T$62</definedName>
    <definedName name="OSRRefT22_11x_0" localSheetId="2">Summary!$T$101:$T$102</definedName>
    <definedName name="OSRRefT22_12x_0" localSheetId="43">'203'!$T$67</definedName>
    <definedName name="OSRRefT22_12x_0" localSheetId="48">'300'!$T$92</definedName>
    <definedName name="OSRRefT22_12x_0" localSheetId="49">'300 &amp; 317'!$T$98</definedName>
    <definedName name="OSRRefT22_12x_0" localSheetId="50">'301'!$T$63</definedName>
    <definedName name="OSRRefT22_12x_0" localSheetId="63">'310'!$T$70:$T$71</definedName>
    <definedName name="OSRRefT22_12x_0" localSheetId="69">'310 &amp; 491'!$T$70</definedName>
    <definedName name="OSRRefT22_12x_0" localSheetId="57">'315'!$T$83:$T$84</definedName>
    <definedName name="OSRRefT22_12x_0" localSheetId="58">'326'!$T$67:$T$68</definedName>
    <definedName name="OSRRefT22_12x_0" localSheetId="56">'331'!$T$82:$T$83</definedName>
    <definedName name="OSRRefT22_12x_0" localSheetId="72">'411'!$T$64</definedName>
    <definedName name="OSRRefT22_12x_0" localSheetId="75">'415'!$T$73</definedName>
    <definedName name="OSRRefT22_12x_0" localSheetId="76">'418'!$T$76</definedName>
    <definedName name="OSRRefT22_12x_0" localSheetId="84">'444'!$T$76</definedName>
    <definedName name="OSRRefT22_12x_0" localSheetId="70">'491'!$T$70:$T$74</definedName>
    <definedName name="OSRRefT22_12x_0" localSheetId="81">'492'!$T$69:$T$72</definedName>
    <definedName name="OSRRefT22_12x_0" localSheetId="87">'501'!$T$64</definedName>
    <definedName name="OSRRefT22_12x_0" localSheetId="39">'Div 2'!$T$64:$T$67</definedName>
    <definedName name="OSRRefT22_12x_0" localSheetId="47">'Div 3'!$T$93</definedName>
    <definedName name="OSRRefT22_12x_0" localSheetId="68">'Div 4'!$T$72</definedName>
    <definedName name="OSRRefT22_12x_0" localSheetId="86">'Div 5'!$T$64</definedName>
    <definedName name="OSRRefT22_12x_0" localSheetId="2">Summary!$T$104</definedName>
    <definedName name="OSRRefT22_13x_0" localSheetId="43">'203'!$T$69</definedName>
    <definedName name="OSRRefT22_13x_0" localSheetId="48">'300'!$T$94</definedName>
    <definedName name="OSRRefT22_13x_0" localSheetId="49">'300 &amp; 317'!$T$100</definedName>
    <definedName name="OSRRefT22_13x_0" localSheetId="50">'301'!$T$65:$T$68</definedName>
    <definedName name="OSRRefT22_13x_0" localSheetId="63">'310'!$T$73</definedName>
    <definedName name="OSRRefT22_13x_0" localSheetId="69">'310 &amp; 491'!$T$72:$T$76</definedName>
    <definedName name="OSRRefT22_13x_0" localSheetId="57">'315'!$T$86:$T$88</definedName>
    <definedName name="OSRRefT22_13x_0" localSheetId="58">'326'!$T$70:$T$71</definedName>
    <definedName name="OSRRefT22_13x_0" localSheetId="56">'331'!$T$85:$T$87</definedName>
    <definedName name="OSRRefT22_13x_0" localSheetId="75">'415'!$T$75:$T$78</definedName>
    <definedName name="OSRRefT22_13x_0" localSheetId="84">'444'!$T$78</definedName>
    <definedName name="OSRRefT22_13x_0" localSheetId="70">'491'!$T$76</definedName>
    <definedName name="OSRRefT22_13x_0" localSheetId="81">'492'!$T$74:$T$80</definedName>
    <definedName name="OSRRefT22_13x_0" localSheetId="39">'Div 2'!$T$69:$T$72</definedName>
    <definedName name="OSRRefT22_13x_0" localSheetId="47">'Div 3'!$T$95</definedName>
    <definedName name="OSRRefT22_13x_0" localSheetId="68">'Div 4'!$T$74:$T$76</definedName>
    <definedName name="OSRRefT22_13x_0" localSheetId="2">Summary!$T$106</definedName>
    <definedName name="OSRRefT22_14x_0" localSheetId="48">'300'!$T$96</definedName>
    <definedName name="OSRRefT22_14x_0" localSheetId="49">'300 &amp; 317'!$T$102</definedName>
    <definedName name="OSRRefT22_14x_0" localSheetId="50">'301'!$T$70:$T$71</definedName>
    <definedName name="OSRRefT22_14x_0" localSheetId="69">'310 &amp; 491'!$T$78</definedName>
    <definedName name="OSRRefT22_14x_0" localSheetId="57">'315'!$T$90</definedName>
    <definedName name="OSRRefT22_14x_0" localSheetId="58">'326'!$T$73:$T$75</definedName>
    <definedName name="OSRRefT22_14x_0" localSheetId="56">'331'!$T$89:$T$90</definedName>
    <definedName name="OSRRefT22_14x_0" localSheetId="75">'415'!$T$80:$T$81</definedName>
    <definedName name="OSRRefT22_14x_0" localSheetId="70">'491'!$T$78:$T$85</definedName>
    <definedName name="OSRRefT22_14x_0" localSheetId="81">'492'!$T$82:$T$83</definedName>
    <definedName name="OSRRefT22_14x_0" localSheetId="39">'Div 2'!$T$74:$T$75</definedName>
    <definedName name="OSRRefT22_14x_0" localSheetId="47">'Div 3'!$T$97</definedName>
    <definedName name="OSRRefT22_14x_0" localSheetId="68">'Div 4'!$T$78:$T$82</definedName>
    <definedName name="OSRRefT22_14x_0" localSheetId="2">Summary!$T$108</definedName>
    <definedName name="OSRRefT22_15x_0" localSheetId="48">'300'!$T$98</definedName>
    <definedName name="OSRRefT22_15x_0" localSheetId="49">'300 &amp; 317'!$T$104</definedName>
    <definedName name="OSRRefT22_15x_0" localSheetId="50">'301'!$T$73:$T$76</definedName>
    <definedName name="OSRRefT22_15x_0" localSheetId="69">'310 &amp; 491'!$T$80:$T$89</definedName>
    <definedName name="OSRRefT22_15x_0" localSheetId="57">'315'!$T$92</definedName>
    <definedName name="OSRRefT22_15x_0" localSheetId="58">'326'!$T$77</definedName>
    <definedName name="OSRRefT22_15x_0" localSheetId="56">'331'!$T$92:$T$93</definedName>
    <definedName name="OSRRefT22_15x_0" localSheetId="75">'415'!$T$83</definedName>
    <definedName name="OSRRefT22_15x_0" localSheetId="70">'491'!$T$87:$T$88</definedName>
    <definedName name="OSRRefT22_15x_0" localSheetId="81">'492'!$T$85</definedName>
    <definedName name="OSRRefT22_15x_0" localSheetId="39">'Div 2'!$T$77</definedName>
    <definedName name="OSRRefT22_15x_0" localSheetId="47">'Div 3'!$T$99</definedName>
    <definedName name="OSRRefT22_15x_0" localSheetId="68">'Div 4'!$T$84</definedName>
    <definedName name="OSRRefT22_15x_0" localSheetId="2">Summary!$T$110</definedName>
    <definedName name="OSRRefT22_16x_0" localSheetId="48">'300'!$T$100:$T$103</definedName>
    <definedName name="OSRRefT22_16x_0" localSheetId="49">'300 &amp; 317'!$T$106:$T$109</definedName>
    <definedName name="OSRRefT22_16x_0" localSheetId="50">'301'!$T$78</definedName>
    <definedName name="OSRRefT22_16x_0" localSheetId="69">'310 &amp; 491'!$T$91:$T$92</definedName>
    <definedName name="OSRRefT22_16x_0" localSheetId="58">'326'!$T$79:$T$80</definedName>
    <definedName name="OSRRefT22_16x_0" localSheetId="56">'331'!$T$95:$T$98</definedName>
    <definedName name="OSRRefT22_16x_0" localSheetId="75">'415'!$T$85</definedName>
    <definedName name="OSRRefT22_16x_0" localSheetId="70">'491'!$T$90</definedName>
    <definedName name="OSRRefT22_16x_0" localSheetId="39">'Div 2'!$T$79:$T$84</definedName>
    <definedName name="OSRRefT22_16x_0" localSheetId="47">'Div 3'!$T$101</definedName>
    <definedName name="OSRRefT22_16x_0" localSheetId="68">'Div 4'!$T$86:$T$94</definedName>
    <definedName name="OSRRefT22_16x_0" localSheetId="2">Summary!$T$112</definedName>
    <definedName name="OSRRefT22_17x_0" localSheetId="48">'300'!$T$105:$T$108</definedName>
    <definedName name="OSRRefT22_17x_0" localSheetId="49">'300 &amp; 317'!$T$111:$T$114</definedName>
    <definedName name="OSRRefT22_17x_0" localSheetId="50">'301'!$T$80</definedName>
    <definedName name="OSRRefT22_17x_0" localSheetId="69">'310 &amp; 491'!$T$94</definedName>
    <definedName name="OSRRefT22_17x_0" localSheetId="58">'326'!$T$82</definedName>
    <definedName name="OSRRefT22_17x_0" localSheetId="56">'331'!$T$100</definedName>
    <definedName name="OSRRefT22_17x_0" localSheetId="70">'491'!$T$92</definedName>
    <definedName name="OSRRefT22_17x_0" localSheetId="39">'Div 2'!$T$86:$T$87</definedName>
    <definedName name="OSRRefT22_17x_0" localSheetId="47">'Div 3'!$T$103:$T$106</definedName>
    <definedName name="OSRRefT22_17x_0" localSheetId="68">'Div 4'!$T$96:$T$97</definedName>
    <definedName name="OSRRefT22_17x_0" localSheetId="2">Summary!$T$114</definedName>
    <definedName name="OSRRefT22_18x_0" localSheetId="48">'300'!$T$110:$T$112</definedName>
    <definedName name="OSRRefT22_18x_0" localSheetId="49">'300 &amp; 317'!$T$116:$T$118</definedName>
    <definedName name="OSRRefT22_18x_0" localSheetId="50">'301'!$T$82</definedName>
    <definedName name="OSRRefT22_18x_0" localSheetId="69">'310 &amp; 491'!$T$96</definedName>
    <definedName name="OSRRefT22_18x_0" localSheetId="56">'331'!$T$102:$T$103</definedName>
    <definedName name="OSRRefT22_18x_0" localSheetId="39">'Div 2'!$T$89</definedName>
    <definedName name="OSRRefT22_18x_0" localSheetId="47">'Div 3'!$T$108:$T$111</definedName>
    <definedName name="OSRRefT22_18x_0" localSheetId="68">'Div 4'!$T$99</definedName>
    <definedName name="OSRRefT22_18x_0" localSheetId="2">Summary!$T$116:$T$119</definedName>
    <definedName name="OSRRefT22_19x_0" localSheetId="48">'300'!$T$114:$T$115</definedName>
    <definedName name="OSRRefT22_19x_0" localSheetId="49">'300 &amp; 317'!$T$120:$T$121</definedName>
    <definedName name="OSRRefT22_19x_0" localSheetId="56">'331'!$T$105</definedName>
    <definedName name="OSRRefT22_19x_0" localSheetId="39">'Div 2'!$T$91</definedName>
    <definedName name="OSRRefT22_19x_0" localSheetId="47">'Div 3'!$T$113:$T$115</definedName>
    <definedName name="OSRRefT22_19x_0" localSheetId="68">'Div 4'!$T$101</definedName>
    <definedName name="OSRRefT22_19x_0" localSheetId="2">Summary!$T$121:$T$124</definedName>
    <definedName name="OSRRefT22_1x_0" localSheetId="40">'200'!$T$22</definedName>
    <definedName name="OSRRefT22_1x_0" localSheetId="41">'201'!$T$30:$T$39</definedName>
    <definedName name="OSRRefT22_1x_0" localSheetId="42">'202'!$T$30:$T$39</definedName>
    <definedName name="OSRRefT22_1x_0" localSheetId="43">'203'!$T$31:$T$40</definedName>
    <definedName name="OSRRefT22_1x_0" localSheetId="44">'204'!$T$30:$T$39</definedName>
    <definedName name="OSRRefT22_1x_0" localSheetId="45">'205'!$T$30:$T$39</definedName>
    <definedName name="OSRRefT22_1x_0" localSheetId="46">'206'!$T$30:$T$39</definedName>
    <definedName name="OSRRefT22_1x_0" localSheetId="48">'300'!$T$57:$T$66</definedName>
    <definedName name="OSRRefT22_1x_0" localSheetId="49">'300 &amp; 317'!$T$63:$T$72</definedName>
    <definedName name="OSRRefT22_1x_0" localSheetId="50">'301'!$T$31:$T$40</definedName>
    <definedName name="OSRRefT22_1x_0" localSheetId="52">'307'!$T$32:$T$41</definedName>
    <definedName name="OSRRefT22_1x_0" localSheetId="53">'308'!$T$45:$T$54</definedName>
    <definedName name="OSRRefT22_1x_0" localSheetId="64">'309'!$T$22</definedName>
    <definedName name="OSRRefT22_1x_0" localSheetId="63">'310'!$T$33:$T$42</definedName>
    <definedName name="OSRRefT22_1x_0" localSheetId="69">'310 &amp; 491'!$T$37:$T$46</definedName>
    <definedName name="OSRRefT22_1x_0" localSheetId="54">'311'!$T$45:$T$54</definedName>
    <definedName name="OSRRefT22_1x_0" localSheetId="57">'315'!$T$49:$T$58</definedName>
    <definedName name="OSRRefT22_1x_0" localSheetId="60">'316'!$T$34:$T$43</definedName>
    <definedName name="OSRRefT22_1x_0" localSheetId="62">'317'!$T$45:$T$54</definedName>
    <definedName name="OSRRefT22_1x_0" localSheetId="66">'321'!$T$32:$T$41</definedName>
    <definedName name="OSRRefT22_1x_0" localSheetId="67">'325'!$T$31:$T$40</definedName>
    <definedName name="OSRRefT22_1x_0" localSheetId="58">'326'!$T$35:$T$44</definedName>
    <definedName name="OSRRefT22_1x_0" localSheetId="51">'330'!$T$32:$T$41</definedName>
    <definedName name="OSRRefT22_1x_0" localSheetId="56">'331'!$T$49:$T$58</definedName>
    <definedName name="OSRRefT22_1x_0" localSheetId="59">'332'!$T$34:$T$43</definedName>
    <definedName name="OSRRefT22_1x_0" localSheetId="71">'405'!$T$31:$T$40</definedName>
    <definedName name="OSRRefT22_1x_0" localSheetId="72">'411'!$T$30:$T$39</definedName>
    <definedName name="OSRRefT22_1x_0" localSheetId="73">'412'!$T$22</definedName>
    <definedName name="OSRRefT22_1x_0" localSheetId="74">'413'!$T$22</definedName>
    <definedName name="OSRRefT22_1x_0" localSheetId="75">'415'!$T$37:$T$46</definedName>
    <definedName name="OSRRefT22_1x_0" localSheetId="76">'418'!$T$33:$T$42</definedName>
    <definedName name="OSRRefT22_1x_0" localSheetId="77">'423'!$T$29:$T$38</definedName>
    <definedName name="OSRRefT22_1x_0" localSheetId="78">'424'!$T$22</definedName>
    <definedName name="OSRRefT22_1x_0" localSheetId="79">'425'!$T$23</definedName>
    <definedName name="OSRRefT22_1x_0" localSheetId="82">'430'!$T$30:$T$39</definedName>
    <definedName name="OSRRefT22_1x_0" localSheetId="83">'433'!$T$31:$T$40</definedName>
    <definedName name="OSRRefT22_1x_0" localSheetId="84">'444'!$T$36:$T$45</definedName>
    <definedName name="OSRRefT22_1x_0" localSheetId="85">'450'!$T$31:$T$40</definedName>
    <definedName name="OSRRefT22_1x_0" localSheetId="70">'491'!$T$37:$T$46</definedName>
    <definedName name="OSRRefT22_1x_0" localSheetId="81">'492'!$T$36:$T$45</definedName>
    <definedName name="OSRRefT22_1x_0" localSheetId="87">'501'!$T$31:$T$40</definedName>
    <definedName name="OSRRefT22_1x_0" localSheetId="39">'Div 2'!$T$32:$T$41</definedName>
    <definedName name="OSRRefT22_1x_0" localSheetId="47">'Div 3'!$T$58:$T$67</definedName>
    <definedName name="OSRRefT22_1x_0" localSheetId="68">'Div 4'!$T$40:$T$49</definedName>
    <definedName name="OSRRefT22_1x_0" localSheetId="86">'Div 5'!$T$31:$T$40</definedName>
    <definedName name="OSRRefT22_1x_0" localSheetId="61">'Div 6'!$T$45:$T$54</definedName>
    <definedName name="OSRRefT22_1x_0" localSheetId="2">Summary!$T$69:$T$78</definedName>
    <definedName name="OSRRefT22_20x_0" localSheetId="48">'300'!$T$117:$T$122</definedName>
    <definedName name="OSRRefT22_20x_0" localSheetId="49">'300 &amp; 317'!$T$123:$T$128</definedName>
    <definedName name="OSRRefT22_20x_0" localSheetId="47">'Div 3'!$T$117:$T$118</definedName>
    <definedName name="OSRRefT22_20x_0" localSheetId="2">Summary!$T$126:$T$130</definedName>
    <definedName name="OSRRefT22_21x_0" localSheetId="48">'300'!$T$124:$T$125</definedName>
    <definedName name="OSRRefT22_21x_0" localSheetId="49">'300 &amp; 317'!$T$130:$T$131</definedName>
    <definedName name="OSRRefT22_21x_0" localSheetId="47">'Div 3'!$T$120:$T$126</definedName>
    <definedName name="OSRRefT22_21x_0" localSheetId="2">Summary!$T$132:$T$133</definedName>
    <definedName name="OSRRefT22_22x_0" localSheetId="48">'300'!$T$127:$T$129</definedName>
    <definedName name="OSRRefT22_22x_0" localSheetId="49">'300 &amp; 317'!$T$133:$T$135</definedName>
    <definedName name="OSRRefT22_22x_0" localSheetId="47">'Div 3'!$T$128:$T$129</definedName>
    <definedName name="OSRRefT22_22x_0" localSheetId="2">Summary!$T$135:$T$144</definedName>
    <definedName name="OSRRefT22_23x_0" localSheetId="48">'300'!$T$131</definedName>
    <definedName name="OSRRefT22_23x_0" localSheetId="49">'300 &amp; 317'!$T$137</definedName>
    <definedName name="OSRRefT22_23x_0" localSheetId="47">'Div 3'!$T$131:$T$133</definedName>
    <definedName name="OSRRefT22_23x_0" localSheetId="2">Summary!$T$146:$T$147</definedName>
    <definedName name="OSRRefT22_24x_0" localSheetId="47">'Div 3'!$T$135</definedName>
    <definedName name="OSRRefT22_24x_0" localSheetId="2">Summary!$T$149</definedName>
    <definedName name="OSRRefT22_25x_0" localSheetId="2">Summary!$T$151:$T$153</definedName>
    <definedName name="OSRRefT22_26x_0" localSheetId="2">Summary!$T$155</definedName>
    <definedName name="OSRRefT22_2x_0" localSheetId="40">'200'!$T$24</definedName>
    <definedName name="OSRRefT22_2x_0" localSheetId="41">'201'!$T$41</definedName>
    <definedName name="OSRRefT22_2x_0" localSheetId="42">'202'!$T$41</definedName>
    <definedName name="OSRRefT22_2x_0" localSheetId="43">'203'!$T$42</definedName>
    <definedName name="OSRRefT22_2x_0" localSheetId="44">'204'!$T$41</definedName>
    <definedName name="OSRRefT22_2x_0" localSheetId="45">'205'!$T$41</definedName>
    <definedName name="OSRRefT22_2x_0" localSheetId="46">'206'!$T$41</definedName>
    <definedName name="OSRRefT22_2x_0" localSheetId="48">'300'!$T$68</definedName>
    <definedName name="OSRRefT22_2x_0" localSheetId="49">'300 &amp; 317'!$T$74</definedName>
    <definedName name="OSRRefT22_2x_0" localSheetId="50">'301'!$T$42</definedName>
    <definedName name="OSRRefT22_2x_0" localSheetId="52">'307'!$T$43</definedName>
    <definedName name="OSRRefT22_2x_0" localSheetId="53">'308'!$T$56</definedName>
    <definedName name="OSRRefT22_2x_0" localSheetId="64">'309'!$T$24</definedName>
    <definedName name="OSRRefT22_2x_0" localSheetId="63">'310'!$T$44</definedName>
    <definedName name="OSRRefT22_2x_0" localSheetId="69">'310 &amp; 491'!$T$48</definedName>
    <definedName name="OSRRefT22_2x_0" localSheetId="54">'311'!$T$56</definedName>
    <definedName name="OSRRefT22_2x_0" localSheetId="57">'315'!$T$60</definedName>
    <definedName name="OSRRefT22_2x_0" localSheetId="60">'316'!$T$45</definedName>
    <definedName name="OSRRefT22_2x_0" localSheetId="62">'317'!$T$56</definedName>
    <definedName name="OSRRefT22_2x_0" localSheetId="66">'321'!$T$43</definedName>
    <definedName name="OSRRefT22_2x_0" localSheetId="67">'325'!$T$42</definedName>
    <definedName name="OSRRefT22_2x_0" localSheetId="58">'326'!$T$46</definedName>
    <definedName name="OSRRefT22_2x_0" localSheetId="51">'330'!$T$43</definedName>
    <definedName name="OSRRefT22_2x_0" localSheetId="56">'331'!$T$60</definedName>
    <definedName name="OSRRefT22_2x_0" localSheetId="59">'332'!$T$45</definedName>
    <definedName name="OSRRefT22_2x_0" localSheetId="71">'405'!$T$42</definedName>
    <definedName name="OSRRefT22_2x_0" localSheetId="72">'411'!$T$41</definedName>
    <definedName name="OSRRefT22_2x_0" localSheetId="73">'412'!$T$24</definedName>
    <definedName name="OSRRefT22_2x_0" localSheetId="75">'415'!$T$48</definedName>
    <definedName name="OSRRefT22_2x_0" localSheetId="76">'418'!$T$44</definedName>
    <definedName name="OSRRefT22_2x_0" localSheetId="77">'423'!$T$40</definedName>
    <definedName name="OSRRefT22_2x_0" localSheetId="82">'430'!$T$41</definedName>
    <definedName name="OSRRefT22_2x_0" localSheetId="83">'433'!$T$42</definedName>
    <definedName name="OSRRefT22_2x_0" localSheetId="84">'444'!$T$47</definedName>
    <definedName name="OSRRefT22_2x_0" localSheetId="85">'450'!$T$42</definedName>
    <definedName name="OSRRefT22_2x_0" localSheetId="70">'491'!$T$48</definedName>
    <definedName name="OSRRefT22_2x_0" localSheetId="81">'492'!$T$47</definedName>
    <definedName name="OSRRefT22_2x_0" localSheetId="87">'501'!$T$42</definedName>
    <definedName name="OSRRefT22_2x_0" localSheetId="39">'Div 2'!$T$43</definedName>
    <definedName name="OSRRefT22_2x_0" localSheetId="47">'Div 3'!$T$69</definedName>
    <definedName name="OSRRefT22_2x_0" localSheetId="68">'Div 4'!$T$51</definedName>
    <definedName name="OSRRefT22_2x_0" localSheetId="86">'Div 5'!$T$42</definedName>
    <definedName name="OSRRefT22_2x_0" localSheetId="61">'Div 6'!$T$56</definedName>
    <definedName name="OSRRefT22_2x_0" localSheetId="2">Summary!$T$80</definedName>
    <definedName name="OSRRefT22_3x_0" localSheetId="40">'200'!$T$26:$T$27</definedName>
    <definedName name="OSRRefT22_3x_0" localSheetId="41">'201'!$T$43</definedName>
    <definedName name="OSRRefT22_3x_0" localSheetId="42">'202'!$T$43</definedName>
    <definedName name="OSRRefT22_3x_0" localSheetId="43">'203'!$T$44</definedName>
    <definedName name="OSRRefT22_3x_0" localSheetId="44">'204'!$T$43:$T$44</definedName>
    <definedName name="OSRRefT22_3x_0" localSheetId="45">'205'!$T$43</definedName>
    <definedName name="OSRRefT22_3x_0" localSheetId="46">'206'!$T$43</definedName>
    <definedName name="OSRRefT22_3x_0" localSheetId="48">'300'!$T$70</definedName>
    <definedName name="OSRRefT22_3x_0" localSheetId="49">'300 &amp; 317'!$T$76</definedName>
    <definedName name="OSRRefT22_3x_0" localSheetId="50">'301'!$T$44</definedName>
    <definedName name="OSRRefT22_3x_0" localSheetId="52">'307'!$T$45</definedName>
    <definedName name="OSRRefT22_3x_0" localSheetId="53">'308'!$T$58</definedName>
    <definedName name="OSRRefT22_3x_0" localSheetId="63">'310'!$T$46</definedName>
    <definedName name="OSRRefT22_3x_0" localSheetId="69">'310 &amp; 491'!$T$50</definedName>
    <definedName name="OSRRefT22_3x_0" localSheetId="54">'311'!$T$58</definedName>
    <definedName name="OSRRefT22_3x_0" localSheetId="57">'315'!$T$62</definedName>
    <definedName name="OSRRefT22_3x_0" localSheetId="60">'316'!$T$47</definedName>
    <definedName name="OSRRefT22_3x_0" localSheetId="62">'317'!$T$58</definedName>
    <definedName name="OSRRefT22_3x_0" localSheetId="66">'321'!$T$45</definedName>
    <definedName name="OSRRefT22_3x_0" localSheetId="67">'325'!$T$44</definedName>
    <definedName name="OSRRefT22_3x_0" localSheetId="58">'326'!$T$48</definedName>
    <definedName name="OSRRefT22_3x_0" localSheetId="51">'330'!$T$45</definedName>
    <definedName name="OSRRefT22_3x_0" localSheetId="56">'331'!$T$62</definedName>
    <definedName name="OSRRefT22_3x_0" localSheetId="59">'332'!$T$47</definedName>
    <definedName name="OSRRefT22_3x_0" localSheetId="71">'405'!$T$44</definedName>
    <definedName name="OSRRefT22_3x_0" localSheetId="72">'411'!$T$43:$T$44</definedName>
    <definedName name="OSRRefT22_3x_0" localSheetId="75">'415'!$T$50</definedName>
    <definedName name="OSRRefT22_3x_0" localSheetId="76">'418'!$T$46</definedName>
    <definedName name="OSRRefT22_3x_0" localSheetId="77">'423'!$T$42</definedName>
    <definedName name="OSRRefT22_3x_0" localSheetId="82">'430'!$T$43</definedName>
    <definedName name="OSRRefT22_3x_0" localSheetId="83">'433'!$T$44</definedName>
    <definedName name="OSRRefT22_3x_0" localSheetId="84">'444'!$T$49</definedName>
    <definedName name="OSRRefT22_3x_0" localSheetId="85">'450'!$T$44</definedName>
    <definedName name="OSRRefT22_3x_0" localSheetId="70">'491'!$T$50</definedName>
    <definedName name="OSRRefT22_3x_0" localSheetId="81">'492'!$T$49</definedName>
    <definedName name="OSRRefT22_3x_0" localSheetId="87">'501'!$T$44</definedName>
    <definedName name="OSRRefT22_3x_0" localSheetId="39">'Div 2'!$T$45</definedName>
    <definedName name="OSRRefT22_3x_0" localSheetId="47">'Div 3'!$T$71</definedName>
    <definedName name="OSRRefT22_3x_0" localSheetId="68">'Div 4'!$T$53</definedName>
    <definedName name="OSRRefT22_3x_0" localSheetId="86">'Div 5'!$T$44</definedName>
    <definedName name="OSRRefT22_3x_0" localSheetId="61">'Div 6'!$T$58</definedName>
    <definedName name="OSRRefT22_3x_0" localSheetId="2">Summary!$T$82</definedName>
    <definedName name="OSRRefT22_4x_0" localSheetId="41">'201'!$T$45</definedName>
    <definedName name="OSRRefT22_4x_0" localSheetId="42">'202'!$T$45</definedName>
    <definedName name="OSRRefT22_4x_0" localSheetId="43">'203'!$T$46</definedName>
    <definedName name="OSRRefT22_4x_0" localSheetId="44">'204'!$T$46</definedName>
    <definedName name="OSRRefT22_4x_0" localSheetId="45">'205'!$T$45:$T$46</definedName>
    <definedName name="OSRRefT22_4x_0" localSheetId="46">'206'!$T$45</definedName>
    <definedName name="OSRRefT22_4x_0" localSheetId="48">'300'!$T$72</definedName>
    <definedName name="OSRRefT22_4x_0" localSheetId="49">'300 &amp; 317'!$T$78</definedName>
    <definedName name="OSRRefT22_4x_0" localSheetId="50">'301'!$T$46:$T$47</definedName>
    <definedName name="OSRRefT22_4x_0" localSheetId="52">'307'!$T$47</definedName>
    <definedName name="OSRRefT22_4x_0" localSheetId="53">'308'!$T$60</definedName>
    <definedName name="OSRRefT22_4x_0" localSheetId="63">'310'!$T$48:$T$49</definedName>
    <definedName name="OSRRefT22_4x_0" localSheetId="69">'310 &amp; 491'!$T$52</definedName>
    <definedName name="OSRRefT22_4x_0" localSheetId="54">'311'!$T$60</definedName>
    <definedName name="OSRRefT22_4x_0" localSheetId="57">'315'!$T$64</definedName>
    <definedName name="OSRRefT22_4x_0" localSheetId="60">'316'!$T$49</definedName>
    <definedName name="OSRRefT22_4x_0" localSheetId="62">'317'!$T$60</definedName>
    <definedName name="OSRRefT22_4x_0" localSheetId="66">'321'!$T$47:$T$48</definedName>
    <definedName name="OSRRefT22_4x_0" localSheetId="67">'325'!$T$46:$T$47</definedName>
    <definedName name="OSRRefT22_4x_0" localSheetId="58">'326'!$T$50</definedName>
    <definedName name="OSRRefT22_4x_0" localSheetId="51">'330'!$T$47</definedName>
    <definedName name="OSRRefT22_4x_0" localSheetId="56">'331'!$T$64</definedName>
    <definedName name="OSRRefT22_4x_0" localSheetId="59">'332'!$T$49</definedName>
    <definedName name="OSRRefT22_4x_0" localSheetId="71">'405'!$T$46:$T$47</definedName>
    <definedName name="OSRRefT22_4x_0" localSheetId="72">'411'!$T$46</definedName>
    <definedName name="OSRRefT22_4x_0" localSheetId="75">'415'!$T$52</definedName>
    <definedName name="OSRRefT22_4x_0" localSheetId="76">'418'!$T$48:$T$49</definedName>
    <definedName name="OSRRefT22_4x_0" localSheetId="77">'423'!$T$44</definedName>
    <definedName name="OSRRefT22_4x_0" localSheetId="82">'430'!$T$45</definedName>
    <definedName name="OSRRefT22_4x_0" localSheetId="83">'433'!$T$46</definedName>
    <definedName name="OSRRefT22_4x_0" localSheetId="84">'444'!$T$51</definedName>
    <definedName name="OSRRefT22_4x_0" localSheetId="85">'450'!$T$46</definedName>
    <definedName name="OSRRefT22_4x_0" localSheetId="70">'491'!$T$52</definedName>
    <definedName name="OSRRefT22_4x_0" localSheetId="81">'492'!$T$51</definedName>
    <definedName name="OSRRefT22_4x_0" localSheetId="87">'501'!$T$46</definedName>
    <definedName name="OSRRefT22_4x_0" localSheetId="39">'Div 2'!$T$47</definedName>
    <definedName name="OSRRefT22_4x_0" localSheetId="47">'Div 3'!$T$73</definedName>
    <definedName name="OSRRefT22_4x_0" localSheetId="68">'Div 4'!$T$55</definedName>
    <definedName name="OSRRefT22_4x_0" localSheetId="86">'Div 5'!$T$46</definedName>
    <definedName name="OSRRefT22_4x_0" localSheetId="61">'Div 6'!$T$60</definedName>
    <definedName name="OSRRefT22_4x_0" localSheetId="2">Summary!$T$84</definedName>
    <definedName name="OSRRefT22_5x_0" localSheetId="41">'201'!$T$47</definedName>
    <definedName name="OSRRefT22_5x_0" localSheetId="42">'202'!$T$47</definedName>
    <definedName name="OSRRefT22_5x_0" localSheetId="43">'203'!$T$48</definedName>
    <definedName name="OSRRefT22_5x_0" localSheetId="44">'204'!$T$48:$T$50</definedName>
    <definedName name="OSRRefT22_5x_0" localSheetId="45">'205'!$T$48</definedName>
    <definedName name="OSRRefT22_5x_0" localSheetId="46">'206'!$T$47</definedName>
    <definedName name="OSRRefT22_5x_0" localSheetId="48">'300'!$T$74:$T$75</definedName>
    <definedName name="OSRRefT22_5x_0" localSheetId="49">'300 &amp; 317'!$T$80:$T$81</definedName>
    <definedName name="OSRRefT22_5x_0" localSheetId="50">'301'!$T$49</definedName>
    <definedName name="OSRRefT22_5x_0" localSheetId="52">'307'!$T$49</definedName>
    <definedName name="OSRRefT22_5x_0" localSheetId="53">'308'!$T$62</definedName>
    <definedName name="OSRRefT22_5x_0" localSheetId="63">'310'!$T$51</definedName>
    <definedName name="OSRRefT22_5x_0" localSheetId="69">'310 &amp; 491'!$T$54:$T$55</definedName>
    <definedName name="OSRRefT22_5x_0" localSheetId="54">'311'!$T$62</definedName>
    <definedName name="OSRRefT22_5x_0" localSheetId="57">'315'!$T$66</definedName>
    <definedName name="OSRRefT22_5x_0" localSheetId="60">'316'!$T$51:$T$52</definedName>
    <definedName name="OSRRefT22_5x_0" localSheetId="62">'317'!$T$62</definedName>
    <definedName name="OSRRefT22_5x_0" localSheetId="66">'321'!$T$50</definedName>
    <definedName name="OSRRefT22_5x_0" localSheetId="67">'325'!$T$49</definedName>
    <definedName name="OSRRefT22_5x_0" localSheetId="58">'326'!$T$52</definedName>
    <definedName name="OSRRefT22_5x_0" localSheetId="51">'330'!$T$49</definedName>
    <definedName name="OSRRefT22_5x_0" localSheetId="56">'331'!$T$66</definedName>
    <definedName name="OSRRefT22_5x_0" localSheetId="59">'332'!$T$51:$T$52</definedName>
    <definedName name="OSRRefT22_5x_0" localSheetId="71">'405'!$T$49</definedName>
    <definedName name="OSRRefT22_5x_0" localSheetId="72">'411'!$T$48</definedName>
    <definedName name="OSRRefT22_5x_0" localSheetId="75">'415'!$T$54:$T$55</definedName>
    <definedName name="OSRRefT22_5x_0" localSheetId="76">'418'!$T$51</definedName>
    <definedName name="OSRRefT22_5x_0" localSheetId="82">'430'!$T$47:$T$48</definedName>
    <definedName name="OSRRefT22_5x_0" localSheetId="83">'433'!$T$48</definedName>
    <definedName name="OSRRefT22_5x_0" localSheetId="84">'444'!$T$53</definedName>
    <definedName name="OSRRefT22_5x_0" localSheetId="85">'450'!$T$48</definedName>
    <definedName name="OSRRefT22_5x_0" localSheetId="70">'491'!$T$54:$T$55</definedName>
    <definedName name="OSRRefT22_5x_0" localSheetId="81">'492'!$T$53</definedName>
    <definedName name="OSRRefT22_5x_0" localSheetId="87">'501'!$T$48</definedName>
    <definedName name="OSRRefT22_5x_0" localSheetId="39">'Div 2'!$T$49:$T$50</definedName>
    <definedName name="OSRRefT22_5x_0" localSheetId="47">'Div 3'!$T$75:$T$76</definedName>
    <definedName name="OSRRefT22_5x_0" localSheetId="68">'Div 4'!$T$57:$T$58</definedName>
    <definedName name="OSRRefT22_5x_0" localSheetId="86">'Div 5'!$T$48</definedName>
    <definedName name="OSRRefT22_5x_0" localSheetId="61">'Div 6'!$T$62</definedName>
    <definedName name="OSRRefT22_5x_0" localSheetId="2">Summary!$T$86:$T$87</definedName>
    <definedName name="OSRRefT22_6x_0" localSheetId="41">'201'!$T$49</definedName>
    <definedName name="OSRRefT22_6x_0" localSheetId="42">'202'!$T$49:$T$51</definedName>
    <definedName name="OSRRefT22_6x_0" localSheetId="43">'203'!$T$50</definedName>
    <definedName name="OSRRefT22_6x_0" localSheetId="44">'204'!$T$52</definedName>
    <definedName name="OSRRefT22_6x_0" localSheetId="45">'205'!$T$50:$T$51</definedName>
    <definedName name="OSRRefT22_6x_0" localSheetId="46">'206'!$T$49:$T$50</definedName>
    <definedName name="OSRRefT22_6x_0" localSheetId="48">'300'!$T$77:$T$78</definedName>
    <definedName name="OSRRefT22_6x_0" localSheetId="49">'300 &amp; 317'!$T$83:$T$84</definedName>
    <definedName name="OSRRefT22_6x_0" localSheetId="50">'301'!$T$51</definedName>
    <definedName name="OSRRefT22_6x_0" localSheetId="52">'307'!$T$51</definedName>
    <definedName name="OSRRefT22_6x_0" localSheetId="53">'308'!$T$64</definedName>
    <definedName name="OSRRefT22_6x_0" localSheetId="63">'310'!$T$53</definedName>
    <definedName name="OSRRefT22_6x_0" localSheetId="69">'310 &amp; 491'!$T$57</definedName>
    <definedName name="OSRRefT22_6x_0" localSheetId="54">'311'!$T$64</definedName>
    <definedName name="OSRRefT22_6x_0" localSheetId="57">'315'!$T$68:$T$69</definedName>
    <definedName name="OSRRefT22_6x_0" localSheetId="60">'316'!$T$54:$T$55</definedName>
    <definedName name="OSRRefT22_6x_0" localSheetId="62">'317'!$T$64</definedName>
    <definedName name="OSRRefT22_6x_0" localSheetId="66">'321'!$T$52</definedName>
    <definedName name="OSRRefT22_6x_0" localSheetId="67">'325'!$T$51</definedName>
    <definedName name="OSRRefT22_6x_0" localSheetId="58">'326'!$T$54</definedName>
    <definedName name="OSRRefT22_6x_0" localSheetId="51">'330'!$T$51</definedName>
    <definedName name="OSRRefT22_6x_0" localSheetId="56">'331'!$T$68:$T$69</definedName>
    <definedName name="OSRRefT22_6x_0" localSheetId="59">'332'!$T$54:$T$55</definedName>
    <definedName name="OSRRefT22_6x_0" localSheetId="71">'405'!$T$51:$T$52</definedName>
    <definedName name="OSRRefT22_6x_0" localSheetId="72">'411'!$T$50</definedName>
    <definedName name="OSRRefT22_6x_0" localSheetId="75">'415'!$T$57</definedName>
    <definedName name="OSRRefT22_6x_0" localSheetId="76">'418'!$T$53</definedName>
    <definedName name="OSRRefT22_6x_0" localSheetId="82">'430'!$T$50</definedName>
    <definedName name="OSRRefT22_6x_0" localSheetId="83">'433'!$T$50</definedName>
    <definedName name="OSRRefT22_6x_0" localSheetId="84">'444'!$T$55</definedName>
    <definedName name="OSRRefT22_6x_0" localSheetId="85">'450'!$T$50</definedName>
    <definedName name="OSRRefT22_6x_0" localSheetId="70">'491'!$T$57</definedName>
    <definedName name="OSRRefT22_6x_0" localSheetId="81">'492'!$T$55</definedName>
    <definedName name="OSRRefT22_6x_0" localSheetId="87">'501'!$T$50</definedName>
    <definedName name="OSRRefT22_6x_0" localSheetId="39">'Div 2'!$T$52</definedName>
    <definedName name="OSRRefT22_6x_0" localSheetId="47">'Div 3'!$T$78:$T$79</definedName>
    <definedName name="OSRRefT22_6x_0" localSheetId="68">'Div 4'!$T$60</definedName>
    <definedName name="OSRRefT22_6x_0" localSheetId="86">'Div 5'!$T$50</definedName>
    <definedName name="OSRRefT22_6x_0" localSheetId="61">'Div 6'!$T$64</definedName>
    <definedName name="OSRRefT22_6x_0" localSheetId="2">Summary!$T$89:$T$90</definedName>
    <definedName name="OSRRefT22_7x_0" localSheetId="41">'201'!$T$51</definedName>
    <definedName name="OSRRefT22_7x_0" localSheetId="42">'202'!$T$53</definedName>
    <definedName name="OSRRefT22_7x_0" localSheetId="43">'203'!$T$52</definedName>
    <definedName name="OSRRefT22_7x_0" localSheetId="44">'204'!$T$54:$T$55</definedName>
    <definedName name="OSRRefT22_7x_0" localSheetId="45">'205'!$T$53</definedName>
    <definedName name="OSRRefT22_7x_0" localSheetId="46">'206'!$T$52</definedName>
    <definedName name="OSRRefT22_7x_0" localSheetId="48">'300'!$T$80</definedName>
    <definedName name="OSRRefT22_7x_0" localSheetId="49">'300 &amp; 317'!$T$86</definedName>
    <definedName name="OSRRefT22_7x_0" localSheetId="50">'301'!$T$53</definedName>
    <definedName name="OSRRefT22_7x_0" localSheetId="52">'307'!$T$53</definedName>
    <definedName name="OSRRefT22_7x_0" localSheetId="53">'308'!$T$66</definedName>
    <definedName name="OSRRefT22_7x_0" localSheetId="63">'310'!$T$55</definedName>
    <definedName name="OSRRefT22_7x_0" localSheetId="69">'310 &amp; 491'!$T$59</definedName>
    <definedName name="OSRRefT22_7x_0" localSheetId="54">'311'!$T$66</definedName>
    <definedName name="OSRRefT22_7x_0" localSheetId="57">'315'!$T$71</definedName>
    <definedName name="OSRRefT22_7x_0" localSheetId="60">'316'!$T$57</definedName>
    <definedName name="OSRRefT22_7x_0" localSheetId="62">'317'!$T$66</definedName>
    <definedName name="OSRRefT22_7x_0" localSheetId="66">'321'!$T$54</definedName>
    <definedName name="OSRRefT22_7x_0" localSheetId="67">'325'!$T$53</definedName>
    <definedName name="OSRRefT22_7x_0" localSheetId="58">'326'!$T$56</definedName>
    <definedName name="OSRRefT22_7x_0" localSheetId="51">'330'!$T$53</definedName>
    <definedName name="OSRRefT22_7x_0" localSheetId="56">'331'!$T$71:$T$72</definedName>
    <definedName name="OSRRefT22_7x_0" localSheetId="59">'332'!$T$57</definedName>
    <definedName name="OSRRefT22_7x_0" localSheetId="71">'405'!$T$54</definedName>
    <definedName name="OSRRefT22_7x_0" localSheetId="72">'411'!$T$52:$T$53</definedName>
    <definedName name="OSRRefT22_7x_0" localSheetId="75">'415'!$T$59</definedName>
    <definedName name="OSRRefT22_7x_0" localSheetId="76">'418'!$T$55:$T$56</definedName>
    <definedName name="OSRRefT22_7x_0" localSheetId="83">'433'!$T$52</definedName>
    <definedName name="OSRRefT22_7x_0" localSheetId="84">'444'!$T$57</definedName>
    <definedName name="OSRRefT22_7x_0" localSheetId="85">'450'!$T$52:$T$53</definedName>
    <definedName name="OSRRefT22_7x_0" localSheetId="70">'491'!$T$59</definedName>
    <definedName name="OSRRefT22_7x_0" localSheetId="81">'492'!$T$57</definedName>
    <definedName name="OSRRefT22_7x_0" localSheetId="87">'501'!$T$52</definedName>
    <definedName name="OSRRefT22_7x_0" localSheetId="39">'Div 2'!$T$54</definedName>
    <definedName name="OSRRefT22_7x_0" localSheetId="47">'Div 3'!$T$81</definedName>
    <definedName name="OSRRefT22_7x_0" localSheetId="68">'Div 4'!$T$62</definedName>
    <definedName name="OSRRefT22_7x_0" localSheetId="86">'Div 5'!$T$52</definedName>
    <definedName name="OSRRefT22_7x_0" localSheetId="61">'Div 6'!$T$66</definedName>
    <definedName name="OSRRefT22_7x_0" localSheetId="2">Summary!$T$92</definedName>
    <definedName name="OSRRefT22_8x_0" localSheetId="41">'201'!$T$53</definedName>
    <definedName name="OSRRefT22_8x_0" localSheetId="42">'202'!$T$55</definedName>
    <definedName name="OSRRefT22_8x_0" localSheetId="43">'203'!$T$54:$T$56</definedName>
    <definedName name="OSRRefT22_8x_0" localSheetId="48">'300'!$T$82</definedName>
    <definedName name="OSRRefT22_8x_0" localSheetId="49">'300 &amp; 317'!$T$88</definedName>
    <definedName name="OSRRefT22_8x_0" localSheetId="50">'301'!$T$55</definedName>
    <definedName name="OSRRefT22_8x_0" localSheetId="52">'307'!$T$55:$T$57</definedName>
    <definedName name="OSRRefT22_8x_0" localSheetId="53">'308'!$T$68:$T$70</definedName>
    <definedName name="OSRRefT22_8x_0" localSheetId="63">'310'!$T$57:$T$58</definedName>
    <definedName name="OSRRefT22_8x_0" localSheetId="69">'310 &amp; 491'!$T$61</definedName>
    <definedName name="OSRRefT22_8x_0" localSheetId="54">'311'!$T$68:$T$70</definedName>
    <definedName name="OSRRefT22_8x_0" localSheetId="57">'315'!$T$73</definedName>
    <definedName name="OSRRefT22_8x_0" localSheetId="60">'316'!$T$59:$T$62</definedName>
    <definedName name="OSRRefT22_8x_0" localSheetId="62">'317'!$T$68:$T$69</definedName>
    <definedName name="OSRRefT22_8x_0" localSheetId="67">'325'!$T$55:$T$56</definedName>
    <definedName name="OSRRefT22_8x_0" localSheetId="58">'326'!$T$58</definedName>
    <definedName name="OSRRefT22_8x_0" localSheetId="51">'330'!$T$55:$T$57</definedName>
    <definedName name="OSRRefT22_8x_0" localSheetId="56">'331'!$T$74</definedName>
    <definedName name="OSRRefT22_8x_0" localSheetId="59">'332'!$T$59:$T$62</definedName>
    <definedName name="OSRRefT22_8x_0" localSheetId="71">'405'!$T$56:$T$60</definedName>
    <definedName name="OSRRefT22_8x_0" localSheetId="72">'411'!$T$55:$T$56</definedName>
    <definedName name="OSRRefT22_8x_0" localSheetId="75">'415'!$T$61</definedName>
    <definedName name="OSRRefT22_8x_0" localSheetId="76">'418'!$T$58:$T$60</definedName>
    <definedName name="OSRRefT22_8x_0" localSheetId="83">'433'!$T$54:$T$55</definedName>
    <definedName name="OSRRefT22_8x_0" localSheetId="84">'444'!$T$59</definedName>
    <definedName name="OSRRefT22_8x_0" localSheetId="85">'450'!$T$55:$T$57</definedName>
    <definedName name="OSRRefT22_8x_0" localSheetId="70">'491'!$T$61</definedName>
    <definedName name="OSRRefT22_8x_0" localSheetId="81">'492'!$T$59</definedName>
    <definedName name="OSRRefT22_8x_0" localSheetId="87">'501'!$T$54</definedName>
    <definedName name="OSRRefT22_8x_0" localSheetId="39">'Div 2'!$T$56</definedName>
    <definedName name="OSRRefT22_8x_0" localSheetId="47">'Div 3'!$T$83</definedName>
    <definedName name="OSRRefT22_8x_0" localSheetId="68">'Div 4'!$T$64</definedName>
    <definedName name="OSRRefT22_8x_0" localSheetId="86">'Div 5'!$T$54</definedName>
    <definedName name="OSRRefT22_8x_0" localSheetId="61">'Div 6'!$T$68:$T$69</definedName>
    <definedName name="OSRRefT22_8x_0" localSheetId="2">Summary!$T$94</definedName>
    <definedName name="OSRRefT22_9x_0" localSheetId="41">'201'!$T$55:$T$56</definedName>
    <definedName name="OSRRefT22_9x_0" localSheetId="42">'202'!$T$57</definedName>
    <definedName name="OSRRefT22_9x_0" localSheetId="43">'203'!$T$58</definedName>
    <definedName name="OSRRefT22_9x_0" localSheetId="48">'300'!$T$84</definedName>
    <definedName name="OSRRefT22_9x_0" localSheetId="49">'300 &amp; 317'!$T$90</definedName>
    <definedName name="OSRRefT22_9x_0" localSheetId="50">'301'!$T$57</definedName>
    <definedName name="OSRRefT22_9x_0" localSheetId="52">'307'!$T$59</definedName>
    <definedName name="OSRRefT22_9x_0" localSheetId="53">'308'!$T$72</definedName>
    <definedName name="OSRRefT22_9x_0" localSheetId="63">'310'!$T$60</definedName>
    <definedName name="OSRRefT22_9x_0" localSheetId="69">'310 &amp; 491'!$T$63</definedName>
    <definedName name="OSRRefT22_9x_0" localSheetId="54">'311'!$T$72</definedName>
    <definedName name="OSRRefT22_9x_0" localSheetId="57">'315'!$T$75</definedName>
    <definedName name="OSRRefT22_9x_0" localSheetId="60">'316'!$T$64</definedName>
    <definedName name="OSRRefT22_9x_0" localSheetId="62">'317'!$T$71</definedName>
    <definedName name="OSRRefT22_9x_0" localSheetId="67">'325'!$T$58:$T$62</definedName>
    <definedName name="OSRRefT22_9x_0" localSheetId="58">'326'!$T$60</definedName>
    <definedName name="OSRRefT22_9x_0" localSheetId="51">'330'!$T$59</definedName>
    <definedName name="OSRRefT22_9x_0" localSheetId="56">'331'!$T$76</definedName>
    <definedName name="OSRRefT22_9x_0" localSheetId="59">'332'!$T$64</definedName>
    <definedName name="OSRRefT22_9x_0" localSheetId="71">'405'!$T$62</definedName>
    <definedName name="OSRRefT22_9x_0" localSheetId="72">'411'!$T$58</definedName>
    <definedName name="OSRRefT22_9x_0" localSheetId="75">'415'!$T$63</definedName>
    <definedName name="OSRRefT22_9x_0" localSheetId="76">'418'!$T$62:$T$69</definedName>
    <definedName name="OSRRefT22_9x_0" localSheetId="83">'433'!$T$57:$T$60</definedName>
    <definedName name="OSRRefT22_9x_0" localSheetId="84">'444'!$T$61:$T$62</definedName>
    <definedName name="OSRRefT22_9x_0" localSheetId="85">'450'!$T$59:$T$64</definedName>
    <definedName name="OSRRefT22_9x_0" localSheetId="70">'491'!$T$63</definedName>
    <definedName name="OSRRefT22_9x_0" localSheetId="81">'492'!$T$61</definedName>
    <definedName name="OSRRefT22_9x_0" localSheetId="87">'501'!$T$56:$T$57</definedName>
    <definedName name="OSRRefT22_9x_0" localSheetId="39">'Div 2'!$T$58</definedName>
    <definedName name="OSRRefT22_9x_0" localSheetId="47">'Div 3'!$T$85</definedName>
    <definedName name="OSRRefT22_9x_0" localSheetId="68">'Div 4'!$T$66</definedName>
    <definedName name="OSRRefT22_9x_0" localSheetId="86">'Div 5'!$T$56:$T$57</definedName>
    <definedName name="OSRRefT22_9x_0" localSheetId="61">'Div 6'!$T$71</definedName>
    <definedName name="OSRRefT22_9x_0" localSheetId="2">Summary!$T$96</definedName>
    <definedName name="OSRRefT22x_0" localSheetId="40">'200'!$T$20,'200'!$T$22,'200'!$T$24,'200'!$T$26:$T$27</definedName>
    <definedName name="OSRRefT22x_0" localSheetId="41">'201'!$T$20:$T$28,'201'!$T$30:$T$39,'201'!$T$41,'201'!$T$43,'201'!$T$45,'201'!$T$47,'201'!$T$49,'201'!$T$51,'201'!$T$53,'201'!$T$55:$T$56,'201'!$T$58</definedName>
    <definedName name="OSRRefT22x_0" localSheetId="42">'202'!$T$20:$T$28,'202'!$T$30:$T$39,'202'!$T$41,'202'!$T$43,'202'!$T$45,'202'!$T$47,'202'!$T$49:$T$51,'202'!$T$53,'202'!$T$55,'202'!$T$57,'202'!$T$59</definedName>
    <definedName name="OSRRefT22x_0" localSheetId="43">'203'!$T$20:$T$29,'203'!$T$31:$T$40,'203'!$T$42,'203'!$T$44,'203'!$T$46,'203'!$T$48,'203'!$T$50,'203'!$T$52,'203'!$T$54:$T$56,'203'!$T$58,'203'!$T$60,'203'!$T$62:$T$65,'203'!$T$67,'203'!$T$69</definedName>
    <definedName name="OSRRefT22x_0" localSheetId="44">'204'!$T$20:$T$28,'204'!$T$30:$T$39,'204'!$T$41,'204'!$T$43:$T$44,'204'!$T$46,'204'!$T$48:$T$50,'204'!$T$52,'204'!$T$54:$T$55</definedName>
    <definedName name="OSRRefT22x_0" localSheetId="45">'205'!$T$20:$T$28,'205'!$T$30:$T$39,'205'!$T$41,'205'!$T$43,'205'!$T$45:$T$46,'205'!$T$48,'205'!$T$50:$T$51,'205'!$T$53</definedName>
    <definedName name="OSRRefT22x_0" localSheetId="46">'206'!$T$20:$T$28,'206'!$T$30:$T$39,'206'!$T$41,'206'!$T$43,'206'!$T$45,'206'!$T$47,'206'!$T$49:$T$50,'206'!$T$52</definedName>
    <definedName name="OSRRefT22x_0" localSheetId="48">'300'!$T$46:$T$55,'300'!$T$57:$T$66,'300'!$T$68,'300'!$T$70,'300'!$T$72,'300'!$T$74:$T$75,'300'!$T$77:$T$78,'300'!$T$80,'300'!$T$82,'300'!$T$84,'300'!$T$86:$T$87,'300'!$T$89:$T$90,'300'!$T$92,'300'!$T$94,'300'!$T$96,'300'!$T$98,'300'!$T$100:$T$103,'300'!$T$105:$T$108,'300'!$T$110:$T$112,'300'!$T$114:$T$115,'300'!$T$117:$T$122,'300'!$T$124:$T$125,'300'!$T$127:$T$129,'300'!$T$131</definedName>
    <definedName name="OSRRefT22x_0" localSheetId="49">'300 &amp; 317'!$T$52:$T$61,'300 &amp; 317'!$T$63:$T$72,'300 &amp; 317'!$T$74,'300 &amp; 317'!$T$76,'300 &amp; 317'!$T$78,'300 &amp; 317'!$T$80:$T$81,'300 &amp; 317'!$T$83:$T$84,'300 &amp; 317'!$T$86,'300 &amp; 317'!$T$88,'300 &amp; 317'!$T$90,'300 &amp; 317'!$T$92:$T$93,'300 &amp; 317'!$T$95:$T$96,'300 &amp; 317'!$T$98,'300 &amp; 317'!$T$100,'300 &amp; 317'!$T$102,'300 &amp; 317'!$T$104,'300 &amp; 317'!$T$106:$T$109,'300 &amp; 317'!$T$111:$T$114,'300 &amp; 317'!$T$116:$T$118,'300 &amp; 317'!$T$120:$T$121,'300 &amp; 317'!$T$123:$T$128,'300 &amp; 317'!$T$130:$T$131,'300 &amp; 317'!$T$133:$T$135,'300 &amp; 317'!$T$137</definedName>
    <definedName name="OSRRefT22x_0" localSheetId="50">'301'!$T$20:$T$29,'301'!$T$31:$T$40,'301'!$T$42,'301'!$T$44,'301'!$T$46:$T$47,'301'!$T$49,'301'!$T$51,'301'!$T$53,'301'!$T$55,'301'!$T$57,'301'!$T$59,'301'!$T$61,'301'!$T$63,'301'!$T$65:$T$68,'301'!$T$70:$T$71,'301'!$T$73:$T$76,'301'!$T$78,'301'!$T$80,'301'!$T$82</definedName>
    <definedName name="OSRRefT22x_0" localSheetId="52">'307'!$T$23:$T$30,'307'!$T$32:$T$41,'307'!$T$43,'307'!$T$45,'307'!$T$47,'307'!$T$49,'307'!$T$51,'307'!$T$53,'307'!$T$55:$T$57,'307'!$T$59</definedName>
    <definedName name="OSRRefT22x_0" localSheetId="53">'308'!$T$34:$T$43,'308'!$T$45:$T$54,'308'!$T$56,'308'!$T$58,'308'!$T$60,'308'!$T$62,'308'!$T$64,'308'!$T$66,'308'!$T$68:$T$70,'308'!$T$72,'308'!$T$74:$T$75,'308'!$T$77:$T$78</definedName>
    <definedName name="OSRRefT22x_0" localSheetId="64">'309'!$T$20,'309'!$T$22,'309'!$T$24</definedName>
    <definedName name="OSRRefT22x_0" localSheetId="63">'310'!$T$24:$T$31,'310'!$T$33:$T$42,'310'!$T$44,'310'!$T$46,'310'!$T$48:$T$49,'310'!$T$51,'310'!$T$53,'310'!$T$55,'310'!$T$57:$T$58,'310'!$T$60,'310'!$T$62,'310'!$T$64:$T$68,'310'!$T$70:$T$71,'310'!$T$73</definedName>
    <definedName name="OSRRefT22x_0" localSheetId="69">'310 &amp; 491'!$T$27:$T$35,'310 &amp; 491'!$T$37:$T$46,'310 &amp; 491'!$T$48,'310 &amp; 491'!$T$50,'310 &amp; 491'!$T$52,'310 &amp; 491'!$T$54:$T$55,'310 &amp; 491'!$T$57,'310 &amp; 491'!$T$59,'310 &amp; 491'!$T$61,'310 &amp; 491'!$T$63,'310 &amp; 491'!$T$65,'310 &amp; 491'!$T$67:$T$68,'310 &amp; 491'!$T$70,'310 &amp; 491'!$T$72:$T$76,'310 &amp; 491'!$T$78,'310 &amp; 491'!$T$80:$T$89,'310 &amp; 491'!$T$91:$T$92,'310 &amp; 491'!$T$94,'310 &amp; 491'!$T$96</definedName>
    <definedName name="OSRRefT22x_0" localSheetId="54">'311'!$T$34:$T$43,'311'!$T$45:$T$54,'311'!$T$56,'311'!$T$58,'311'!$T$60,'311'!$T$62,'311'!$T$64,'311'!$T$66,'311'!$T$68:$T$70,'311'!$T$72,'311'!$T$74:$T$75,'311'!$T$77:$T$78</definedName>
    <definedName name="OSRRefT22x_0" localSheetId="65">'313'!$T$20</definedName>
    <definedName name="OSRRefT22x_0" localSheetId="57">'315'!$T$39:$T$47,'315'!$T$49:$T$58,'315'!$T$60,'315'!$T$62,'315'!$T$64,'315'!$T$66,'315'!$T$68:$T$69,'315'!$T$71,'315'!$T$73,'315'!$T$75,'315'!$T$77,'315'!$T$79:$T$81,'315'!$T$83:$T$84,'315'!$T$86:$T$88,'315'!$T$90,'315'!$T$92</definedName>
    <definedName name="OSRRefT22x_0" localSheetId="60">'316'!$T$24:$T$32,'316'!$T$34:$T$43,'316'!$T$45,'316'!$T$47,'316'!$T$49,'316'!$T$51:$T$52,'316'!$T$54:$T$55,'316'!$T$57,'316'!$T$59:$T$62,'316'!$T$64</definedName>
    <definedName name="OSRRefT22x_0" localSheetId="62">'317'!$T$34:$T$43,'317'!$T$45:$T$54,'317'!$T$56,'317'!$T$58,'317'!$T$60,'317'!$T$62,'317'!$T$64,'317'!$T$66,'317'!$T$68:$T$69,'317'!$T$71</definedName>
    <definedName name="OSRRefT22x_0" localSheetId="66">'321'!$T$23:$T$30,'321'!$T$32:$T$41,'321'!$T$43,'321'!$T$45,'321'!$T$47:$T$48,'321'!$T$50,'321'!$T$52,'321'!$T$54</definedName>
    <definedName name="OSRRefT22x_0" localSheetId="67">'325'!$T$22:$T$29,'325'!$T$31:$T$40,'325'!$T$42,'325'!$T$44,'325'!$T$46:$T$47,'325'!$T$49,'325'!$T$51,'325'!$T$53,'325'!$T$55:$T$56,'325'!$T$58:$T$62,'325'!$T$64:$T$65,'325'!$T$67</definedName>
    <definedName name="OSRRefT22x_0" localSheetId="58">'326'!$T$25:$T$33,'326'!$T$35:$T$44,'326'!$T$46,'326'!$T$48,'326'!$T$50,'326'!$T$52,'326'!$T$54,'326'!$T$56,'326'!$T$58,'326'!$T$60,'326'!$T$62,'326'!$T$64:$T$65,'326'!$T$67:$T$68,'326'!$T$70:$T$71,'326'!$T$73:$T$75,'326'!$T$77,'326'!$T$79:$T$80,'326'!$T$82</definedName>
    <definedName name="OSRRefT22x_0" localSheetId="51">'330'!$T$23:$T$30,'330'!$T$32:$T$41,'330'!$T$43,'330'!$T$45,'330'!$T$47,'330'!$T$49,'330'!$T$51,'330'!$T$53,'330'!$T$55:$T$57,'330'!$T$59</definedName>
    <definedName name="OSRRefT22x_0" localSheetId="56">'331'!$T$39:$T$47,'331'!$T$49:$T$58,'331'!$T$60,'331'!$T$62,'331'!$T$64,'331'!$T$66,'331'!$T$68:$T$69,'331'!$T$71:$T$72,'331'!$T$74,'331'!$T$76,'331'!$T$78,'331'!$T$80,'331'!$T$82:$T$83,'331'!$T$85:$T$87,'331'!$T$89:$T$90,'331'!$T$92:$T$93,'331'!$T$95:$T$98,'331'!$T$100,'331'!$T$102:$T$103,'331'!$T$105</definedName>
    <definedName name="OSRRefT22x_0" localSheetId="59">'332'!$T$24:$T$32,'332'!$T$34:$T$43,'332'!$T$45,'332'!$T$47,'332'!$T$49,'332'!$T$51:$T$52,'332'!$T$54:$T$55,'332'!$T$57,'332'!$T$59:$T$62,'332'!$T$64</definedName>
    <definedName name="OSRRefT22x_0" localSheetId="71">'405'!$T$21:$T$29,'405'!$T$31:$T$40,'405'!$T$42,'405'!$T$44,'405'!$T$46:$T$47,'405'!$T$49,'405'!$T$51:$T$52,'405'!$T$54,'405'!$T$56:$T$60,'405'!$T$62,'405'!$T$64</definedName>
    <definedName name="OSRRefT22x_0" localSheetId="72">'411'!$T$20:$T$28,'411'!$T$30:$T$39,'411'!$T$41,'411'!$T$43:$T$44,'411'!$T$46,'411'!$T$48,'411'!$T$50,'411'!$T$52:$T$53,'411'!$T$55:$T$56,'411'!$T$58,'411'!$T$60,'411'!$T$62,'411'!$T$64</definedName>
    <definedName name="OSRRefT22x_0" localSheetId="73">'412'!$T$20,'412'!$T$22,'412'!$T$24</definedName>
    <definedName name="OSRRefT22x_0" localSheetId="74">'413'!$T$20,'413'!$T$22</definedName>
    <definedName name="OSRRefT22x_0" localSheetId="75">'415'!$T$27:$T$35,'415'!$T$37:$T$46,'415'!$T$48,'415'!$T$50,'415'!$T$52,'415'!$T$54:$T$55,'415'!$T$57,'415'!$T$59,'415'!$T$61,'415'!$T$63,'415'!$T$65:$T$66,'415'!$T$68:$T$71,'415'!$T$73,'415'!$T$75:$T$78,'415'!$T$80:$T$81,'415'!$T$83,'415'!$T$85</definedName>
    <definedName name="OSRRefT22x_0" localSheetId="76">'418'!$T$23:$T$31,'418'!$T$33:$T$42,'418'!$T$44,'418'!$T$46,'418'!$T$48:$T$49,'418'!$T$51,'418'!$T$53,'418'!$T$55:$T$56,'418'!$T$58:$T$60,'418'!$T$62:$T$69,'418'!$T$71:$T$72,'418'!$T$74,'418'!$T$76</definedName>
    <definedName name="OSRRefT22x_0" localSheetId="77">'423'!$T$20:$T$27,'423'!$T$29:$T$38,'423'!$T$40,'423'!$T$42,'423'!$T$44</definedName>
    <definedName name="OSRRefT22x_0" localSheetId="78">'424'!$T$20,'424'!$T$22</definedName>
    <definedName name="OSRRefT22x_0" localSheetId="79">'425'!$T$21,'425'!$T$23</definedName>
    <definedName name="OSRRefT22x_0" localSheetId="82">'430'!$T$20:$T$28,'430'!$T$30:$T$39,'430'!$T$41,'430'!$T$43,'430'!$T$45,'430'!$T$47:$T$48,'430'!$T$50</definedName>
    <definedName name="OSRRefT22x_0" localSheetId="83">'433'!$T$20:$T$29,'433'!$T$31:$T$40,'433'!$T$42,'433'!$T$44,'433'!$T$46,'433'!$T$48,'433'!$T$50,'433'!$T$52,'433'!$T$54:$T$55,'433'!$T$57:$T$60,'433'!$T$62:$T$67,'433'!$T$69</definedName>
    <definedName name="OSRRefT22x_0" localSheetId="84">'444'!$T$25:$T$34,'444'!$T$36:$T$45,'444'!$T$47,'444'!$T$49,'444'!$T$51,'444'!$T$53,'444'!$T$55,'444'!$T$57,'444'!$T$59,'444'!$T$61:$T$62,'444'!$T$64:$T$67,'444'!$T$69:$T$74,'444'!$T$76,'444'!$T$78</definedName>
    <definedName name="OSRRefT22x_0" localSheetId="85">'450'!$T$20:$T$29,'450'!$T$31:$T$40,'450'!$T$42,'450'!$T$44,'450'!$T$46,'450'!$T$48,'450'!$T$50,'450'!$T$52:$T$53,'450'!$T$55:$T$57,'450'!$T$59:$T$64,'450'!$T$66,'450'!$T$68</definedName>
    <definedName name="OSRRefT22x_0" localSheetId="70">'491'!$T$27:$T$35,'491'!$T$37:$T$46,'491'!$T$48,'491'!$T$50,'491'!$T$52,'491'!$T$54:$T$55,'491'!$T$57,'491'!$T$59,'491'!$T$61,'491'!$T$63,'491'!$T$65,'491'!$T$67:$T$68,'491'!$T$70:$T$74,'491'!$T$76,'491'!$T$78:$T$85,'491'!$T$87:$T$88,'491'!$T$90,'491'!$T$92</definedName>
    <definedName name="OSRRefT22x_0" localSheetId="81">'492'!$T$25:$T$34,'492'!$T$36:$T$45,'492'!$T$47,'492'!$T$49,'492'!$T$51,'492'!$T$53,'492'!$T$55,'492'!$T$57,'492'!$T$59,'492'!$T$61,'492'!$T$63,'492'!$T$65:$T$67,'492'!$T$69:$T$72,'492'!$T$74:$T$80,'492'!$T$82:$T$83,'492'!$T$85</definedName>
    <definedName name="OSRRefT22x_0" localSheetId="87">'501'!$T$21:$T$29,'501'!$T$31:$T$40,'501'!$T$42,'501'!$T$44,'501'!$T$46,'501'!$T$48,'501'!$T$50,'501'!$T$52,'501'!$T$54,'501'!$T$56:$T$57,'501'!$T$59,'501'!$T$61:$T$62,'501'!$T$64</definedName>
    <definedName name="OSRRefT22x_0" localSheetId="39">'Div 2'!$T$20:$T$30,'Div 2'!$T$32:$T$41,'Div 2'!$T$43,'Div 2'!$T$45,'Div 2'!$T$47,'Div 2'!$T$49:$T$50,'Div 2'!$T$52,'Div 2'!$T$54,'Div 2'!$T$56,'Div 2'!$T$58,'Div 2'!$T$60,'Div 2'!$T$62,'Div 2'!$T$64:$T$67,'Div 2'!$T$69:$T$72,'Div 2'!$T$74:$T$75,'Div 2'!$T$77,'Div 2'!$T$79:$T$84,'Div 2'!$T$86:$T$87,'Div 2'!$T$89,'Div 2'!$T$91</definedName>
    <definedName name="OSRRefT22x_0" localSheetId="47">'Div 3'!$T$47:$T$56,'Div 3'!$T$58:$T$67,'Div 3'!$T$69,'Div 3'!$T$71,'Div 3'!$T$73,'Div 3'!$T$75:$T$76,'Div 3'!$T$78:$T$79,'Div 3'!$T$81,'Div 3'!$T$83,'Div 3'!$T$85,'Div 3'!$T$87:$T$88,'Div 3'!$T$90:$T$91,'Div 3'!$T$93,'Div 3'!$T$95,'Div 3'!$T$97,'Div 3'!$T$99,'Div 3'!$T$101,'Div 3'!$T$103:$T$106,'Div 3'!$T$108:$T$111,'Div 3'!$T$113:$T$115,'Div 3'!$T$117:$T$118,'Div 3'!$T$120:$T$126,'Div 3'!$T$128:$T$129,'Div 3'!$T$131:$T$133,'Div 3'!$T$135</definedName>
    <definedName name="OSRRefT22x_0" localSheetId="68">'Div 4'!$T$29:$T$38,'Div 4'!$T$40:$T$49,'Div 4'!$T$51,'Div 4'!$T$53,'Div 4'!$T$55,'Div 4'!$T$57:$T$58,'Div 4'!$T$60,'Div 4'!$T$62,'Div 4'!$T$64,'Div 4'!$T$66,'Div 4'!$T$68,'Div 4'!$T$70,'Div 4'!$T$72,'Div 4'!$T$74:$T$76,'Div 4'!$T$78:$T$82,'Div 4'!$T$84,'Div 4'!$T$86:$T$94,'Div 4'!$T$96:$T$97,'Div 4'!$T$99,'Div 4'!$T$101</definedName>
    <definedName name="OSRRefT22x_0" localSheetId="86">'Div 5'!$T$21:$T$29,'Div 5'!$T$31:$T$40,'Div 5'!$T$42,'Div 5'!$T$44,'Div 5'!$T$46,'Div 5'!$T$48,'Div 5'!$T$50,'Div 5'!$T$52,'Div 5'!$T$54,'Div 5'!$T$56:$T$57,'Div 5'!$T$59,'Div 5'!$T$61:$T$62,'Div 5'!$T$64</definedName>
    <definedName name="OSRRefT22x_0" localSheetId="61">'Div 6'!$T$34:$T$43,'Div 6'!$T$45:$T$54,'Div 6'!$T$56,'Div 6'!$T$58,'Div 6'!$T$60,'Div 6'!$T$62,'Div 6'!$T$64,'Div 6'!$T$66,'Div 6'!$T$68:$T$69,'Div 6'!$T$71</definedName>
    <definedName name="OSRRefT22x_0" localSheetId="2">Summary!$T$58:$T$67,Summary!$T$69:$T$78,Summary!$T$80,Summary!$T$82,Summary!$T$84,Summary!$T$86:$T$87,Summary!$T$89:$T$90,Summary!$T$92,Summary!$T$94,Summary!$T$96,Summary!$T$98:$T$99,Summary!$T$101:$T$102,Summary!$T$104,Summary!$T$106,Summary!$T$108,Summary!$T$110,Summary!$T$112,Summary!$T$114,Summary!$T$116:$T$119,Summary!$T$121:$T$124,Summary!$T$126:$T$130,Summary!$T$132:$T$133,Summary!$T$135:$T$144,Summary!$T$146:$T$147,Summary!$T$149,Summary!$T$151:$T$153,Summary!$T$155</definedName>
    <definedName name="OSRRefT25x_0" localSheetId="48">'300'!$T$134:$T$137</definedName>
    <definedName name="OSRRefT25x_0" localSheetId="49">'300 &amp; 317'!$T$140:$T$145</definedName>
    <definedName name="OSRRefT25x_0" localSheetId="50">'301'!$T$85</definedName>
    <definedName name="OSRRefT25x_0" localSheetId="53">'308'!$T$81:$T$83</definedName>
    <definedName name="OSRRefT25x_0" localSheetId="69">'310 &amp; 491'!$T$99:$T$100</definedName>
    <definedName name="OSRRefT25x_0" localSheetId="54">'311'!$T$81:$T$83</definedName>
    <definedName name="OSRRefT25x_0" localSheetId="57">'315'!$T$95:$T$97</definedName>
    <definedName name="OSRRefT25x_0" localSheetId="60">'316'!$T$67</definedName>
    <definedName name="OSRRefT25x_0" localSheetId="62">'317'!$T$74:$T$76</definedName>
    <definedName name="OSRRefT25x_0" localSheetId="56">'331'!$T$108:$T$110</definedName>
    <definedName name="OSRRefT25x_0" localSheetId="59">'332'!$T$67</definedName>
    <definedName name="OSRRefT25x_0" localSheetId="72">'411'!$T$67</definedName>
    <definedName name="OSRRefT25x_0" localSheetId="75">'415'!$T$88</definedName>
    <definedName name="OSRRefT25x_0" localSheetId="80">'455'!$T$21</definedName>
    <definedName name="OSRRefT25x_0" localSheetId="70">'491'!$T$95:$T$96</definedName>
    <definedName name="OSRRefT25x_0" localSheetId="87">'501'!$T$67</definedName>
    <definedName name="OSRRefT25x_0" localSheetId="47">'Div 3'!$T$138:$T$141</definedName>
    <definedName name="OSRRefT25x_0" localSheetId="68">'Div 4'!$T$104:$T$105</definedName>
    <definedName name="OSRRefT25x_0" localSheetId="86">'Div 5'!$T$67</definedName>
    <definedName name="OSRRefT25x_0" localSheetId="61">'Div 6'!$T$74:$T$76</definedName>
    <definedName name="OSRRefT25x_0" localSheetId="2">Summary!$T$158:$T$163</definedName>
    <definedName name="_xlnm.Print_Area" localSheetId="38">'100'!$A$1:$Z$34</definedName>
    <definedName name="_xlnm.Print_Area" localSheetId="40">'200'!$A$1:$Z$41</definedName>
    <definedName name="_xlnm.Print_Area" localSheetId="41">'201'!$A$1:$Z$72</definedName>
    <definedName name="_xlnm.Print_Area" localSheetId="42">'202'!$A$1:$Z$73</definedName>
    <definedName name="_xlnm.Print_Area" localSheetId="43">'203'!$A$1:$Z$83</definedName>
    <definedName name="_xlnm.Print_Area" localSheetId="44">'204'!$A$1:$Z$69</definedName>
    <definedName name="_xlnm.Print_Area" localSheetId="45">'205'!$A$1:$Z$67</definedName>
    <definedName name="_xlnm.Print_Area" localSheetId="46">'206'!$A$1:$Z$66</definedName>
    <definedName name="_xlnm.Print_Area" localSheetId="48">'300'!$A$1:$Z$149</definedName>
    <definedName name="_xlnm.Print_Area" localSheetId="49">'300 &amp; 317'!$A$1:$Z$157</definedName>
    <definedName name="_xlnm.Print_Area" localSheetId="50">'301'!$A$1:$Z$97</definedName>
    <definedName name="_xlnm.Print_Area" localSheetId="52">'307'!$A$1:$Z$73</definedName>
    <definedName name="_xlnm.Print_Area" localSheetId="53">'308'!$A$1:$Z$95</definedName>
    <definedName name="_xlnm.Print_Area" localSheetId="64">'309'!$A$1:$Z$38</definedName>
    <definedName name="_xlnm.Print_Area" localSheetId="63">'310'!$A$1:$Z$87</definedName>
    <definedName name="_xlnm.Print_Area" localSheetId="69">'310 &amp; 491'!$A$1:$Z$112</definedName>
    <definedName name="_xlnm.Print_Area" localSheetId="54">'311'!$A$1:$Z$95</definedName>
    <definedName name="_xlnm.Print_Area" localSheetId="65">'313'!$A$1:$Z$34</definedName>
    <definedName name="_xlnm.Print_Area" localSheetId="57">'315'!$A$1:$Z$109</definedName>
    <definedName name="_xlnm.Print_Area" localSheetId="60">'316'!$A$1:$Z$79</definedName>
    <definedName name="_xlnm.Print_Area" localSheetId="62">'317'!$A$1:$Z$88</definedName>
    <definedName name="_xlnm.Print_Area" localSheetId="66">'321'!$A$1:$Z$68</definedName>
    <definedName name="_xlnm.Print_Area" localSheetId="55">'324'!$A$1:$Z$35</definedName>
    <definedName name="_xlnm.Print_Area" localSheetId="67">'325'!$A$1:$Z$81</definedName>
    <definedName name="_xlnm.Print_Area" localSheetId="58">'326'!$A$1:$Z$96</definedName>
    <definedName name="_xlnm.Print_Area" localSheetId="51">'330'!$A$1:$Z$73</definedName>
    <definedName name="_xlnm.Print_Area" localSheetId="56">'331'!$A$1:$Z$122</definedName>
    <definedName name="_xlnm.Print_Area" localSheetId="59">'332'!$A$1:$Z$79</definedName>
    <definedName name="_xlnm.Print_Area" localSheetId="71">'405'!$A$1:$Z$78</definedName>
    <definedName name="_xlnm.Print_Area" localSheetId="72">'411'!$A$1:$Z$79</definedName>
    <definedName name="_xlnm.Print_Area" localSheetId="73">'412'!$A$1:$Z$38</definedName>
    <definedName name="_xlnm.Print_Area" localSheetId="74">'413'!$A$1:$Z$36</definedName>
    <definedName name="_xlnm.Print_Area" localSheetId="75">'415'!$A$1:$Z$100</definedName>
    <definedName name="_xlnm.Print_Area" localSheetId="76">'418'!$A$1:$Z$90</definedName>
    <definedName name="_xlnm.Print_Area" localSheetId="77">'423'!$A$1:$Z$58</definedName>
    <definedName name="_xlnm.Print_Area" localSheetId="78">'424'!$A$1:$Z$36</definedName>
    <definedName name="_xlnm.Print_Area" localSheetId="79">'425'!$A$1:$Z$37</definedName>
    <definedName name="_xlnm.Print_Area" localSheetId="82">'430'!$A$1:$Z$64</definedName>
    <definedName name="_xlnm.Print_Area" localSheetId="83">'433'!$A$1:$Z$83</definedName>
    <definedName name="_xlnm.Print_Area" localSheetId="84">'444'!$A$1:$Z$92</definedName>
    <definedName name="_xlnm.Print_Area" localSheetId="85">'450'!$A$1:$Z$82</definedName>
    <definedName name="_xlnm.Print_Area" localSheetId="80">'455'!$A$1:$Z$33</definedName>
    <definedName name="_xlnm.Print_Area" localSheetId="70">'491'!$A$1:$Z$108</definedName>
    <definedName name="_xlnm.Print_Area" localSheetId="81">'492'!$A$1:$Z$99</definedName>
    <definedName name="_xlnm.Print_Area" localSheetId="87">'501'!$A$1:$Z$79</definedName>
    <definedName name="_xlnm.Print_Area" localSheetId="88">Dept!$A$1:$Z$39</definedName>
    <definedName name="_xlnm.Print_Area" localSheetId="37">'Div 1'!$A$1:$Z$34</definedName>
    <definedName name="_xlnm.Print_Area" localSheetId="39">'Div 2'!$A$1:$Z$105</definedName>
    <definedName name="_xlnm.Print_Area" localSheetId="47">'Div 3'!$A$1:$Z$153</definedName>
    <definedName name="_xlnm.Print_Area" localSheetId="68">'Div 4'!$A$1:$Z$117</definedName>
    <definedName name="_xlnm.Print_Area" localSheetId="86">'Div 5'!$A$1:$Z$79</definedName>
    <definedName name="_xlnm.Print_Area" localSheetId="61">'Div 6'!$A$1:$Z$88</definedName>
    <definedName name="_xlnm.Print_Area" localSheetId="13">'OSR_300 &amp; 317_1C00ID4'!$A$1:$Z$39</definedName>
    <definedName name="_xlnm.Print_Area" localSheetId="14">'OSR_300 (2)_...6aa5a22d_14M6XO4'!$A$1:$Z$39</definedName>
    <definedName name="_xlnm.Print_Area" localSheetId="10">'OSR_300 (2)_7...54cb56fc_UFX0O2'!$A$1:$Z$39</definedName>
    <definedName name="_xlnm.Print_Area" localSheetId="16">'OSR_300 (2)_e...5d0da5bf_6BPGAO'!$A$1:$Z$39</definedName>
    <definedName name="_xlnm.Print_Area" localSheetId="11">OSR_300_IYZXI6!$A$1:$Z$39</definedName>
    <definedName name="_xlnm.Print_Area" localSheetId="22">'OSR_308 (2)_...47685838_1YQW4QY'!$A$1:$Z$39</definedName>
    <definedName name="_xlnm.Print_Area" localSheetId="19">OSR_308_UAWDAG!$A$1:$Z$39</definedName>
    <definedName name="_xlnm.Print_Area" localSheetId="27">'OSR_310 &amp; 491_1NGRCS9'!$A$1:$Z$39</definedName>
    <definedName name="_xlnm.Print_Area" localSheetId="18">'OSR_310 (2)_...6e684f08_1FLCNJG'!$A$1:$Z$39</definedName>
    <definedName name="_xlnm.Print_Area" localSheetId="26">'OSR_310 (2)_...8cac1423_1JTU33X'!$A$1:$Z$39</definedName>
    <definedName name="_xlnm.Print_Area" localSheetId="12">'OSR_310 (2)_5...3d931dee_QNK8R2'!$A$1:$Z$39</definedName>
    <definedName name="_xlnm.Print_Area" localSheetId="15">OSR_310_1CMTOSB!$A$1:$Z$39</definedName>
    <definedName name="_xlnm.Print_Area" localSheetId="20">'OSR_330 (2)_...8a14c83e_1NSH7XI'!$A$1:$Z$39</definedName>
    <definedName name="_xlnm.Print_Area" localSheetId="17">OSR_330_10VFP5Y!$A$1:$Z$39</definedName>
    <definedName name="_xlnm.Print_Area" localSheetId="24">'OSR_331 (2)_...7280af70_1P5SPLT'!$A$1:$Z$39</definedName>
    <definedName name="_xlnm.Print_Area" localSheetId="21">OSR_331_10VKQAJ!$A$1:$Z$39</definedName>
    <definedName name="_xlnm.Print_Area" localSheetId="23">OSR_332_6NDVBW!$A$1:$Z$39</definedName>
    <definedName name="_xlnm.Print_Area" localSheetId="28">'OSR_491 (2)_...853a34aa_1UNC34K'!$A$1:$Z$39</definedName>
    <definedName name="_xlnm.Print_Area" localSheetId="29">OSR_491_9Z9JH5!$A$1:$Z$39</definedName>
    <definedName name="_xlnm.Print_Area" localSheetId="34">'OSR_492 (2)_...cd97c6a6_13HYXEV'!$A$1:$Z$39</definedName>
    <definedName name="_xlnm.Print_Area" localSheetId="31">OSR_492_943FP1!$A$1:$Z$39</definedName>
    <definedName name="_xlnm.Print_Area" localSheetId="4">'OSR_Current ...69b7dd8c_1IEQKFK'!$A$1:$Z$39</definedName>
    <definedName name="_xlnm.Print_Area" localSheetId="89">OSR_Dept_Y0WUKY!$A$1:$Z$39</definedName>
    <definedName name="_xlnm.Print_Area" localSheetId="8">'OSR_Div 1 (2)...789fe994_2NV3KA'!$A$1:$Z$39</definedName>
    <definedName name="_xlnm.Print_Area" localSheetId="5">'OSR_Div 1_7H47HR'!$A$1:$Z$39</definedName>
    <definedName name="_xlnm.Print_Area" localSheetId="7">'OSR_Div 2_1PQ800A'!$A$1:$Z$39</definedName>
    <definedName name="_xlnm.Print_Area" localSheetId="6">'OSR_Div 3 (2)...4cb81c06_PBSMLS'!$A$1:$Z$39</definedName>
    <definedName name="_xlnm.Print_Area" localSheetId="9">'OSR_Div 3_18723PH'!$A$1:$Z$39</definedName>
    <definedName name="_xlnm.Print_Area" localSheetId="32">'OSR_Div 4 (2)...1a9a4454_CQFRNE'!$A$1:$Z$39</definedName>
    <definedName name="_xlnm.Print_Area" localSheetId="30">'OSR_Div 4 (2...2533da42_174R6QX'!$A$1:$Z$39</definedName>
    <definedName name="_xlnm.Print_Area" localSheetId="25">'OSR_Div 4_1740TMT'!$A$1:$Z$39</definedName>
    <definedName name="_xlnm.Print_Area" localSheetId="36">'OSR_Div 5 (2)...32d16c57_IVJ1QO'!$A$1:$Z$39</definedName>
    <definedName name="_xlnm.Print_Area" localSheetId="33">'OSR_Div 5_16NAZO2'!$A$1:$Z$39</definedName>
    <definedName name="_xlnm.Print_Area" localSheetId="35">'OSR_Div 6_P37YY7'!$A$1:$Z$39</definedName>
    <definedName name="_xlnm.Print_Area" localSheetId="90">'OSR_Summary (...56e5d78f_5JEYZH'!$A$1:$Z$39</definedName>
    <definedName name="_xlnm.Print_Area" localSheetId="3">OSR_Summary_18VAVWG!$A$1:$Z$39</definedName>
    <definedName name="_xlnm.Print_Area" localSheetId="2">Summary!$A$1:$Z$177</definedName>
    <definedName name="_xlnm.Print_Titles" localSheetId="38">'100'!$A:$C,'100'!$1:$10</definedName>
    <definedName name="_xlnm.Print_Titles" localSheetId="40">'200'!$A:$C,'200'!$1:$10</definedName>
    <definedName name="_xlnm.Print_Titles" localSheetId="41">'201'!$A:$C,'201'!$1:$10</definedName>
    <definedName name="_xlnm.Print_Titles" localSheetId="42">'202'!$A:$C,'202'!$1:$10</definedName>
    <definedName name="_xlnm.Print_Titles" localSheetId="43">'203'!$A:$C,'203'!$1:$10</definedName>
    <definedName name="_xlnm.Print_Titles" localSheetId="44">'204'!$A:$C,'204'!$1:$10</definedName>
    <definedName name="_xlnm.Print_Titles" localSheetId="45">'205'!$A:$C,'205'!$1:$10</definedName>
    <definedName name="_xlnm.Print_Titles" localSheetId="46">'206'!$A:$C,'206'!$1:$10</definedName>
    <definedName name="_xlnm.Print_Titles" localSheetId="48">'300'!$A:$C,'300'!$1:$10</definedName>
    <definedName name="_xlnm.Print_Titles" localSheetId="49">'300 &amp; 317'!$A:$C,'300 &amp; 317'!$1:$10</definedName>
    <definedName name="_xlnm.Print_Titles" localSheetId="50">'301'!$A:$C,'301'!$1:$10</definedName>
    <definedName name="_xlnm.Print_Titles" localSheetId="52">'307'!$A:$C,'307'!$1:$10</definedName>
    <definedName name="_xlnm.Print_Titles" localSheetId="53">'308'!$A:$C,'308'!$1:$10</definedName>
    <definedName name="_xlnm.Print_Titles" localSheetId="64">'309'!$A:$C,'309'!$1:$10</definedName>
    <definedName name="_xlnm.Print_Titles" localSheetId="63">'310'!$A:$C,'310'!$1:$10</definedName>
    <definedName name="_xlnm.Print_Titles" localSheetId="69">'310 &amp; 491'!$A:$C,'310 &amp; 491'!$1:$10</definedName>
    <definedName name="_xlnm.Print_Titles" localSheetId="54">'311'!$A:$C,'311'!$1:$10</definedName>
    <definedName name="_xlnm.Print_Titles" localSheetId="65">'313'!$A:$C,'313'!$1:$10</definedName>
    <definedName name="_xlnm.Print_Titles" localSheetId="57">'315'!$A:$C,'315'!$1:$10</definedName>
    <definedName name="_xlnm.Print_Titles" localSheetId="60">'316'!$A:$C,'316'!$1:$10</definedName>
    <definedName name="_xlnm.Print_Titles" localSheetId="62">'317'!$A:$C,'317'!$1:$10</definedName>
    <definedName name="_xlnm.Print_Titles" localSheetId="66">'321'!$A:$C,'321'!$1:$10</definedName>
    <definedName name="_xlnm.Print_Titles" localSheetId="55">'324'!$A:$C,'324'!$1:$10</definedName>
    <definedName name="_xlnm.Print_Titles" localSheetId="67">'325'!$A:$C,'325'!$1:$10</definedName>
    <definedName name="_xlnm.Print_Titles" localSheetId="58">'326'!$A:$C,'326'!$1:$10</definedName>
    <definedName name="_xlnm.Print_Titles" localSheetId="51">'330'!$A:$C,'330'!$1:$10</definedName>
    <definedName name="_xlnm.Print_Titles" localSheetId="56">'331'!$A:$C,'331'!$1:$10</definedName>
    <definedName name="_xlnm.Print_Titles" localSheetId="59">'332'!$A:$C,'332'!$1:$10</definedName>
    <definedName name="_xlnm.Print_Titles" localSheetId="71">'405'!$A:$C,'405'!$1:$10</definedName>
    <definedName name="_xlnm.Print_Titles" localSheetId="72">'411'!$A:$C,'411'!$1:$10</definedName>
    <definedName name="_xlnm.Print_Titles" localSheetId="73">'412'!$A:$C,'412'!$1:$10</definedName>
    <definedName name="_xlnm.Print_Titles" localSheetId="74">'413'!$A:$C,'413'!$1:$10</definedName>
    <definedName name="_xlnm.Print_Titles" localSheetId="75">'415'!$A:$C,'415'!$1:$10</definedName>
    <definedName name="_xlnm.Print_Titles" localSheetId="76">'418'!$A:$C,'418'!$1:$10</definedName>
    <definedName name="_xlnm.Print_Titles" localSheetId="77">'423'!$A:$C,'423'!$1:$10</definedName>
    <definedName name="_xlnm.Print_Titles" localSheetId="78">'424'!$A:$C,'424'!$1:$10</definedName>
    <definedName name="_xlnm.Print_Titles" localSheetId="79">'425'!$A:$C,'425'!$1:$10</definedName>
    <definedName name="_xlnm.Print_Titles" localSheetId="82">'430'!$A:$C,'430'!$1:$10</definedName>
    <definedName name="_xlnm.Print_Titles" localSheetId="83">'433'!$A:$C,'433'!$1:$10</definedName>
    <definedName name="_xlnm.Print_Titles" localSheetId="84">'444'!$A:$C,'444'!$1:$10</definedName>
    <definedName name="_xlnm.Print_Titles" localSheetId="85">'450'!$A:$C,'450'!$1:$10</definedName>
    <definedName name="_xlnm.Print_Titles" localSheetId="80">'455'!$A:$C,'455'!$1:$10</definedName>
    <definedName name="_xlnm.Print_Titles" localSheetId="70">'491'!$A:$C,'491'!$1:$10</definedName>
    <definedName name="_xlnm.Print_Titles" localSheetId="81">'492'!$A:$C,'492'!$1:$10</definedName>
    <definedName name="_xlnm.Print_Titles" localSheetId="87">'501'!$A:$C,'501'!$1:$10</definedName>
    <definedName name="_xlnm.Print_Titles" localSheetId="88">Dept!$A:$C,Dept!$1:$10</definedName>
    <definedName name="_xlnm.Print_Titles" localSheetId="37">'Div 1'!$A:$C,'Div 1'!$1:$10</definedName>
    <definedName name="_xlnm.Print_Titles" localSheetId="39">'Div 2'!$A:$C,'Div 2'!$1:$10</definedName>
    <definedName name="_xlnm.Print_Titles" localSheetId="47">'Div 3'!$A:$C,'Div 3'!$1:$10</definedName>
    <definedName name="_xlnm.Print_Titles" localSheetId="68">'Div 4'!$A:$C,'Div 4'!$1:$10</definedName>
    <definedName name="_xlnm.Print_Titles" localSheetId="86">'Div 5'!$A:$C,'Div 5'!$1:$10</definedName>
    <definedName name="_xlnm.Print_Titles" localSheetId="61">'Div 6'!$A:$C,'Div 6'!$1:$10</definedName>
    <definedName name="_xlnm.Print_Titles" localSheetId="13">'OSR_300 &amp; 317_1C00ID4'!$A:$C,'OSR_300 &amp; 317_1C00ID4'!$1:$10</definedName>
    <definedName name="_xlnm.Print_Titles" localSheetId="14">'OSR_300 (2)_...6aa5a22d_14M6XO4'!$A:$C,'OSR_300 (2)_...6aa5a22d_14M6XO4'!$1:$10</definedName>
    <definedName name="_xlnm.Print_Titles" localSheetId="10">'OSR_300 (2)_7...54cb56fc_UFX0O2'!$A:$C,'OSR_300 (2)_7...54cb56fc_UFX0O2'!$1:$10</definedName>
    <definedName name="_xlnm.Print_Titles" localSheetId="16">'OSR_300 (2)_e...5d0da5bf_6BPGAO'!$A:$C,'OSR_300 (2)_e...5d0da5bf_6BPGAO'!$1:$10</definedName>
    <definedName name="_xlnm.Print_Titles" localSheetId="11">OSR_300_IYZXI6!$A:$C,OSR_300_IYZXI6!$1:$10</definedName>
    <definedName name="_xlnm.Print_Titles" localSheetId="22">'OSR_308 (2)_...47685838_1YQW4QY'!$A:$C,'OSR_308 (2)_...47685838_1YQW4QY'!$1:$10</definedName>
    <definedName name="_xlnm.Print_Titles" localSheetId="19">OSR_308_UAWDAG!$A:$C,OSR_308_UAWDAG!$1:$10</definedName>
    <definedName name="_xlnm.Print_Titles" localSheetId="27">'OSR_310 &amp; 491_1NGRCS9'!$A:$C,'OSR_310 &amp; 491_1NGRCS9'!$1:$10</definedName>
    <definedName name="_xlnm.Print_Titles" localSheetId="18">'OSR_310 (2)_...6e684f08_1FLCNJG'!$A:$C,'OSR_310 (2)_...6e684f08_1FLCNJG'!$1:$10</definedName>
    <definedName name="_xlnm.Print_Titles" localSheetId="26">'OSR_310 (2)_...8cac1423_1JTU33X'!$A:$C,'OSR_310 (2)_...8cac1423_1JTU33X'!$1:$10</definedName>
    <definedName name="_xlnm.Print_Titles" localSheetId="12">'OSR_310 (2)_5...3d931dee_QNK8R2'!$A:$C,'OSR_310 (2)_5...3d931dee_QNK8R2'!$1:$10</definedName>
    <definedName name="_xlnm.Print_Titles" localSheetId="15">OSR_310_1CMTOSB!$A:$C,OSR_310_1CMTOSB!$1:$10</definedName>
    <definedName name="_xlnm.Print_Titles" localSheetId="20">'OSR_330 (2)_...8a14c83e_1NSH7XI'!$A:$C,'OSR_330 (2)_...8a14c83e_1NSH7XI'!$1:$10</definedName>
    <definedName name="_xlnm.Print_Titles" localSheetId="17">OSR_330_10VFP5Y!$A:$C,OSR_330_10VFP5Y!$1:$10</definedName>
    <definedName name="_xlnm.Print_Titles" localSheetId="24">'OSR_331 (2)_...7280af70_1P5SPLT'!$A:$C,'OSR_331 (2)_...7280af70_1P5SPLT'!$1:$10</definedName>
    <definedName name="_xlnm.Print_Titles" localSheetId="21">OSR_331_10VKQAJ!$A:$C,OSR_331_10VKQAJ!$1:$10</definedName>
    <definedName name="_xlnm.Print_Titles" localSheetId="23">OSR_332_6NDVBW!$A:$C,OSR_332_6NDVBW!$1:$10</definedName>
    <definedName name="_xlnm.Print_Titles" localSheetId="28">'OSR_491 (2)_...853a34aa_1UNC34K'!$A:$C,'OSR_491 (2)_...853a34aa_1UNC34K'!$1:$10</definedName>
    <definedName name="_xlnm.Print_Titles" localSheetId="29">OSR_491_9Z9JH5!$A:$C,OSR_491_9Z9JH5!$1:$10</definedName>
    <definedName name="_xlnm.Print_Titles" localSheetId="34">'OSR_492 (2)_...cd97c6a6_13HYXEV'!$A:$C,'OSR_492 (2)_...cd97c6a6_13HYXEV'!$1:$10</definedName>
    <definedName name="_xlnm.Print_Titles" localSheetId="31">OSR_492_943FP1!$A:$C,OSR_492_943FP1!$1:$10</definedName>
    <definedName name="_xlnm.Print_Titles" localSheetId="4">'OSR_Current ...69b7dd8c_1IEQKFK'!$A:$C,'OSR_Current ...69b7dd8c_1IEQKFK'!$1:$10</definedName>
    <definedName name="_xlnm.Print_Titles" localSheetId="89">OSR_Dept_Y0WUKY!$A:$C,OSR_Dept_Y0WUKY!$1:$10</definedName>
    <definedName name="_xlnm.Print_Titles" localSheetId="8">'OSR_Div 1 (2)...789fe994_2NV3KA'!$A:$C,'OSR_Div 1 (2)...789fe994_2NV3KA'!$1:$10</definedName>
    <definedName name="_xlnm.Print_Titles" localSheetId="5">'OSR_Div 1_7H47HR'!$A:$C,'OSR_Div 1_7H47HR'!$1:$10</definedName>
    <definedName name="_xlnm.Print_Titles" localSheetId="7">'OSR_Div 2_1PQ800A'!$A:$C,'OSR_Div 2_1PQ800A'!$1:$10</definedName>
    <definedName name="_xlnm.Print_Titles" localSheetId="6">'OSR_Div 3 (2)...4cb81c06_PBSMLS'!$A:$C,'OSR_Div 3 (2)...4cb81c06_PBSMLS'!$1:$10</definedName>
    <definedName name="_xlnm.Print_Titles" localSheetId="9">'OSR_Div 3_18723PH'!$A:$C,'OSR_Div 3_18723PH'!$1:$10</definedName>
    <definedName name="_xlnm.Print_Titles" localSheetId="32">'OSR_Div 4 (2)...1a9a4454_CQFRNE'!$A:$C,'OSR_Div 4 (2)...1a9a4454_CQFRNE'!$1:$10</definedName>
    <definedName name="_xlnm.Print_Titles" localSheetId="30">'OSR_Div 4 (2...2533da42_174R6QX'!$A:$C,'OSR_Div 4 (2...2533da42_174R6QX'!$1:$10</definedName>
    <definedName name="_xlnm.Print_Titles" localSheetId="25">'OSR_Div 4_1740TMT'!$A:$C,'OSR_Div 4_1740TMT'!$1:$10</definedName>
    <definedName name="_xlnm.Print_Titles" localSheetId="36">'OSR_Div 5 (2)...32d16c57_IVJ1QO'!$A:$C,'OSR_Div 5 (2)...32d16c57_IVJ1QO'!$1:$10</definedName>
    <definedName name="_xlnm.Print_Titles" localSheetId="33">'OSR_Div 5_16NAZO2'!$A:$C,'OSR_Div 5_16NAZO2'!$1:$10</definedName>
    <definedName name="_xlnm.Print_Titles" localSheetId="35">'OSR_Div 6_P37YY7'!$A:$C,'OSR_Div 6_P37YY7'!$1:$10</definedName>
    <definedName name="_xlnm.Print_Titles" localSheetId="90">'OSR_Summary (...56e5d78f_5JEYZH'!$A:$C,'OSR_Summary (...56e5d78f_5JEYZH'!$1:$10</definedName>
    <definedName name="_xlnm.Print_Titles" localSheetId="3">OSR_Summary_18VAVWG!$A:$C,OSR_Summary_18VAVWG!$1:$10</definedName>
    <definedName name="_xlnm.Print_Titles" localSheetId="2">Summary!$A:$C,Summary!$1:$10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39" i="93" l="1"/>
  <c r="B38" i="93"/>
  <c r="T34" i="93"/>
  <c r="Z34" i="93" s="1"/>
  <c r="P34" i="93"/>
  <c r="H34" i="93"/>
  <c r="N34" i="93" s="1"/>
  <c r="D34" i="93"/>
  <c r="T33" i="93"/>
  <c r="Z33" i="93" s="1"/>
  <c r="P33" i="93"/>
  <c r="H33" i="93"/>
  <c r="N33" i="93" s="1"/>
  <c r="D33" i="93"/>
  <c r="T29" i="93"/>
  <c r="Z29" i="93" s="1"/>
  <c r="P29" i="93"/>
  <c r="H29" i="93"/>
  <c r="N29" i="93" s="1"/>
  <c r="D29" i="93"/>
  <c r="T25" i="93"/>
  <c r="Z25" i="93" s="1"/>
  <c r="P25" i="93"/>
  <c r="H25" i="93"/>
  <c r="N25" i="93" s="1"/>
  <c r="D25" i="93"/>
  <c r="B25" i="93"/>
  <c r="T24" i="93"/>
  <c r="Z24" i="93" s="1"/>
  <c r="P24" i="93"/>
  <c r="H24" i="93"/>
  <c r="N24" i="93" s="1"/>
  <c r="D24" i="93"/>
  <c r="T22" i="93"/>
  <c r="Z22" i="93" s="1"/>
  <c r="P22" i="93"/>
  <c r="H22" i="93"/>
  <c r="N22" i="93" s="1"/>
  <c r="D22" i="93"/>
  <c r="B22" i="93"/>
  <c r="T21" i="93"/>
  <c r="Z21" i="93" s="1"/>
  <c r="P21" i="93"/>
  <c r="H21" i="93"/>
  <c r="N21" i="93" s="1"/>
  <c r="D21" i="93"/>
  <c r="B21" i="93"/>
  <c r="T20" i="93"/>
  <c r="Z20" i="93" s="1"/>
  <c r="P20" i="93"/>
  <c r="H20" i="93"/>
  <c r="N20" i="93" s="1"/>
  <c r="D20" i="93"/>
  <c r="T16" i="93"/>
  <c r="Z16" i="93" s="1"/>
  <c r="P16" i="93"/>
  <c r="H16" i="93"/>
  <c r="N16" i="93" s="1"/>
  <c r="D16" i="93"/>
  <c r="B16" i="93"/>
  <c r="T15" i="93"/>
  <c r="P15" i="93"/>
  <c r="H15" i="93"/>
  <c r="N15" i="93" s="1"/>
  <c r="D15" i="93"/>
  <c r="T13" i="93"/>
  <c r="Z13" i="93" s="1"/>
  <c r="P13" i="93"/>
  <c r="H13" i="93"/>
  <c r="N13" i="93" s="1"/>
  <c r="D13" i="93"/>
  <c r="B13" i="93"/>
  <c r="T12" i="93"/>
  <c r="V34" i="93" s="1"/>
  <c r="P12" i="93"/>
  <c r="H12" i="93"/>
  <c r="J21" i="93" s="1"/>
  <c r="D12" i="93"/>
  <c r="D6" i="93"/>
  <c r="D5" i="93"/>
  <c r="D4" i="93"/>
  <c r="B39" i="92"/>
  <c r="B38" i="92"/>
  <c r="T34" i="92"/>
  <c r="Z34" i="92" s="1"/>
  <c r="P34" i="92"/>
  <c r="H34" i="92"/>
  <c r="N34" i="92" s="1"/>
  <c r="D34" i="92"/>
  <c r="T33" i="92"/>
  <c r="P33" i="92"/>
  <c r="H33" i="92"/>
  <c r="N33" i="92" s="1"/>
  <c r="D33" i="92"/>
  <c r="T29" i="92"/>
  <c r="Z29" i="92" s="1"/>
  <c r="P29" i="92"/>
  <c r="H29" i="92"/>
  <c r="N29" i="92" s="1"/>
  <c r="D29" i="92"/>
  <c r="T25" i="92"/>
  <c r="Z25" i="92" s="1"/>
  <c r="P25" i="92"/>
  <c r="H25" i="92"/>
  <c r="N25" i="92" s="1"/>
  <c r="D25" i="92"/>
  <c r="B25" i="92"/>
  <c r="T24" i="92"/>
  <c r="Z24" i="92" s="1"/>
  <c r="P24" i="92"/>
  <c r="H24" i="92"/>
  <c r="N24" i="92" s="1"/>
  <c r="D24" i="92"/>
  <c r="T22" i="92"/>
  <c r="Z22" i="92" s="1"/>
  <c r="P22" i="92"/>
  <c r="H22" i="92"/>
  <c r="N22" i="92" s="1"/>
  <c r="D22" i="92"/>
  <c r="B22" i="92"/>
  <c r="T21" i="92"/>
  <c r="Z21" i="92" s="1"/>
  <c r="P21" i="92"/>
  <c r="H21" i="92"/>
  <c r="N21" i="92" s="1"/>
  <c r="D21" i="92"/>
  <c r="B21" i="92"/>
  <c r="T20" i="92"/>
  <c r="Z20" i="92" s="1"/>
  <c r="P20" i="92"/>
  <c r="H20" i="92"/>
  <c r="N20" i="92" s="1"/>
  <c r="D20" i="92"/>
  <c r="T16" i="92"/>
  <c r="Z16" i="92" s="1"/>
  <c r="P16" i="92"/>
  <c r="H16" i="92"/>
  <c r="N16" i="92" s="1"/>
  <c r="D16" i="92"/>
  <c r="B16" i="92"/>
  <c r="T15" i="92"/>
  <c r="Z15" i="92" s="1"/>
  <c r="P15" i="92"/>
  <c r="H15" i="92"/>
  <c r="N15" i="92" s="1"/>
  <c r="D15" i="92"/>
  <c r="T13" i="92"/>
  <c r="Z13" i="92" s="1"/>
  <c r="P13" i="92"/>
  <c r="H13" i="92"/>
  <c r="N13" i="92" s="1"/>
  <c r="D13" i="92"/>
  <c r="B13" i="92"/>
  <c r="T12" i="92"/>
  <c r="V24" i="92" s="1"/>
  <c r="P12" i="92"/>
  <c r="R36" i="92" s="1"/>
  <c r="H12" i="92"/>
  <c r="J34" i="92" s="1"/>
  <c r="D12" i="92"/>
  <c r="F16" i="92" s="1"/>
  <c r="D6" i="92"/>
  <c r="D5" i="92"/>
  <c r="D4" i="92"/>
  <c r="B39" i="91"/>
  <c r="B38" i="91"/>
  <c r="T34" i="91"/>
  <c r="Z34" i="91" s="1"/>
  <c r="P34" i="91"/>
  <c r="H34" i="91"/>
  <c r="N34" i="91" s="1"/>
  <c r="D34" i="91"/>
  <c r="T33" i="91"/>
  <c r="Z33" i="91" s="1"/>
  <c r="P33" i="91"/>
  <c r="H33" i="91"/>
  <c r="N33" i="91" s="1"/>
  <c r="D33" i="91"/>
  <c r="T29" i="91"/>
  <c r="P29" i="91"/>
  <c r="H29" i="91"/>
  <c r="N29" i="91" s="1"/>
  <c r="D29" i="91"/>
  <c r="T25" i="91"/>
  <c r="Z25" i="91" s="1"/>
  <c r="P25" i="91"/>
  <c r="H25" i="91"/>
  <c r="N25" i="91" s="1"/>
  <c r="D25" i="91"/>
  <c r="B25" i="91"/>
  <c r="T24" i="91"/>
  <c r="Z24" i="91" s="1"/>
  <c r="P24" i="91"/>
  <c r="H24" i="91"/>
  <c r="N24" i="91" s="1"/>
  <c r="D24" i="91"/>
  <c r="T22" i="91"/>
  <c r="Z22" i="91" s="1"/>
  <c r="P22" i="91"/>
  <c r="H22" i="91"/>
  <c r="N22" i="91" s="1"/>
  <c r="D22" i="91"/>
  <c r="B22" i="91"/>
  <c r="T21" i="91"/>
  <c r="Z21" i="91" s="1"/>
  <c r="P21" i="91"/>
  <c r="H21" i="91"/>
  <c r="N21" i="91" s="1"/>
  <c r="D21" i="91"/>
  <c r="B21" i="91"/>
  <c r="T20" i="91"/>
  <c r="Z20" i="91" s="1"/>
  <c r="P20" i="91"/>
  <c r="H20" i="91"/>
  <c r="N20" i="91" s="1"/>
  <c r="D20" i="91"/>
  <c r="T16" i="91"/>
  <c r="Z16" i="91" s="1"/>
  <c r="P16" i="91"/>
  <c r="H16" i="91"/>
  <c r="N16" i="91" s="1"/>
  <c r="D16" i="91"/>
  <c r="B16" i="91"/>
  <c r="T15" i="91"/>
  <c r="Z15" i="91" s="1"/>
  <c r="P15" i="91"/>
  <c r="H15" i="91"/>
  <c r="D15" i="91"/>
  <c r="T13" i="91"/>
  <c r="Z13" i="91" s="1"/>
  <c r="P13" i="91"/>
  <c r="H13" i="91"/>
  <c r="N13" i="91" s="1"/>
  <c r="D13" i="91"/>
  <c r="B13" i="91"/>
  <c r="T12" i="91"/>
  <c r="V36" i="91" s="1"/>
  <c r="P12" i="91"/>
  <c r="R22" i="91" s="1"/>
  <c r="H12" i="91"/>
  <c r="J20" i="91" s="1"/>
  <c r="D12" i="91"/>
  <c r="F36" i="91" s="1"/>
  <c r="D6" i="91"/>
  <c r="D5" i="91"/>
  <c r="D4" i="91"/>
  <c r="X71" i="90"/>
  <c r="Z71" i="90" s="1"/>
  <c r="N71" i="90"/>
  <c r="L71" i="90"/>
  <c r="Z67" i="90"/>
  <c r="X67" i="90"/>
  <c r="P67" i="90"/>
  <c r="N67" i="90"/>
  <c r="L67" i="90"/>
  <c r="D67" i="90"/>
  <c r="B67" i="90"/>
  <c r="T66" i="90"/>
  <c r="P66" i="90"/>
  <c r="X66" i="90" s="1"/>
  <c r="Z66" i="90" s="1"/>
  <c r="L66" i="90"/>
  <c r="H66" i="90"/>
  <c r="N66" i="90" s="1"/>
  <c r="D66" i="90"/>
  <c r="X64" i="90"/>
  <c r="Z64" i="90" s="1"/>
  <c r="N64" i="90"/>
  <c r="L64" i="90"/>
  <c r="B64" i="90"/>
  <c r="T63" i="90"/>
  <c r="P63" i="90"/>
  <c r="X63" i="90" s="1"/>
  <c r="Z63" i="90" s="1"/>
  <c r="L63" i="90"/>
  <c r="N63" i="90" s="1"/>
  <c r="H63" i="90"/>
  <c r="D63" i="90"/>
  <c r="B63" i="90"/>
  <c r="Z62" i="90"/>
  <c r="X62" i="90"/>
  <c r="N62" i="90"/>
  <c r="L62" i="90"/>
  <c r="B62" i="90"/>
  <c r="X61" i="90"/>
  <c r="Z61" i="90" s="1"/>
  <c r="N61" i="90"/>
  <c r="L61" i="90"/>
  <c r="B61" i="90"/>
  <c r="T60" i="90"/>
  <c r="P60" i="90"/>
  <c r="X60" i="90" s="1"/>
  <c r="Z60" i="90" s="1"/>
  <c r="L60" i="90"/>
  <c r="N60" i="90" s="1"/>
  <c r="J60" i="90"/>
  <c r="H60" i="90"/>
  <c r="D60" i="90"/>
  <c r="B60" i="90"/>
  <c r="Z59" i="90"/>
  <c r="X59" i="90"/>
  <c r="V59" i="90"/>
  <c r="N59" i="90"/>
  <c r="L59" i="90"/>
  <c r="B59" i="90"/>
  <c r="X58" i="90"/>
  <c r="Z58" i="90" s="1"/>
  <c r="T58" i="90"/>
  <c r="P58" i="90"/>
  <c r="H58" i="90"/>
  <c r="F58" i="90"/>
  <c r="D58" i="90"/>
  <c r="B58" i="90"/>
  <c r="Z57" i="90"/>
  <c r="X57" i="90"/>
  <c r="N57" i="90"/>
  <c r="L57" i="90"/>
  <c r="B57" i="90"/>
  <c r="Z56" i="90"/>
  <c r="X56" i="90"/>
  <c r="N56" i="90"/>
  <c r="L56" i="90"/>
  <c r="B56" i="90"/>
  <c r="V55" i="90"/>
  <c r="T55" i="90"/>
  <c r="P55" i="90"/>
  <c r="X55" i="90" s="1"/>
  <c r="H55" i="90"/>
  <c r="D55" i="90"/>
  <c r="L55" i="90" s="1"/>
  <c r="N55" i="90" s="1"/>
  <c r="B55" i="90"/>
  <c r="X54" i="90"/>
  <c r="Z54" i="90" s="1"/>
  <c r="L54" i="90"/>
  <c r="N54" i="90" s="1"/>
  <c r="B54" i="90"/>
  <c r="T53" i="90"/>
  <c r="P53" i="90"/>
  <c r="X53" i="90" s="1"/>
  <c r="Z53" i="90" s="1"/>
  <c r="H53" i="90"/>
  <c r="D53" i="90"/>
  <c r="B53" i="90"/>
  <c r="Z52" i="90"/>
  <c r="X52" i="90"/>
  <c r="N52" i="90"/>
  <c r="L52" i="90"/>
  <c r="B52" i="90"/>
  <c r="T51" i="90"/>
  <c r="P51" i="90"/>
  <c r="L51" i="90"/>
  <c r="N51" i="90" s="1"/>
  <c r="H51" i="90"/>
  <c r="D51" i="90"/>
  <c r="B51" i="90"/>
  <c r="X50" i="90"/>
  <c r="Z50" i="90" s="1"/>
  <c r="V50" i="90"/>
  <c r="N50" i="90"/>
  <c r="L50" i="90"/>
  <c r="B50" i="90"/>
  <c r="T49" i="90"/>
  <c r="P49" i="90"/>
  <c r="X49" i="90" s="1"/>
  <c r="Z49" i="90" s="1"/>
  <c r="H49" i="90"/>
  <c r="D49" i="90"/>
  <c r="L49" i="90" s="1"/>
  <c r="B49" i="90"/>
  <c r="Z48" i="90"/>
  <c r="X48" i="90"/>
  <c r="N48" i="90"/>
  <c r="L48" i="90"/>
  <c r="B48" i="90"/>
  <c r="T47" i="90"/>
  <c r="P47" i="90"/>
  <c r="X47" i="90" s="1"/>
  <c r="L47" i="90"/>
  <c r="N47" i="90" s="1"/>
  <c r="H47" i="90"/>
  <c r="D47" i="90"/>
  <c r="B47" i="90"/>
  <c r="Z46" i="90"/>
  <c r="X46" i="90"/>
  <c r="L46" i="90"/>
  <c r="N46" i="90" s="1"/>
  <c r="B46" i="90"/>
  <c r="T45" i="90"/>
  <c r="P45" i="90"/>
  <c r="X45" i="90" s="1"/>
  <c r="Z45" i="90" s="1"/>
  <c r="H45" i="90"/>
  <c r="D45" i="90"/>
  <c r="B45" i="90"/>
  <c r="Z44" i="90"/>
  <c r="X44" i="90"/>
  <c r="N44" i="90"/>
  <c r="L44" i="90"/>
  <c r="B44" i="90"/>
  <c r="X43" i="90"/>
  <c r="T43" i="90"/>
  <c r="P43" i="90"/>
  <c r="H43" i="90"/>
  <c r="D43" i="90"/>
  <c r="L43" i="90" s="1"/>
  <c r="B43" i="90"/>
  <c r="X42" i="90"/>
  <c r="Z42" i="90" s="1"/>
  <c r="N42" i="90"/>
  <c r="L42" i="90"/>
  <c r="B42" i="90"/>
  <c r="T41" i="90"/>
  <c r="X41" i="90" s="1"/>
  <c r="P41" i="90"/>
  <c r="H41" i="90"/>
  <c r="D41" i="90"/>
  <c r="L41" i="90" s="1"/>
  <c r="B41" i="90"/>
  <c r="Z40" i="90"/>
  <c r="X40" i="90"/>
  <c r="N40" i="90"/>
  <c r="L40" i="90"/>
  <c r="B40" i="90"/>
  <c r="Z39" i="90"/>
  <c r="X39" i="90"/>
  <c r="N39" i="90"/>
  <c r="L39" i="90"/>
  <c r="F39" i="90"/>
  <c r="B39" i="90"/>
  <c r="Z38" i="90"/>
  <c r="X38" i="90"/>
  <c r="N38" i="90"/>
  <c r="L38" i="90"/>
  <c r="B38" i="90"/>
  <c r="X37" i="90"/>
  <c r="Z37" i="90" s="1"/>
  <c r="L37" i="90"/>
  <c r="N37" i="90" s="1"/>
  <c r="B37" i="90"/>
  <c r="Z36" i="90"/>
  <c r="X36" i="90"/>
  <c r="N36" i="90"/>
  <c r="L36" i="90"/>
  <c r="B36" i="90"/>
  <c r="Z35" i="90"/>
  <c r="X35" i="90"/>
  <c r="N35" i="90"/>
  <c r="L35" i="90"/>
  <c r="J35" i="90"/>
  <c r="B35" i="90"/>
  <c r="Z34" i="90"/>
  <c r="X34" i="90"/>
  <c r="L34" i="90"/>
  <c r="N34" i="90" s="1"/>
  <c r="B34" i="90"/>
  <c r="Z33" i="90"/>
  <c r="X33" i="90"/>
  <c r="N33" i="90"/>
  <c r="L33" i="90"/>
  <c r="J33" i="90"/>
  <c r="B33" i="90"/>
  <c r="Z32" i="90"/>
  <c r="X32" i="90"/>
  <c r="L32" i="90"/>
  <c r="N32" i="90" s="1"/>
  <c r="B32" i="90"/>
  <c r="X31" i="90"/>
  <c r="Z31" i="90" s="1"/>
  <c r="V31" i="90"/>
  <c r="N31" i="90"/>
  <c r="L31" i="90"/>
  <c r="B31" i="90"/>
  <c r="X30" i="90"/>
  <c r="T30" i="90"/>
  <c r="P30" i="90"/>
  <c r="H30" i="90"/>
  <c r="D30" i="90"/>
  <c r="L30" i="90" s="1"/>
  <c r="B30" i="90"/>
  <c r="X29" i="90"/>
  <c r="Z29" i="90" s="1"/>
  <c r="N29" i="90"/>
  <c r="L29" i="90"/>
  <c r="J29" i="90"/>
  <c r="B29" i="90"/>
  <c r="X28" i="90"/>
  <c r="Z28" i="90" s="1"/>
  <c r="L28" i="90"/>
  <c r="N28" i="90" s="1"/>
  <c r="B28" i="90"/>
  <c r="Z27" i="90"/>
  <c r="X27" i="90"/>
  <c r="V27" i="90"/>
  <c r="N27" i="90"/>
  <c r="L27" i="90"/>
  <c r="B27" i="90"/>
  <c r="Z26" i="90"/>
  <c r="X26" i="90"/>
  <c r="N26" i="90"/>
  <c r="L26" i="90"/>
  <c r="B26" i="90"/>
  <c r="Z25" i="90"/>
  <c r="X25" i="90"/>
  <c r="V25" i="90"/>
  <c r="L25" i="90"/>
  <c r="N25" i="90" s="1"/>
  <c r="B25" i="90"/>
  <c r="X24" i="90"/>
  <c r="Z24" i="90" s="1"/>
  <c r="L24" i="90"/>
  <c r="N24" i="90" s="1"/>
  <c r="B24" i="90"/>
  <c r="Z23" i="90"/>
  <c r="X23" i="90"/>
  <c r="N23" i="90"/>
  <c r="L23" i="90"/>
  <c r="J23" i="90"/>
  <c r="B23" i="90"/>
  <c r="X22" i="90"/>
  <c r="Z22" i="90" s="1"/>
  <c r="L22" i="90"/>
  <c r="N22" i="90" s="1"/>
  <c r="F22" i="90"/>
  <c r="B22" i="90"/>
  <c r="X21" i="90"/>
  <c r="Z21" i="90" s="1"/>
  <c r="N21" i="90"/>
  <c r="L21" i="90"/>
  <c r="J21" i="90"/>
  <c r="B21" i="90"/>
  <c r="T20" i="90"/>
  <c r="P20" i="90"/>
  <c r="X20" i="90" s="1"/>
  <c r="H20" i="90"/>
  <c r="N20" i="90" s="1"/>
  <c r="D20" i="90"/>
  <c r="L20" i="90" s="1"/>
  <c r="B20" i="90"/>
  <c r="Z19" i="90"/>
  <c r="T19" i="90"/>
  <c r="P19" i="90"/>
  <c r="X19" i="90" s="1"/>
  <c r="H19" i="90"/>
  <c r="D19" i="90"/>
  <c r="Z15" i="90"/>
  <c r="T15" i="90"/>
  <c r="P15" i="90"/>
  <c r="X15" i="90" s="1"/>
  <c r="N15" i="90"/>
  <c r="J15" i="90"/>
  <c r="H15" i="90"/>
  <c r="D15" i="90"/>
  <c r="L15" i="90" s="1"/>
  <c r="P13" i="90"/>
  <c r="L13" i="90"/>
  <c r="N13" i="90" s="1"/>
  <c r="D13" i="90"/>
  <c r="D12" i="90" s="1"/>
  <c r="F52" i="90" s="1"/>
  <c r="B13" i="90"/>
  <c r="T12" i="90"/>
  <c r="V54" i="90" s="1"/>
  <c r="L12" i="90"/>
  <c r="H12" i="90"/>
  <c r="J31" i="90" s="1"/>
  <c r="D6" i="90"/>
  <c r="D4" i="90"/>
  <c r="R30" i="89"/>
  <c r="J30" i="89"/>
  <c r="R27" i="89"/>
  <c r="J27" i="89"/>
  <c r="Z25" i="89"/>
  <c r="X25" i="89"/>
  <c r="R25" i="89"/>
  <c r="N25" i="89"/>
  <c r="L25" i="89"/>
  <c r="J25" i="89"/>
  <c r="R23" i="89"/>
  <c r="J23" i="89"/>
  <c r="H23" i="89"/>
  <c r="Z21" i="89"/>
  <c r="R21" i="89"/>
  <c r="P21" i="89"/>
  <c r="X21" i="89" s="1"/>
  <c r="N21" i="89"/>
  <c r="J21" i="89"/>
  <c r="D21" i="89"/>
  <c r="L21" i="89" s="1"/>
  <c r="B21" i="89"/>
  <c r="Z20" i="89"/>
  <c r="V20" i="89"/>
  <c r="T20" i="89"/>
  <c r="R20" i="89"/>
  <c r="P20" i="89"/>
  <c r="X20" i="89" s="1"/>
  <c r="L20" i="89"/>
  <c r="J20" i="89"/>
  <c r="H20" i="89"/>
  <c r="N20" i="89" s="1"/>
  <c r="F20" i="89"/>
  <c r="D20" i="89"/>
  <c r="Z18" i="89"/>
  <c r="T18" i="89"/>
  <c r="R18" i="89"/>
  <c r="P18" i="89"/>
  <c r="X18" i="89" s="1"/>
  <c r="N18" i="89"/>
  <c r="J18" i="89"/>
  <c r="H18" i="89"/>
  <c r="D18" i="89"/>
  <c r="L18" i="89" s="1"/>
  <c r="R16" i="89"/>
  <c r="J16" i="89"/>
  <c r="H16" i="89"/>
  <c r="N16" i="89" s="1"/>
  <c r="F16" i="89"/>
  <c r="Z14" i="89"/>
  <c r="T14" i="89"/>
  <c r="R14" i="89"/>
  <c r="P14" i="89"/>
  <c r="P16" i="89" s="1"/>
  <c r="N14" i="89"/>
  <c r="J14" i="89"/>
  <c r="H14" i="89"/>
  <c r="D14" i="89"/>
  <c r="L14" i="89" s="1"/>
  <c r="T12" i="89"/>
  <c r="P12" i="89"/>
  <c r="N12" i="89"/>
  <c r="H12" i="89"/>
  <c r="D12" i="89"/>
  <c r="F21" i="89" s="1"/>
  <c r="D6" i="89"/>
  <c r="D4" i="89"/>
  <c r="J79" i="88"/>
  <c r="F79" i="88"/>
  <c r="R76" i="88"/>
  <c r="Z74" i="88"/>
  <c r="X74" i="88"/>
  <c r="N74" i="88"/>
  <c r="L74" i="88"/>
  <c r="J72" i="88"/>
  <c r="X70" i="88"/>
  <c r="T70" i="88"/>
  <c r="Z70" i="88" s="1"/>
  <c r="R70" i="88"/>
  <c r="P70" i="88"/>
  <c r="N70" i="88"/>
  <c r="H70" i="88"/>
  <c r="D70" i="88"/>
  <c r="L70" i="88" s="1"/>
  <c r="Z68" i="88"/>
  <c r="X68" i="88"/>
  <c r="L68" i="88"/>
  <c r="N68" i="88" s="1"/>
  <c r="B68" i="88"/>
  <c r="X67" i="88"/>
  <c r="T67" i="88"/>
  <c r="P67" i="88"/>
  <c r="H67" i="88"/>
  <c r="D67" i="88"/>
  <c r="B67" i="88"/>
  <c r="X66" i="88"/>
  <c r="Z66" i="88" s="1"/>
  <c r="N66" i="88"/>
  <c r="L66" i="88"/>
  <c r="B66" i="88"/>
  <c r="X65" i="88"/>
  <c r="T65" i="88"/>
  <c r="P65" i="88"/>
  <c r="H65" i="88"/>
  <c r="D65" i="88"/>
  <c r="L65" i="88" s="1"/>
  <c r="B65" i="88"/>
  <c r="X64" i="88"/>
  <c r="Z64" i="88" s="1"/>
  <c r="N64" i="88"/>
  <c r="L64" i="88"/>
  <c r="J64" i="88"/>
  <c r="B64" i="88"/>
  <c r="Z63" i="88"/>
  <c r="X63" i="88"/>
  <c r="R63" i="88"/>
  <c r="L63" i="88"/>
  <c r="N63" i="88" s="1"/>
  <c r="B63" i="88"/>
  <c r="Z62" i="88"/>
  <c r="X62" i="88"/>
  <c r="N62" i="88"/>
  <c r="L62" i="88"/>
  <c r="B62" i="88"/>
  <c r="X61" i="88"/>
  <c r="Z61" i="88" s="1"/>
  <c r="R61" i="88"/>
  <c r="N61" i="88"/>
  <c r="L61" i="88"/>
  <c r="B61" i="88"/>
  <c r="Z60" i="88"/>
  <c r="X60" i="88"/>
  <c r="L60" i="88"/>
  <c r="N60" i="88" s="1"/>
  <c r="B60" i="88"/>
  <c r="X59" i="88"/>
  <c r="Z59" i="88" s="1"/>
  <c r="N59" i="88"/>
  <c r="L59" i="88"/>
  <c r="F59" i="88"/>
  <c r="B59" i="88"/>
  <c r="T58" i="88"/>
  <c r="P58" i="88"/>
  <c r="X58" i="88" s="1"/>
  <c r="Z58" i="88" s="1"/>
  <c r="J58" i="88"/>
  <c r="H58" i="88"/>
  <c r="D58" i="88"/>
  <c r="L58" i="88" s="1"/>
  <c r="N58" i="88" s="1"/>
  <c r="B58" i="88"/>
  <c r="X57" i="88"/>
  <c r="Z57" i="88" s="1"/>
  <c r="R57" i="88"/>
  <c r="N57" i="88"/>
  <c r="L57" i="88"/>
  <c r="J57" i="88"/>
  <c r="B57" i="88"/>
  <c r="Z56" i="88"/>
  <c r="X56" i="88"/>
  <c r="L56" i="88"/>
  <c r="N56" i="88" s="1"/>
  <c r="B56" i="88"/>
  <c r="X55" i="88"/>
  <c r="Z55" i="88" s="1"/>
  <c r="N55" i="88"/>
  <c r="L55" i="88"/>
  <c r="F55" i="88"/>
  <c r="B55" i="88"/>
  <c r="T54" i="88"/>
  <c r="P54" i="88"/>
  <c r="X54" i="88" s="1"/>
  <c r="Z54" i="88" s="1"/>
  <c r="J54" i="88"/>
  <c r="H54" i="88"/>
  <c r="D54" i="88"/>
  <c r="L54" i="88" s="1"/>
  <c r="N54" i="88" s="1"/>
  <c r="B54" i="88"/>
  <c r="X53" i="88"/>
  <c r="Z53" i="88" s="1"/>
  <c r="R53" i="88"/>
  <c r="N53" i="88"/>
  <c r="L53" i="88"/>
  <c r="J53" i="88"/>
  <c r="B53" i="88"/>
  <c r="Z52" i="88"/>
  <c r="X52" i="88"/>
  <c r="N52" i="88"/>
  <c r="L52" i="88"/>
  <c r="B52" i="88"/>
  <c r="X51" i="88"/>
  <c r="T51" i="88"/>
  <c r="Z51" i="88" s="1"/>
  <c r="R51" i="88"/>
  <c r="P51" i="88"/>
  <c r="H51" i="88"/>
  <c r="D51" i="88"/>
  <c r="B51" i="88"/>
  <c r="X50" i="88"/>
  <c r="Z50" i="88" s="1"/>
  <c r="N50" i="88"/>
  <c r="L50" i="88"/>
  <c r="B50" i="88"/>
  <c r="T49" i="88"/>
  <c r="P49" i="88"/>
  <c r="H49" i="88"/>
  <c r="D49" i="88"/>
  <c r="L49" i="88" s="1"/>
  <c r="B49" i="88"/>
  <c r="X48" i="88"/>
  <c r="Z48" i="88" s="1"/>
  <c r="R48" i="88"/>
  <c r="N48" i="88"/>
  <c r="L48" i="88"/>
  <c r="J48" i="88"/>
  <c r="B48" i="88"/>
  <c r="Z47" i="88"/>
  <c r="T47" i="88"/>
  <c r="P47" i="88"/>
  <c r="X47" i="88" s="1"/>
  <c r="J47" i="88"/>
  <c r="H47" i="88"/>
  <c r="D47" i="88"/>
  <c r="L47" i="88" s="1"/>
  <c r="N47" i="88" s="1"/>
  <c r="B47" i="88"/>
  <c r="Z46" i="88"/>
  <c r="X46" i="88"/>
  <c r="R46" i="88"/>
  <c r="L46" i="88"/>
  <c r="N46" i="88" s="1"/>
  <c r="J46" i="88"/>
  <c r="B46" i="88"/>
  <c r="T45" i="88"/>
  <c r="R45" i="88"/>
  <c r="P45" i="88"/>
  <c r="X45" i="88" s="1"/>
  <c r="Z45" i="88" s="1"/>
  <c r="L45" i="88"/>
  <c r="H45" i="88"/>
  <c r="N45" i="88" s="1"/>
  <c r="D45" i="88"/>
  <c r="B45" i="88"/>
  <c r="Z44" i="88"/>
  <c r="X44" i="88"/>
  <c r="R44" i="88"/>
  <c r="L44" i="88"/>
  <c r="N44" i="88" s="1"/>
  <c r="B44" i="88"/>
  <c r="X43" i="88"/>
  <c r="T43" i="88"/>
  <c r="R43" i="88"/>
  <c r="P43" i="88"/>
  <c r="L43" i="88"/>
  <c r="H43" i="88"/>
  <c r="D43" i="88"/>
  <c r="B43" i="88"/>
  <c r="X42" i="88"/>
  <c r="Z42" i="88" s="1"/>
  <c r="N42" i="88"/>
  <c r="L42" i="88"/>
  <c r="F42" i="88"/>
  <c r="B42" i="88"/>
  <c r="T41" i="88"/>
  <c r="R41" i="88"/>
  <c r="P41" i="88"/>
  <c r="J41" i="88"/>
  <c r="H41" i="88"/>
  <c r="D41" i="88"/>
  <c r="B41" i="88"/>
  <c r="Z40" i="88"/>
  <c r="X40" i="88"/>
  <c r="R40" i="88"/>
  <c r="N40" i="88"/>
  <c r="L40" i="88"/>
  <c r="J40" i="88"/>
  <c r="B40" i="88"/>
  <c r="Z39" i="88"/>
  <c r="X39" i="88"/>
  <c r="R39" i="88"/>
  <c r="N39" i="88"/>
  <c r="L39" i="88"/>
  <c r="B39" i="88"/>
  <c r="Z38" i="88"/>
  <c r="X38" i="88"/>
  <c r="N38" i="88"/>
  <c r="L38" i="88"/>
  <c r="B38" i="88"/>
  <c r="Z37" i="88"/>
  <c r="X37" i="88"/>
  <c r="R37" i="88"/>
  <c r="N37" i="88"/>
  <c r="L37" i="88"/>
  <c r="J37" i="88"/>
  <c r="B37" i="88"/>
  <c r="Z36" i="88"/>
  <c r="X36" i="88"/>
  <c r="V36" i="88"/>
  <c r="R36" i="88"/>
  <c r="N36" i="88"/>
  <c r="L36" i="88"/>
  <c r="B36" i="88"/>
  <c r="Z35" i="88"/>
  <c r="X35" i="88"/>
  <c r="N35" i="88"/>
  <c r="L35" i="88"/>
  <c r="J35" i="88"/>
  <c r="B35" i="88"/>
  <c r="Z34" i="88"/>
  <c r="X34" i="88"/>
  <c r="R34" i="88"/>
  <c r="L34" i="88"/>
  <c r="N34" i="88" s="1"/>
  <c r="J34" i="88"/>
  <c r="B34" i="88"/>
  <c r="Z33" i="88"/>
  <c r="X33" i="88"/>
  <c r="R33" i="88"/>
  <c r="N33" i="88"/>
  <c r="L33" i="88"/>
  <c r="B33" i="88"/>
  <c r="X32" i="88"/>
  <c r="Z32" i="88" s="1"/>
  <c r="R32" i="88"/>
  <c r="N32" i="88"/>
  <c r="L32" i="88"/>
  <c r="J32" i="88"/>
  <c r="B32" i="88"/>
  <c r="Z31" i="88"/>
  <c r="X31" i="88"/>
  <c r="R31" i="88"/>
  <c r="N31" i="88"/>
  <c r="L31" i="88"/>
  <c r="J31" i="88"/>
  <c r="B31" i="88"/>
  <c r="X30" i="88"/>
  <c r="Z30" i="88" s="1"/>
  <c r="T30" i="88"/>
  <c r="R30" i="88"/>
  <c r="P30" i="88"/>
  <c r="J30" i="88"/>
  <c r="H30" i="88"/>
  <c r="D30" i="88"/>
  <c r="B30" i="88"/>
  <c r="Z29" i="88"/>
  <c r="X29" i="88"/>
  <c r="R29" i="88"/>
  <c r="N29" i="88"/>
  <c r="L29" i="88"/>
  <c r="B29" i="88"/>
  <c r="X28" i="88"/>
  <c r="Z28" i="88" s="1"/>
  <c r="R28" i="88"/>
  <c r="N28" i="88"/>
  <c r="L28" i="88"/>
  <c r="J28" i="88"/>
  <c r="B28" i="88"/>
  <c r="Z27" i="88"/>
  <c r="X27" i="88"/>
  <c r="R27" i="88"/>
  <c r="L27" i="88"/>
  <c r="N27" i="88" s="1"/>
  <c r="J27" i="88"/>
  <c r="B27" i="88"/>
  <c r="Z26" i="88"/>
  <c r="X26" i="88"/>
  <c r="N26" i="88"/>
  <c r="L26" i="88"/>
  <c r="F26" i="88"/>
  <c r="B26" i="88"/>
  <c r="Z25" i="88"/>
  <c r="X25" i="88"/>
  <c r="R25" i="88"/>
  <c r="N25" i="88"/>
  <c r="L25" i="88"/>
  <c r="J25" i="88"/>
  <c r="F25" i="88"/>
  <c r="B25" i="88"/>
  <c r="Z24" i="88"/>
  <c r="X24" i="88"/>
  <c r="R24" i="88"/>
  <c r="L24" i="88"/>
  <c r="N24" i="88" s="1"/>
  <c r="J24" i="88"/>
  <c r="F24" i="88"/>
  <c r="B24" i="88"/>
  <c r="X23" i="88"/>
  <c r="Z23" i="88" s="1"/>
  <c r="R23" i="88"/>
  <c r="N23" i="88"/>
  <c r="L23" i="88"/>
  <c r="J23" i="88"/>
  <c r="F23" i="88"/>
  <c r="B23" i="88"/>
  <c r="Z22" i="88"/>
  <c r="X22" i="88"/>
  <c r="R22" i="88"/>
  <c r="N22" i="88"/>
  <c r="L22" i="88"/>
  <c r="J22" i="88"/>
  <c r="B22" i="88"/>
  <c r="Z21" i="88"/>
  <c r="X21" i="88"/>
  <c r="R21" i="88"/>
  <c r="N21" i="88"/>
  <c r="L21" i="88"/>
  <c r="B21" i="88"/>
  <c r="X20" i="88"/>
  <c r="Z20" i="88" s="1"/>
  <c r="V20" i="88"/>
  <c r="R20" i="88"/>
  <c r="N20" i="88"/>
  <c r="L20" i="88"/>
  <c r="J20" i="88"/>
  <c r="B20" i="88"/>
  <c r="X19" i="88"/>
  <c r="Z19" i="88" s="1"/>
  <c r="T19" i="88"/>
  <c r="P19" i="88"/>
  <c r="J19" i="88"/>
  <c r="H19" i="88"/>
  <c r="F19" i="88"/>
  <c r="D19" i="88"/>
  <c r="B19" i="88"/>
  <c r="T18" i="88"/>
  <c r="R18" i="88"/>
  <c r="P18" i="88"/>
  <c r="X18" i="88" s="1"/>
  <c r="J18" i="88"/>
  <c r="H18" i="88"/>
  <c r="N18" i="88" s="1"/>
  <c r="D18" i="88"/>
  <c r="L18" i="88" s="1"/>
  <c r="R16" i="88"/>
  <c r="P16" i="88"/>
  <c r="J16" i="88"/>
  <c r="T14" i="88"/>
  <c r="Z14" i="88" s="1"/>
  <c r="R14" i="88"/>
  <c r="P14" i="88"/>
  <c r="J14" i="88"/>
  <c r="H14" i="88"/>
  <c r="N14" i="88" s="1"/>
  <c r="D14" i="88"/>
  <c r="L14" i="88" s="1"/>
  <c r="X12" i="88"/>
  <c r="T12" i="88"/>
  <c r="V66" i="88" s="1"/>
  <c r="P12" i="88"/>
  <c r="R74" i="88" s="1"/>
  <c r="N12" i="88"/>
  <c r="H12" i="88"/>
  <c r="J63" i="88" s="1"/>
  <c r="D12" i="88"/>
  <c r="F38" i="88" s="1"/>
  <c r="D6" i="88"/>
  <c r="D4" i="88"/>
  <c r="Z84" i="87"/>
  <c r="X84" i="87"/>
  <c r="N84" i="87"/>
  <c r="L84" i="87"/>
  <c r="J82" i="87"/>
  <c r="T80" i="87"/>
  <c r="Z80" i="87" s="1"/>
  <c r="P80" i="87"/>
  <c r="N80" i="87"/>
  <c r="L80" i="87"/>
  <c r="H80" i="87"/>
  <c r="D80" i="87"/>
  <c r="Z78" i="87"/>
  <c r="X78" i="87"/>
  <c r="L78" i="87"/>
  <c r="N78" i="87" s="1"/>
  <c r="B78" i="87"/>
  <c r="T77" i="87"/>
  <c r="P77" i="87"/>
  <c r="H77" i="87"/>
  <c r="D77" i="87"/>
  <c r="L77" i="87" s="1"/>
  <c r="N77" i="87" s="1"/>
  <c r="B77" i="87"/>
  <c r="X76" i="87"/>
  <c r="Z76" i="87" s="1"/>
  <c r="N76" i="87"/>
  <c r="L76" i="87"/>
  <c r="J76" i="87"/>
  <c r="B76" i="87"/>
  <c r="T75" i="87"/>
  <c r="P75" i="87"/>
  <c r="L75" i="87"/>
  <c r="N75" i="87" s="1"/>
  <c r="J75" i="87"/>
  <c r="H75" i="87"/>
  <c r="D75" i="87"/>
  <c r="B75" i="87"/>
  <c r="Z74" i="87"/>
  <c r="X74" i="87"/>
  <c r="N74" i="87"/>
  <c r="L74" i="87"/>
  <c r="B74" i="87"/>
  <c r="X73" i="87"/>
  <c r="Z73" i="87" s="1"/>
  <c r="L73" i="87"/>
  <c r="N73" i="87" s="1"/>
  <c r="B73" i="87"/>
  <c r="X72" i="87"/>
  <c r="Z72" i="87" s="1"/>
  <c r="V72" i="87"/>
  <c r="L72" i="87"/>
  <c r="N72" i="87" s="1"/>
  <c r="B72" i="87"/>
  <c r="X71" i="87"/>
  <c r="Z71" i="87" s="1"/>
  <c r="L71" i="87"/>
  <c r="N71" i="87" s="1"/>
  <c r="B71" i="87"/>
  <c r="Z70" i="87"/>
  <c r="X70" i="87"/>
  <c r="L70" i="87"/>
  <c r="N70" i="87" s="1"/>
  <c r="B70" i="87"/>
  <c r="Z69" i="87"/>
  <c r="X69" i="87"/>
  <c r="N69" i="87"/>
  <c r="L69" i="87"/>
  <c r="B69" i="87"/>
  <c r="T68" i="87"/>
  <c r="P68" i="87"/>
  <c r="X68" i="87" s="1"/>
  <c r="L68" i="87"/>
  <c r="N68" i="87" s="1"/>
  <c r="H68" i="87"/>
  <c r="D68" i="87"/>
  <c r="B68" i="87"/>
  <c r="X67" i="87"/>
  <c r="Z67" i="87" s="1"/>
  <c r="L67" i="87"/>
  <c r="N67" i="87" s="1"/>
  <c r="B67" i="87"/>
  <c r="Z66" i="87"/>
  <c r="X66" i="87"/>
  <c r="L66" i="87"/>
  <c r="N66" i="87" s="1"/>
  <c r="B66" i="87"/>
  <c r="Z65" i="87"/>
  <c r="X65" i="87"/>
  <c r="N65" i="87"/>
  <c r="L65" i="87"/>
  <c r="B65" i="87"/>
  <c r="X64" i="87"/>
  <c r="Z64" i="87" s="1"/>
  <c r="L64" i="87"/>
  <c r="N64" i="87" s="1"/>
  <c r="J64" i="87"/>
  <c r="B64" i="87"/>
  <c r="T63" i="87"/>
  <c r="P63" i="87"/>
  <c r="X63" i="87" s="1"/>
  <c r="Z63" i="87" s="1"/>
  <c r="H63" i="87"/>
  <c r="D63" i="87"/>
  <c r="L63" i="87" s="1"/>
  <c r="N63" i="87" s="1"/>
  <c r="B63" i="87"/>
  <c r="Z62" i="87"/>
  <c r="X62" i="87"/>
  <c r="L62" i="87"/>
  <c r="N62" i="87" s="1"/>
  <c r="B62" i="87"/>
  <c r="Z61" i="87"/>
  <c r="X61" i="87"/>
  <c r="N61" i="87"/>
  <c r="L61" i="87"/>
  <c r="B61" i="87"/>
  <c r="T60" i="87"/>
  <c r="P60" i="87"/>
  <c r="X60" i="87" s="1"/>
  <c r="L60" i="87"/>
  <c r="N60" i="87" s="1"/>
  <c r="H60" i="87"/>
  <c r="D60" i="87"/>
  <c r="B60" i="87"/>
  <c r="Z59" i="87"/>
  <c r="X59" i="87"/>
  <c r="N59" i="87"/>
  <c r="L59" i="87"/>
  <c r="B59" i="87"/>
  <c r="Z58" i="87"/>
  <c r="X58" i="87"/>
  <c r="T58" i="87"/>
  <c r="P58" i="87"/>
  <c r="J58" i="87"/>
  <c r="H58" i="87"/>
  <c r="D58" i="87"/>
  <c r="B58" i="87"/>
  <c r="Z57" i="87"/>
  <c r="X57" i="87"/>
  <c r="N57" i="87"/>
  <c r="L57" i="87"/>
  <c r="B57" i="87"/>
  <c r="T56" i="87"/>
  <c r="P56" i="87"/>
  <c r="H56" i="87"/>
  <c r="D56" i="87"/>
  <c r="L56" i="87" s="1"/>
  <c r="B56" i="87"/>
  <c r="X55" i="87"/>
  <c r="Z55" i="87" s="1"/>
  <c r="L55" i="87"/>
  <c r="N55" i="87" s="1"/>
  <c r="B55" i="87"/>
  <c r="T54" i="87"/>
  <c r="P54" i="87"/>
  <c r="H54" i="87"/>
  <c r="D54" i="87"/>
  <c r="L54" i="87" s="1"/>
  <c r="B54" i="87"/>
  <c r="Z53" i="87"/>
  <c r="X53" i="87"/>
  <c r="N53" i="87"/>
  <c r="L53" i="87"/>
  <c r="B53" i="87"/>
  <c r="T52" i="87"/>
  <c r="P52" i="87"/>
  <c r="X52" i="87" s="1"/>
  <c r="L52" i="87"/>
  <c r="N52" i="87" s="1"/>
  <c r="H52" i="87"/>
  <c r="D52" i="87"/>
  <c r="B52" i="87"/>
  <c r="Z51" i="87"/>
  <c r="X51" i="87"/>
  <c r="L51" i="87"/>
  <c r="N51" i="87" s="1"/>
  <c r="B51" i="87"/>
  <c r="Z50" i="87"/>
  <c r="X50" i="87"/>
  <c r="T50" i="87"/>
  <c r="P50" i="87"/>
  <c r="H50" i="87"/>
  <c r="D50" i="87"/>
  <c r="B50" i="87"/>
  <c r="Z49" i="87"/>
  <c r="X49" i="87"/>
  <c r="V49" i="87"/>
  <c r="N49" i="87"/>
  <c r="L49" i="87"/>
  <c r="B49" i="87"/>
  <c r="X48" i="87"/>
  <c r="T48" i="87"/>
  <c r="Z48" i="87" s="1"/>
  <c r="P48" i="87"/>
  <c r="H48" i="87"/>
  <c r="N48" i="87" s="1"/>
  <c r="D48" i="87"/>
  <c r="L48" i="87" s="1"/>
  <c r="B48" i="87"/>
  <c r="Z47" i="87"/>
  <c r="X47" i="87"/>
  <c r="N47" i="87"/>
  <c r="L47" i="87"/>
  <c r="B47" i="87"/>
  <c r="T46" i="87"/>
  <c r="Z46" i="87" s="1"/>
  <c r="P46" i="87"/>
  <c r="H46" i="87"/>
  <c r="N46" i="87" s="1"/>
  <c r="D46" i="87"/>
  <c r="B46" i="87"/>
  <c r="Z45" i="87"/>
  <c r="X45" i="87"/>
  <c r="N45" i="87"/>
  <c r="L45" i="87"/>
  <c r="B45" i="87"/>
  <c r="Z44" i="87"/>
  <c r="X44" i="87"/>
  <c r="N44" i="87"/>
  <c r="L44" i="87"/>
  <c r="B44" i="87"/>
  <c r="Z43" i="87"/>
  <c r="X43" i="87"/>
  <c r="V43" i="87"/>
  <c r="N43" i="87"/>
  <c r="L43" i="87"/>
  <c r="B43" i="87"/>
  <c r="Z42" i="87"/>
  <c r="X42" i="87"/>
  <c r="N42" i="87"/>
  <c r="L42" i="87"/>
  <c r="B42" i="87"/>
  <c r="Z41" i="87"/>
  <c r="X41" i="87"/>
  <c r="N41" i="87"/>
  <c r="L41" i="87"/>
  <c r="B41" i="87"/>
  <c r="Z40" i="87"/>
  <c r="X40" i="87"/>
  <c r="V40" i="87"/>
  <c r="N40" i="87"/>
  <c r="L40" i="87"/>
  <c r="B40" i="87"/>
  <c r="Z39" i="87"/>
  <c r="X39" i="87"/>
  <c r="V39" i="87"/>
  <c r="L39" i="87"/>
  <c r="N39" i="87" s="1"/>
  <c r="B39" i="87"/>
  <c r="Z38" i="87"/>
  <c r="X38" i="87"/>
  <c r="N38" i="87"/>
  <c r="L38" i="87"/>
  <c r="B38" i="87"/>
  <c r="Z37" i="87"/>
  <c r="X37" i="87"/>
  <c r="N37" i="87"/>
  <c r="L37" i="87"/>
  <c r="B37" i="87"/>
  <c r="Z36" i="87"/>
  <c r="X36" i="87"/>
  <c r="N36" i="87"/>
  <c r="L36" i="87"/>
  <c r="B36" i="87"/>
  <c r="T35" i="87"/>
  <c r="P35" i="87"/>
  <c r="X35" i="87" s="1"/>
  <c r="Z35" i="87" s="1"/>
  <c r="N35" i="87"/>
  <c r="H35" i="87"/>
  <c r="D35" i="87"/>
  <c r="L35" i="87" s="1"/>
  <c r="B35" i="87"/>
  <c r="X34" i="87"/>
  <c r="Z34" i="87" s="1"/>
  <c r="L34" i="87"/>
  <c r="N34" i="87" s="1"/>
  <c r="B34" i="87"/>
  <c r="Z33" i="87"/>
  <c r="X33" i="87"/>
  <c r="N33" i="87"/>
  <c r="L33" i="87"/>
  <c r="B33" i="87"/>
  <c r="X32" i="87"/>
  <c r="Z32" i="87" s="1"/>
  <c r="L32" i="87"/>
  <c r="N32" i="87" s="1"/>
  <c r="B32" i="87"/>
  <c r="Z31" i="87"/>
  <c r="X31" i="87"/>
  <c r="N31" i="87"/>
  <c r="L31" i="87"/>
  <c r="B31" i="87"/>
  <c r="Z30" i="87"/>
  <c r="X30" i="87"/>
  <c r="N30" i="87"/>
  <c r="L30" i="87"/>
  <c r="B30" i="87"/>
  <c r="Z29" i="87"/>
  <c r="X29" i="87"/>
  <c r="N29" i="87"/>
  <c r="L29" i="87"/>
  <c r="B29" i="87"/>
  <c r="X28" i="87"/>
  <c r="Z28" i="87" s="1"/>
  <c r="L28" i="87"/>
  <c r="N28" i="87" s="1"/>
  <c r="B28" i="87"/>
  <c r="X27" i="87"/>
  <c r="Z27" i="87" s="1"/>
  <c r="V27" i="87"/>
  <c r="L27" i="87"/>
  <c r="N27" i="87" s="1"/>
  <c r="B27" i="87"/>
  <c r="X26" i="87"/>
  <c r="Z26" i="87" s="1"/>
  <c r="L26" i="87"/>
  <c r="N26" i="87" s="1"/>
  <c r="B26" i="87"/>
  <c r="Z25" i="87"/>
  <c r="X25" i="87"/>
  <c r="N25" i="87"/>
  <c r="L25" i="87"/>
  <c r="J25" i="87"/>
  <c r="B25" i="87"/>
  <c r="T24" i="87"/>
  <c r="P24" i="87"/>
  <c r="H24" i="87"/>
  <c r="D24" i="87"/>
  <c r="L24" i="87" s="1"/>
  <c r="N24" i="87" s="1"/>
  <c r="B24" i="87"/>
  <c r="X23" i="87"/>
  <c r="Z23" i="87" s="1"/>
  <c r="V23" i="87"/>
  <c r="T23" i="87"/>
  <c r="P23" i="87"/>
  <c r="J23" i="87"/>
  <c r="H23" i="87"/>
  <c r="D23" i="87"/>
  <c r="L23" i="87" s="1"/>
  <c r="N23" i="87" s="1"/>
  <c r="Z19" i="87"/>
  <c r="X19" i="87"/>
  <c r="N19" i="87"/>
  <c r="L19" i="87"/>
  <c r="J19" i="87"/>
  <c r="B19" i="87"/>
  <c r="Z18" i="87"/>
  <c r="X18" i="87"/>
  <c r="N18" i="87"/>
  <c r="L18" i="87"/>
  <c r="B18" i="87"/>
  <c r="Z17" i="87"/>
  <c r="T17" i="87"/>
  <c r="X17" i="87" s="1"/>
  <c r="P17" i="87"/>
  <c r="N17" i="87"/>
  <c r="H17" i="87"/>
  <c r="D17" i="87"/>
  <c r="L17" i="87" s="1"/>
  <c r="Z15" i="87"/>
  <c r="P15" i="87"/>
  <c r="X15" i="87" s="1"/>
  <c r="N15" i="87"/>
  <c r="L15" i="87"/>
  <c r="D15" i="87"/>
  <c r="B15" i="87"/>
  <c r="Z14" i="87"/>
  <c r="X14" i="87"/>
  <c r="P14" i="87"/>
  <c r="N14" i="87"/>
  <c r="L14" i="87"/>
  <c r="D14" i="87"/>
  <c r="B14" i="87"/>
  <c r="Z13" i="87"/>
  <c r="P13" i="87"/>
  <c r="X13" i="87" s="1"/>
  <c r="N13" i="87"/>
  <c r="D13" i="87"/>
  <c r="B13" i="87"/>
  <c r="T12" i="87"/>
  <c r="P12" i="87"/>
  <c r="H12" i="87"/>
  <c r="J69" i="87" s="1"/>
  <c r="D6" i="87"/>
  <c r="D4" i="87"/>
  <c r="J80" i="86"/>
  <c r="Z75" i="86"/>
  <c r="X75" i="86"/>
  <c r="N75" i="86"/>
  <c r="L75" i="86"/>
  <c r="R73" i="86"/>
  <c r="J73" i="86"/>
  <c r="T71" i="86"/>
  <c r="Z71" i="86" s="1"/>
  <c r="P71" i="86"/>
  <c r="L71" i="86"/>
  <c r="H71" i="86"/>
  <c r="N71" i="86" s="1"/>
  <c r="D71" i="86"/>
  <c r="Z69" i="86"/>
  <c r="X69" i="86"/>
  <c r="L69" i="86"/>
  <c r="N69" i="86" s="1"/>
  <c r="B69" i="86"/>
  <c r="V68" i="86"/>
  <c r="T68" i="86"/>
  <c r="P68" i="86"/>
  <c r="N68" i="86"/>
  <c r="H68" i="86"/>
  <c r="D68" i="86"/>
  <c r="L68" i="86" s="1"/>
  <c r="B68" i="86"/>
  <c r="X67" i="86"/>
  <c r="Z67" i="86" s="1"/>
  <c r="V67" i="86"/>
  <c r="L67" i="86"/>
  <c r="N67" i="86" s="1"/>
  <c r="F67" i="86"/>
  <c r="B67" i="86"/>
  <c r="Z66" i="86"/>
  <c r="X66" i="86"/>
  <c r="V66" i="86"/>
  <c r="N66" i="86"/>
  <c r="L66" i="86"/>
  <c r="B66" i="86"/>
  <c r="Z65" i="86"/>
  <c r="X65" i="86"/>
  <c r="N65" i="86"/>
  <c r="L65" i="86"/>
  <c r="B65" i="86"/>
  <c r="Z64" i="86"/>
  <c r="X64" i="86"/>
  <c r="V64" i="86"/>
  <c r="N64" i="86"/>
  <c r="L64" i="86"/>
  <c r="J64" i="86"/>
  <c r="B64" i="86"/>
  <c r="X63" i="86"/>
  <c r="Z63" i="86" s="1"/>
  <c r="V63" i="86"/>
  <c r="N63" i="86"/>
  <c r="L63" i="86"/>
  <c r="J63" i="86"/>
  <c r="B63" i="86"/>
  <c r="X62" i="86"/>
  <c r="Z62" i="86" s="1"/>
  <c r="L62" i="86"/>
  <c r="N62" i="86" s="1"/>
  <c r="J62" i="86"/>
  <c r="B62" i="86"/>
  <c r="X61" i="86"/>
  <c r="T61" i="86"/>
  <c r="Z61" i="86" s="1"/>
  <c r="P61" i="86"/>
  <c r="L61" i="86"/>
  <c r="H61" i="86"/>
  <c r="F61" i="86"/>
  <c r="D61" i="86"/>
  <c r="B61" i="86"/>
  <c r="Z60" i="86"/>
  <c r="X60" i="86"/>
  <c r="V60" i="86"/>
  <c r="L60" i="86"/>
  <c r="N60" i="86" s="1"/>
  <c r="B60" i="86"/>
  <c r="Z59" i="86"/>
  <c r="X59" i="86"/>
  <c r="N59" i="86"/>
  <c r="L59" i="86"/>
  <c r="B59" i="86"/>
  <c r="Z58" i="86"/>
  <c r="X58" i="86"/>
  <c r="N58" i="86"/>
  <c r="L58" i="86"/>
  <c r="B58" i="86"/>
  <c r="Z57" i="86"/>
  <c r="X57" i="86"/>
  <c r="V57" i="86"/>
  <c r="N57" i="86"/>
  <c r="L57" i="86"/>
  <c r="J57" i="86"/>
  <c r="B57" i="86"/>
  <c r="X56" i="86"/>
  <c r="T56" i="86"/>
  <c r="P56" i="86"/>
  <c r="H56" i="86"/>
  <c r="D56" i="86"/>
  <c r="B56" i="86"/>
  <c r="X55" i="86"/>
  <c r="Z55" i="86" s="1"/>
  <c r="N55" i="86"/>
  <c r="L55" i="86"/>
  <c r="B55" i="86"/>
  <c r="Z54" i="86"/>
  <c r="X54" i="86"/>
  <c r="N54" i="86"/>
  <c r="L54" i="86"/>
  <c r="B54" i="86"/>
  <c r="V53" i="86"/>
  <c r="T53" i="86"/>
  <c r="P53" i="86"/>
  <c r="X53" i="86" s="1"/>
  <c r="Z53" i="86" s="1"/>
  <c r="L53" i="86"/>
  <c r="N53" i="86" s="1"/>
  <c r="H53" i="86"/>
  <c r="D53" i="86"/>
  <c r="B53" i="86"/>
  <c r="X52" i="86"/>
  <c r="Z52" i="86" s="1"/>
  <c r="V52" i="86"/>
  <c r="L52" i="86"/>
  <c r="N52" i="86" s="1"/>
  <c r="B52" i="86"/>
  <c r="Z51" i="86"/>
  <c r="X51" i="86"/>
  <c r="T51" i="86"/>
  <c r="P51" i="86"/>
  <c r="J51" i="86"/>
  <c r="H51" i="86"/>
  <c r="D51" i="86"/>
  <c r="B51" i="86"/>
  <c r="Z50" i="86"/>
  <c r="X50" i="86"/>
  <c r="N50" i="86"/>
  <c r="L50" i="86"/>
  <c r="B50" i="86"/>
  <c r="V49" i="86"/>
  <c r="T49" i="86"/>
  <c r="P49" i="86"/>
  <c r="X49" i="86" s="1"/>
  <c r="H49" i="86"/>
  <c r="F49" i="86"/>
  <c r="D49" i="86"/>
  <c r="L49" i="86" s="1"/>
  <c r="N49" i="86" s="1"/>
  <c r="B49" i="86"/>
  <c r="Z48" i="86"/>
  <c r="X48" i="86"/>
  <c r="N48" i="86"/>
  <c r="L48" i="86"/>
  <c r="J48" i="86"/>
  <c r="B48" i="86"/>
  <c r="Z47" i="86"/>
  <c r="T47" i="86"/>
  <c r="P47" i="86"/>
  <c r="X47" i="86" s="1"/>
  <c r="L47" i="86"/>
  <c r="J47" i="86"/>
  <c r="H47" i="86"/>
  <c r="N47" i="86" s="1"/>
  <c r="D47" i="86"/>
  <c r="B47" i="86"/>
  <c r="Z46" i="86"/>
  <c r="X46" i="86"/>
  <c r="N46" i="86"/>
  <c r="L46" i="86"/>
  <c r="F46" i="86"/>
  <c r="B46" i="86"/>
  <c r="V45" i="86"/>
  <c r="T45" i="86"/>
  <c r="P45" i="86"/>
  <c r="X45" i="86" s="1"/>
  <c r="L45" i="86"/>
  <c r="N45" i="86" s="1"/>
  <c r="H45" i="86"/>
  <c r="F45" i="86"/>
  <c r="D45" i="86"/>
  <c r="B45" i="86"/>
  <c r="X44" i="86"/>
  <c r="Z44" i="86" s="1"/>
  <c r="V44" i="86"/>
  <c r="L44" i="86"/>
  <c r="N44" i="86" s="1"/>
  <c r="B44" i="86"/>
  <c r="X43" i="86"/>
  <c r="Z43" i="86" s="1"/>
  <c r="T43" i="86"/>
  <c r="P43" i="86"/>
  <c r="J43" i="86"/>
  <c r="H43" i="86"/>
  <c r="D43" i="86"/>
  <c r="L43" i="86" s="1"/>
  <c r="B43" i="86"/>
  <c r="Z42" i="86"/>
  <c r="X42" i="86"/>
  <c r="N42" i="86"/>
  <c r="L42" i="86"/>
  <c r="B42" i="86"/>
  <c r="V41" i="86"/>
  <c r="T41" i="86"/>
  <c r="P41" i="86"/>
  <c r="X41" i="86" s="1"/>
  <c r="N41" i="86"/>
  <c r="H41" i="86"/>
  <c r="D41" i="86"/>
  <c r="L41" i="86" s="1"/>
  <c r="B41" i="86"/>
  <c r="Z40" i="86"/>
  <c r="X40" i="86"/>
  <c r="N40" i="86"/>
  <c r="L40" i="86"/>
  <c r="J40" i="86"/>
  <c r="B40" i="86"/>
  <c r="Z39" i="86"/>
  <c r="X39" i="86"/>
  <c r="N39" i="86"/>
  <c r="L39" i="86"/>
  <c r="B39" i="86"/>
  <c r="Z38" i="86"/>
  <c r="X38" i="86"/>
  <c r="N38" i="86"/>
  <c r="L38" i="86"/>
  <c r="B38" i="86"/>
  <c r="Z37" i="86"/>
  <c r="X37" i="86"/>
  <c r="V37" i="86"/>
  <c r="N37" i="86"/>
  <c r="L37" i="86"/>
  <c r="J37" i="86"/>
  <c r="B37" i="86"/>
  <c r="Z36" i="86"/>
  <c r="X36" i="86"/>
  <c r="V36" i="86"/>
  <c r="N36" i="86"/>
  <c r="L36" i="86"/>
  <c r="B36" i="86"/>
  <c r="Z35" i="86"/>
  <c r="X35" i="86"/>
  <c r="N35" i="86"/>
  <c r="L35" i="86"/>
  <c r="B35" i="86"/>
  <c r="Z34" i="86"/>
  <c r="X34" i="86"/>
  <c r="V34" i="86"/>
  <c r="L34" i="86"/>
  <c r="N34" i="86" s="1"/>
  <c r="F34" i="86"/>
  <c r="B34" i="86"/>
  <c r="Z33" i="86"/>
  <c r="X33" i="86"/>
  <c r="V33" i="86"/>
  <c r="N33" i="86"/>
  <c r="L33" i="86"/>
  <c r="J33" i="86"/>
  <c r="F33" i="86"/>
  <c r="B33" i="86"/>
  <c r="X32" i="86"/>
  <c r="Z32" i="86" s="1"/>
  <c r="L32" i="86"/>
  <c r="N32" i="86" s="1"/>
  <c r="J32" i="86"/>
  <c r="B32" i="86"/>
  <c r="Z31" i="86"/>
  <c r="X31" i="86"/>
  <c r="N31" i="86"/>
  <c r="L31" i="86"/>
  <c r="B31" i="86"/>
  <c r="T30" i="86"/>
  <c r="P30" i="86"/>
  <c r="H30" i="86"/>
  <c r="D30" i="86"/>
  <c r="L30" i="86" s="1"/>
  <c r="N30" i="86" s="1"/>
  <c r="B30" i="86"/>
  <c r="Z29" i="86"/>
  <c r="X29" i="86"/>
  <c r="V29" i="86"/>
  <c r="N29" i="86"/>
  <c r="L29" i="86"/>
  <c r="J29" i="86"/>
  <c r="F29" i="86"/>
  <c r="B29" i="86"/>
  <c r="X28" i="86"/>
  <c r="Z28" i="86" s="1"/>
  <c r="L28" i="86"/>
  <c r="N28" i="86" s="1"/>
  <c r="J28" i="86"/>
  <c r="B28" i="86"/>
  <c r="Z27" i="86"/>
  <c r="X27" i="86"/>
  <c r="N27" i="86"/>
  <c r="L27" i="86"/>
  <c r="B27" i="86"/>
  <c r="Z26" i="86"/>
  <c r="X26" i="86"/>
  <c r="N26" i="86"/>
  <c r="L26" i="86"/>
  <c r="F26" i="86"/>
  <c r="B26" i="86"/>
  <c r="Z25" i="86"/>
  <c r="X25" i="86"/>
  <c r="V25" i="86"/>
  <c r="N25" i="86"/>
  <c r="L25" i="86"/>
  <c r="J25" i="86"/>
  <c r="B25" i="86"/>
  <c r="X24" i="86"/>
  <c r="Z24" i="86" s="1"/>
  <c r="V24" i="86"/>
  <c r="L24" i="86"/>
  <c r="N24" i="86" s="1"/>
  <c r="B24" i="86"/>
  <c r="X23" i="86"/>
  <c r="Z23" i="86" s="1"/>
  <c r="N23" i="86"/>
  <c r="L23" i="86"/>
  <c r="B23" i="86"/>
  <c r="Z22" i="86"/>
  <c r="X22" i="86"/>
  <c r="V22" i="86"/>
  <c r="N22" i="86"/>
  <c r="L22" i="86"/>
  <c r="F22" i="86"/>
  <c r="B22" i="86"/>
  <c r="X21" i="86"/>
  <c r="Z21" i="86" s="1"/>
  <c r="V21" i="86"/>
  <c r="L21" i="86"/>
  <c r="N21" i="86" s="1"/>
  <c r="J21" i="86"/>
  <c r="F21" i="86"/>
  <c r="B21" i="86"/>
  <c r="X20" i="86"/>
  <c r="Z20" i="86" s="1"/>
  <c r="L20" i="86"/>
  <c r="N20" i="86" s="1"/>
  <c r="J20" i="86"/>
  <c r="B20" i="86"/>
  <c r="T19" i="86"/>
  <c r="R19" i="86"/>
  <c r="P19" i="86"/>
  <c r="X19" i="86" s="1"/>
  <c r="Z19" i="86" s="1"/>
  <c r="L19" i="86"/>
  <c r="J19" i="86"/>
  <c r="H19" i="86"/>
  <c r="N19" i="86" s="1"/>
  <c r="D19" i="86"/>
  <c r="B19" i="86"/>
  <c r="V18" i="86"/>
  <c r="T18" i="86"/>
  <c r="P18" i="86"/>
  <c r="J18" i="86"/>
  <c r="H18" i="86"/>
  <c r="D18" i="86"/>
  <c r="L18" i="86" s="1"/>
  <c r="T16" i="86"/>
  <c r="Z16" i="86" s="1"/>
  <c r="R16" i="86"/>
  <c r="Z14" i="86"/>
  <c r="V14" i="86"/>
  <c r="T14" i="86"/>
  <c r="P14" i="86"/>
  <c r="X14" i="86" s="1"/>
  <c r="J14" i="86"/>
  <c r="H14" i="86"/>
  <c r="N14" i="86" s="1"/>
  <c r="D14" i="86"/>
  <c r="D16" i="86" s="1"/>
  <c r="T12" i="86"/>
  <c r="P12" i="86"/>
  <c r="R46" i="86" s="1"/>
  <c r="N12" i="86"/>
  <c r="H12" i="86"/>
  <c r="J77" i="86" s="1"/>
  <c r="D12" i="86"/>
  <c r="D6" i="86"/>
  <c r="D4" i="86"/>
  <c r="Z56" i="85"/>
  <c r="X56" i="85"/>
  <c r="N56" i="85"/>
  <c r="L56" i="85"/>
  <c r="V54" i="85"/>
  <c r="Z52" i="85"/>
  <c r="T52" i="85"/>
  <c r="P52" i="85"/>
  <c r="X52" i="85" s="1"/>
  <c r="N52" i="85"/>
  <c r="H52" i="85"/>
  <c r="D52" i="85"/>
  <c r="X50" i="85"/>
  <c r="Z50" i="85" s="1"/>
  <c r="L50" i="85"/>
  <c r="N50" i="85" s="1"/>
  <c r="B50" i="85"/>
  <c r="Z49" i="85"/>
  <c r="X49" i="85"/>
  <c r="T49" i="85"/>
  <c r="P49" i="85"/>
  <c r="H49" i="85"/>
  <c r="D49" i="85"/>
  <c r="B49" i="85"/>
  <c r="X48" i="85"/>
  <c r="Z48" i="85" s="1"/>
  <c r="N48" i="85"/>
  <c r="L48" i="85"/>
  <c r="B48" i="85"/>
  <c r="X47" i="85"/>
  <c r="Z47" i="85" s="1"/>
  <c r="L47" i="85"/>
  <c r="N47" i="85" s="1"/>
  <c r="B47" i="85"/>
  <c r="T46" i="85"/>
  <c r="R46" i="85"/>
  <c r="P46" i="85"/>
  <c r="X46" i="85" s="1"/>
  <c r="H46" i="85"/>
  <c r="D46" i="85"/>
  <c r="B46" i="85"/>
  <c r="Z45" i="85"/>
  <c r="X45" i="85"/>
  <c r="N45" i="85"/>
  <c r="L45" i="85"/>
  <c r="B45" i="85"/>
  <c r="T44" i="85"/>
  <c r="P44" i="85"/>
  <c r="X44" i="85" s="1"/>
  <c r="L44" i="85"/>
  <c r="N44" i="85" s="1"/>
  <c r="H44" i="85"/>
  <c r="D44" i="85"/>
  <c r="B44" i="85"/>
  <c r="X43" i="85"/>
  <c r="Z43" i="85" s="1"/>
  <c r="N43" i="85"/>
  <c r="L43" i="85"/>
  <c r="J43" i="85"/>
  <c r="B43" i="85"/>
  <c r="T42" i="85"/>
  <c r="P42" i="85"/>
  <c r="X42" i="85" s="1"/>
  <c r="Z42" i="85" s="1"/>
  <c r="N42" i="85"/>
  <c r="J42" i="85"/>
  <c r="H42" i="85"/>
  <c r="D42" i="85"/>
  <c r="L42" i="85" s="1"/>
  <c r="B42" i="85"/>
  <c r="X41" i="85"/>
  <c r="Z41" i="85" s="1"/>
  <c r="N41" i="85"/>
  <c r="L41" i="85"/>
  <c r="B41" i="85"/>
  <c r="Z40" i="85"/>
  <c r="T40" i="85"/>
  <c r="P40" i="85"/>
  <c r="X40" i="85" s="1"/>
  <c r="J40" i="85"/>
  <c r="H40" i="85"/>
  <c r="D40" i="85"/>
  <c r="L40" i="85" s="1"/>
  <c r="B40" i="85"/>
  <c r="Z39" i="85"/>
  <c r="X39" i="85"/>
  <c r="N39" i="85"/>
  <c r="L39" i="85"/>
  <c r="B39" i="85"/>
  <c r="Z38" i="85"/>
  <c r="X38" i="85"/>
  <c r="V38" i="85"/>
  <c r="N38" i="85"/>
  <c r="L38" i="85"/>
  <c r="B38" i="85"/>
  <c r="Z37" i="85"/>
  <c r="X37" i="85"/>
  <c r="N37" i="85"/>
  <c r="L37" i="85"/>
  <c r="B37" i="85"/>
  <c r="Z36" i="85"/>
  <c r="X36" i="85"/>
  <c r="N36" i="85"/>
  <c r="L36" i="85"/>
  <c r="B36" i="85"/>
  <c r="Z35" i="85"/>
  <c r="X35" i="85"/>
  <c r="N35" i="85"/>
  <c r="L35" i="85"/>
  <c r="F35" i="85"/>
  <c r="B35" i="85"/>
  <c r="Z34" i="85"/>
  <c r="X34" i="85"/>
  <c r="N34" i="85"/>
  <c r="L34" i="85"/>
  <c r="J34" i="85"/>
  <c r="F34" i="85"/>
  <c r="B34" i="85"/>
  <c r="Z33" i="85"/>
  <c r="X33" i="85"/>
  <c r="N33" i="85"/>
  <c r="L33" i="85"/>
  <c r="J33" i="85"/>
  <c r="B33" i="85"/>
  <c r="Z32" i="85"/>
  <c r="X32" i="85"/>
  <c r="N32" i="85"/>
  <c r="L32" i="85"/>
  <c r="B32" i="85"/>
  <c r="X31" i="85"/>
  <c r="Z31" i="85" s="1"/>
  <c r="N31" i="85"/>
  <c r="L31" i="85"/>
  <c r="B31" i="85"/>
  <c r="Z30" i="85"/>
  <c r="X30" i="85"/>
  <c r="R30" i="85"/>
  <c r="N30" i="85"/>
  <c r="L30" i="85"/>
  <c r="B30" i="85"/>
  <c r="X29" i="85"/>
  <c r="T29" i="85"/>
  <c r="Z29" i="85" s="1"/>
  <c r="P29" i="85"/>
  <c r="H29" i="85"/>
  <c r="F29" i="85"/>
  <c r="D29" i="85"/>
  <c r="B29" i="85"/>
  <c r="Z28" i="85"/>
  <c r="X28" i="85"/>
  <c r="N28" i="85"/>
  <c r="L28" i="85"/>
  <c r="F28" i="85"/>
  <c r="B28" i="85"/>
  <c r="X27" i="85"/>
  <c r="Z27" i="85" s="1"/>
  <c r="N27" i="85"/>
  <c r="L27" i="85"/>
  <c r="J27" i="85"/>
  <c r="B27" i="85"/>
  <c r="Z26" i="85"/>
  <c r="X26" i="85"/>
  <c r="L26" i="85"/>
  <c r="N26" i="85" s="1"/>
  <c r="B26" i="85"/>
  <c r="Z25" i="85"/>
  <c r="X25" i="85"/>
  <c r="V25" i="85"/>
  <c r="N25" i="85"/>
  <c r="L25" i="85"/>
  <c r="B25" i="85"/>
  <c r="X24" i="85"/>
  <c r="Z24" i="85" s="1"/>
  <c r="R24" i="85"/>
  <c r="N24" i="85"/>
  <c r="L24" i="85"/>
  <c r="B24" i="85"/>
  <c r="Z23" i="85"/>
  <c r="X23" i="85"/>
  <c r="L23" i="85"/>
  <c r="N23" i="85" s="1"/>
  <c r="F23" i="85"/>
  <c r="B23" i="85"/>
  <c r="X22" i="85"/>
  <c r="Z22" i="85" s="1"/>
  <c r="N22" i="85"/>
  <c r="L22" i="85"/>
  <c r="J22" i="85"/>
  <c r="F22" i="85"/>
  <c r="B22" i="85"/>
  <c r="Z21" i="85"/>
  <c r="X21" i="85"/>
  <c r="L21" i="85"/>
  <c r="N21" i="85" s="1"/>
  <c r="J21" i="85"/>
  <c r="B21" i="85"/>
  <c r="Z20" i="85"/>
  <c r="X20" i="85"/>
  <c r="L20" i="85"/>
  <c r="N20" i="85" s="1"/>
  <c r="J20" i="85"/>
  <c r="F20" i="85"/>
  <c r="B20" i="85"/>
  <c r="T19" i="85"/>
  <c r="P19" i="85"/>
  <c r="N19" i="85"/>
  <c r="H19" i="85"/>
  <c r="D19" i="85"/>
  <c r="L19" i="85" s="1"/>
  <c r="B19" i="85"/>
  <c r="T18" i="85"/>
  <c r="P18" i="85"/>
  <c r="X18" i="85" s="1"/>
  <c r="Z18" i="85" s="1"/>
  <c r="J18" i="85"/>
  <c r="H18" i="85"/>
  <c r="D18" i="85"/>
  <c r="L18" i="85" s="1"/>
  <c r="J16" i="85"/>
  <c r="F16" i="85"/>
  <c r="D16" i="85"/>
  <c r="Z14" i="85"/>
  <c r="X14" i="85"/>
  <c r="T14" i="85"/>
  <c r="P14" i="85"/>
  <c r="J14" i="85"/>
  <c r="H14" i="85"/>
  <c r="D14" i="85"/>
  <c r="T12" i="85"/>
  <c r="P12" i="85"/>
  <c r="R39" i="85" s="1"/>
  <c r="N12" i="85"/>
  <c r="L12" i="85"/>
  <c r="H12" i="85"/>
  <c r="J49" i="85" s="1"/>
  <c r="D12" i="85"/>
  <c r="F61" i="85" s="1"/>
  <c r="D6" i="85"/>
  <c r="D4" i="85"/>
  <c r="J34" i="84"/>
  <c r="R31" i="84"/>
  <c r="Z29" i="84"/>
  <c r="X29" i="84"/>
  <c r="R29" i="84"/>
  <c r="N29" i="84"/>
  <c r="L29" i="84"/>
  <c r="J27" i="84"/>
  <c r="T25" i="84"/>
  <c r="Z25" i="84" s="1"/>
  <c r="R25" i="84"/>
  <c r="P25" i="84"/>
  <c r="X25" i="84" s="1"/>
  <c r="N25" i="84"/>
  <c r="L25" i="84"/>
  <c r="H25" i="84"/>
  <c r="D25" i="84"/>
  <c r="Z23" i="84"/>
  <c r="X23" i="84"/>
  <c r="R23" i="84"/>
  <c r="N23" i="84"/>
  <c r="L23" i="84"/>
  <c r="B23" i="84"/>
  <c r="Z22" i="84"/>
  <c r="X22" i="84"/>
  <c r="V22" i="84"/>
  <c r="T22" i="84"/>
  <c r="P22" i="84"/>
  <c r="N22" i="84"/>
  <c r="L22" i="84"/>
  <c r="J22" i="84"/>
  <c r="H22" i="84"/>
  <c r="F22" i="84"/>
  <c r="D22" i="84"/>
  <c r="B22" i="84"/>
  <c r="X21" i="84"/>
  <c r="Z21" i="84" s="1"/>
  <c r="V21" i="84"/>
  <c r="R21" i="84"/>
  <c r="L21" i="84"/>
  <c r="N21" i="84" s="1"/>
  <c r="B21" i="84"/>
  <c r="X20" i="84"/>
  <c r="V20" i="84"/>
  <c r="T20" i="84"/>
  <c r="R20" i="84"/>
  <c r="P20" i="84"/>
  <c r="H20" i="84"/>
  <c r="F20" i="84"/>
  <c r="D20" i="84"/>
  <c r="L20" i="84" s="1"/>
  <c r="B20" i="84"/>
  <c r="T19" i="84"/>
  <c r="R19" i="84"/>
  <c r="P19" i="84"/>
  <c r="H19" i="84"/>
  <c r="H27" i="84" s="1"/>
  <c r="D19" i="84"/>
  <c r="Z17" i="84"/>
  <c r="T17" i="84"/>
  <c r="J17" i="84"/>
  <c r="H17" i="84"/>
  <c r="N17" i="84" s="1"/>
  <c r="D17" i="84"/>
  <c r="Z15" i="84"/>
  <c r="X15" i="84"/>
  <c r="N15" i="84"/>
  <c r="L15" i="84"/>
  <c r="F15" i="84"/>
  <c r="B15" i="84"/>
  <c r="T14" i="84"/>
  <c r="Z14" i="84" s="1"/>
  <c r="R14" i="84"/>
  <c r="P14" i="84"/>
  <c r="N14" i="84"/>
  <c r="H14" i="84"/>
  <c r="D14" i="84"/>
  <c r="L14" i="84" s="1"/>
  <c r="Z12" i="84"/>
  <c r="T12" i="84"/>
  <c r="P12" i="84"/>
  <c r="R34" i="84" s="1"/>
  <c r="H12" i="84"/>
  <c r="J15" i="84" s="1"/>
  <c r="D12" i="84"/>
  <c r="D6" i="84"/>
  <c r="D4" i="84"/>
  <c r="V30" i="83"/>
  <c r="R30" i="83"/>
  <c r="F30" i="83"/>
  <c r="Z28" i="83"/>
  <c r="X28" i="83"/>
  <c r="N28" i="83"/>
  <c r="L28" i="83"/>
  <c r="X24" i="83"/>
  <c r="V24" i="83"/>
  <c r="T24" i="83"/>
  <c r="Z24" i="83" s="1"/>
  <c r="R24" i="83"/>
  <c r="P24" i="83"/>
  <c r="H24" i="83"/>
  <c r="N24" i="83" s="1"/>
  <c r="F24" i="83"/>
  <c r="D24" i="83"/>
  <c r="Z22" i="83"/>
  <c r="X22" i="83"/>
  <c r="N22" i="83"/>
  <c r="L22" i="83"/>
  <c r="J22" i="83"/>
  <c r="B22" i="83"/>
  <c r="T21" i="83"/>
  <c r="Z21" i="83" s="1"/>
  <c r="R21" i="83"/>
  <c r="P21" i="83"/>
  <c r="X21" i="83" s="1"/>
  <c r="N21" i="83"/>
  <c r="L21" i="83"/>
  <c r="H21" i="83"/>
  <c r="D21" i="83"/>
  <c r="B21" i="83"/>
  <c r="Z20" i="83"/>
  <c r="X20" i="83"/>
  <c r="V20" i="83"/>
  <c r="L20" i="83"/>
  <c r="N20" i="83" s="1"/>
  <c r="F20" i="83"/>
  <c r="B20" i="83"/>
  <c r="X19" i="83"/>
  <c r="T19" i="83"/>
  <c r="P19" i="83"/>
  <c r="H19" i="83"/>
  <c r="L19" i="83" s="1"/>
  <c r="N19" i="83" s="1"/>
  <c r="D19" i="83"/>
  <c r="B19" i="83"/>
  <c r="V18" i="83"/>
  <c r="T18" i="83"/>
  <c r="R18" i="83"/>
  <c r="P18" i="83"/>
  <c r="X18" i="83" s="1"/>
  <c r="H18" i="83"/>
  <c r="F18" i="83"/>
  <c r="D18" i="83"/>
  <c r="P16" i="83"/>
  <c r="X14" i="83"/>
  <c r="V14" i="83"/>
  <c r="T14" i="83"/>
  <c r="Z14" i="83" s="1"/>
  <c r="R14" i="83"/>
  <c r="P14" i="83"/>
  <c r="H14" i="83"/>
  <c r="N14" i="83" s="1"/>
  <c r="F14" i="83"/>
  <c r="D14" i="83"/>
  <c r="Z12" i="83"/>
  <c r="X12" i="83"/>
  <c r="T12" i="83"/>
  <c r="V19" i="83" s="1"/>
  <c r="P12" i="83"/>
  <c r="R20" i="83" s="1"/>
  <c r="L12" i="83"/>
  <c r="H12" i="83"/>
  <c r="J26" i="83" s="1"/>
  <c r="D12" i="83"/>
  <c r="F28" i="83" s="1"/>
  <c r="D6" i="83"/>
  <c r="D4" i="83"/>
  <c r="R55" i="82"/>
  <c r="V52" i="82"/>
  <c r="Z50" i="82"/>
  <c r="X50" i="82"/>
  <c r="R50" i="82"/>
  <c r="N50" i="82"/>
  <c r="L50" i="82"/>
  <c r="Z46" i="82"/>
  <c r="X46" i="82"/>
  <c r="V46" i="82"/>
  <c r="T46" i="82"/>
  <c r="P46" i="82"/>
  <c r="L46" i="82"/>
  <c r="H46" i="82"/>
  <c r="N46" i="82" s="1"/>
  <c r="F46" i="82"/>
  <c r="D46" i="82"/>
  <c r="Z44" i="82"/>
  <c r="X44" i="82"/>
  <c r="N44" i="82"/>
  <c r="L44" i="82"/>
  <c r="B44" i="82"/>
  <c r="V43" i="82"/>
  <c r="T43" i="82"/>
  <c r="Z43" i="82" s="1"/>
  <c r="P43" i="82"/>
  <c r="H43" i="82"/>
  <c r="N43" i="82" s="1"/>
  <c r="D43" i="82"/>
  <c r="L43" i="82" s="1"/>
  <c r="B43" i="82"/>
  <c r="Z42" i="82"/>
  <c r="X42" i="82"/>
  <c r="N42" i="82"/>
  <c r="L42" i="82"/>
  <c r="B42" i="82"/>
  <c r="T41" i="82"/>
  <c r="Z41" i="82" s="1"/>
  <c r="P41" i="82"/>
  <c r="X41" i="82" s="1"/>
  <c r="L41" i="82"/>
  <c r="H41" i="82"/>
  <c r="N41" i="82" s="1"/>
  <c r="D41" i="82"/>
  <c r="B41" i="82"/>
  <c r="Z40" i="82"/>
  <c r="X40" i="82"/>
  <c r="V40" i="82"/>
  <c r="N40" i="82"/>
  <c r="L40" i="82"/>
  <c r="B40" i="82"/>
  <c r="X39" i="82"/>
  <c r="T39" i="82"/>
  <c r="Z39" i="82" s="1"/>
  <c r="P39" i="82"/>
  <c r="L39" i="82"/>
  <c r="H39" i="82"/>
  <c r="N39" i="82" s="1"/>
  <c r="D39" i="82"/>
  <c r="B39" i="82"/>
  <c r="Z38" i="82"/>
  <c r="X38" i="82"/>
  <c r="V38" i="82"/>
  <c r="N38" i="82"/>
  <c r="L38" i="82"/>
  <c r="B38" i="82"/>
  <c r="Z37" i="82"/>
  <c r="X37" i="82"/>
  <c r="N37" i="82"/>
  <c r="L37" i="82"/>
  <c r="B37" i="82"/>
  <c r="Z36" i="82"/>
  <c r="X36" i="82"/>
  <c r="V36" i="82"/>
  <c r="N36" i="82"/>
  <c r="L36" i="82"/>
  <c r="B36" i="82"/>
  <c r="Z35" i="82"/>
  <c r="X35" i="82"/>
  <c r="N35" i="82"/>
  <c r="L35" i="82"/>
  <c r="F35" i="82"/>
  <c r="B35" i="82"/>
  <c r="Z34" i="82"/>
  <c r="X34" i="82"/>
  <c r="N34" i="82"/>
  <c r="L34" i="82"/>
  <c r="B34" i="82"/>
  <c r="Z33" i="82"/>
  <c r="X33" i="82"/>
  <c r="R33" i="82"/>
  <c r="N33" i="82"/>
  <c r="L33" i="82"/>
  <c r="B33" i="82"/>
  <c r="Z32" i="82"/>
  <c r="X32" i="82"/>
  <c r="V32" i="82"/>
  <c r="R32" i="82"/>
  <c r="N32" i="82"/>
  <c r="L32" i="82"/>
  <c r="B32" i="82"/>
  <c r="Z31" i="82"/>
  <c r="X31" i="82"/>
  <c r="V31" i="82"/>
  <c r="R31" i="82"/>
  <c r="N31" i="82"/>
  <c r="L31" i="82"/>
  <c r="B31" i="82"/>
  <c r="Z30" i="82"/>
  <c r="X30" i="82"/>
  <c r="V30" i="82"/>
  <c r="N30" i="82"/>
  <c r="L30" i="82"/>
  <c r="B30" i="82"/>
  <c r="Z29" i="82"/>
  <c r="X29" i="82"/>
  <c r="N29" i="82"/>
  <c r="L29" i="82"/>
  <c r="B29" i="82"/>
  <c r="Z28" i="82"/>
  <c r="V28" i="82"/>
  <c r="T28" i="82"/>
  <c r="P28" i="82"/>
  <c r="X28" i="82" s="1"/>
  <c r="N28" i="82"/>
  <c r="L28" i="82"/>
  <c r="H28" i="82"/>
  <c r="D28" i="82"/>
  <c r="B28" i="82"/>
  <c r="Z27" i="82"/>
  <c r="X27" i="82"/>
  <c r="V27" i="82"/>
  <c r="N27" i="82"/>
  <c r="L27" i="82"/>
  <c r="B27" i="82"/>
  <c r="Z26" i="82"/>
  <c r="X26" i="82"/>
  <c r="V26" i="82"/>
  <c r="N26" i="82"/>
  <c r="L26" i="82"/>
  <c r="B26" i="82"/>
  <c r="Z25" i="82"/>
  <c r="X25" i="82"/>
  <c r="R25" i="82"/>
  <c r="N25" i="82"/>
  <c r="L25" i="82"/>
  <c r="F25" i="82"/>
  <c r="B25" i="82"/>
  <c r="Z24" i="82"/>
  <c r="X24" i="82"/>
  <c r="V24" i="82"/>
  <c r="N24" i="82"/>
  <c r="L24" i="82"/>
  <c r="F24" i="82"/>
  <c r="B24" i="82"/>
  <c r="Z23" i="82"/>
  <c r="X23" i="82"/>
  <c r="N23" i="82"/>
  <c r="L23" i="82"/>
  <c r="B23" i="82"/>
  <c r="Z22" i="82"/>
  <c r="X22" i="82"/>
  <c r="R22" i="82"/>
  <c r="N22" i="82"/>
  <c r="L22" i="82"/>
  <c r="B22" i="82"/>
  <c r="Z21" i="82"/>
  <c r="X21" i="82"/>
  <c r="V21" i="82"/>
  <c r="R21" i="82"/>
  <c r="N21" i="82"/>
  <c r="L21" i="82"/>
  <c r="F21" i="82"/>
  <c r="B21" i="82"/>
  <c r="Z20" i="82"/>
  <c r="X20" i="82"/>
  <c r="V20" i="82"/>
  <c r="R20" i="82"/>
  <c r="N20" i="82"/>
  <c r="L20" i="82"/>
  <c r="B20" i="82"/>
  <c r="Z19" i="82"/>
  <c r="V19" i="82"/>
  <c r="T19" i="82"/>
  <c r="P19" i="82"/>
  <c r="X19" i="82" s="1"/>
  <c r="L19" i="82"/>
  <c r="H19" i="82"/>
  <c r="N19" i="82" s="1"/>
  <c r="D19" i="82"/>
  <c r="B19" i="82"/>
  <c r="Z18" i="82"/>
  <c r="V18" i="82"/>
  <c r="T18" i="82"/>
  <c r="R18" i="82"/>
  <c r="P18" i="82"/>
  <c r="X18" i="82" s="1"/>
  <c r="J18" i="82"/>
  <c r="H18" i="82"/>
  <c r="N18" i="82" s="1"/>
  <c r="F18" i="82"/>
  <c r="D18" i="82"/>
  <c r="L18" i="82" s="1"/>
  <c r="R16" i="82"/>
  <c r="Z14" i="82"/>
  <c r="V14" i="82"/>
  <c r="T14" i="82"/>
  <c r="T16" i="82" s="1"/>
  <c r="R14" i="82"/>
  <c r="P14" i="82"/>
  <c r="X14" i="82" s="1"/>
  <c r="H14" i="82"/>
  <c r="N14" i="82" s="1"/>
  <c r="F14" i="82"/>
  <c r="D14" i="82"/>
  <c r="L14" i="82" s="1"/>
  <c r="Z12" i="82"/>
  <c r="X12" i="82"/>
  <c r="T12" i="82"/>
  <c r="P12" i="82"/>
  <c r="R41" i="82" s="1"/>
  <c r="H12" i="82"/>
  <c r="D12" i="82"/>
  <c r="F40" i="82" s="1"/>
  <c r="D6" i="82"/>
  <c r="D4" i="82"/>
  <c r="X82" i="81"/>
  <c r="Z82" i="81" s="1"/>
  <c r="V82" i="81"/>
  <c r="N82" i="81"/>
  <c r="L82" i="81"/>
  <c r="Z78" i="81"/>
  <c r="X78" i="81"/>
  <c r="V78" i="81"/>
  <c r="T78" i="81"/>
  <c r="P78" i="81"/>
  <c r="N78" i="81"/>
  <c r="H78" i="81"/>
  <c r="D78" i="81"/>
  <c r="L78" i="81" s="1"/>
  <c r="X76" i="81"/>
  <c r="Z76" i="81" s="1"/>
  <c r="V76" i="81"/>
  <c r="N76" i="81"/>
  <c r="L76" i="81"/>
  <c r="B76" i="81"/>
  <c r="T75" i="81"/>
  <c r="P75" i="81"/>
  <c r="H75" i="81"/>
  <c r="D75" i="81"/>
  <c r="B75" i="81"/>
  <c r="Z74" i="81"/>
  <c r="X74" i="81"/>
  <c r="N74" i="81"/>
  <c r="L74" i="81"/>
  <c r="B74" i="81"/>
  <c r="T73" i="81"/>
  <c r="P73" i="81"/>
  <c r="X73" i="81" s="1"/>
  <c r="H73" i="81"/>
  <c r="D73" i="81"/>
  <c r="L73" i="81" s="1"/>
  <c r="N73" i="81" s="1"/>
  <c r="B73" i="81"/>
  <c r="X72" i="81"/>
  <c r="Z72" i="81" s="1"/>
  <c r="V72" i="81"/>
  <c r="L72" i="81"/>
  <c r="N72" i="81" s="1"/>
  <c r="J72" i="81"/>
  <c r="B72" i="81"/>
  <c r="Z71" i="81"/>
  <c r="X71" i="81"/>
  <c r="L71" i="81"/>
  <c r="N71" i="81" s="1"/>
  <c r="B71" i="81"/>
  <c r="Z70" i="81"/>
  <c r="X70" i="81"/>
  <c r="T70" i="81"/>
  <c r="P70" i="81"/>
  <c r="L70" i="81"/>
  <c r="N70" i="81" s="1"/>
  <c r="H70" i="81"/>
  <c r="D70" i="81"/>
  <c r="B70" i="81"/>
  <c r="X69" i="81"/>
  <c r="Z69" i="81" s="1"/>
  <c r="V69" i="81"/>
  <c r="N69" i="81"/>
  <c r="L69" i="81"/>
  <c r="B69" i="81"/>
  <c r="X68" i="81"/>
  <c r="Z68" i="81" s="1"/>
  <c r="V68" i="81"/>
  <c r="L68" i="81"/>
  <c r="N68" i="81" s="1"/>
  <c r="B68" i="81"/>
  <c r="Z67" i="81"/>
  <c r="X67" i="81"/>
  <c r="L67" i="81"/>
  <c r="N67" i="81" s="1"/>
  <c r="F67" i="81"/>
  <c r="B67" i="81"/>
  <c r="Z66" i="81"/>
  <c r="X66" i="81"/>
  <c r="N66" i="81"/>
  <c r="L66" i="81"/>
  <c r="J66" i="81"/>
  <c r="B66" i="81"/>
  <c r="Z65" i="81"/>
  <c r="X65" i="81"/>
  <c r="N65" i="81"/>
  <c r="L65" i="81"/>
  <c r="J65" i="81"/>
  <c r="B65" i="81"/>
  <c r="X64" i="81"/>
  <c r="Z64" i="81" s="1"/>
  <c r="V64" i="81"/>
  <c r="L64" i="81"/>
  <c r="N64" i="81" s="1"/>
  <c r="B64" i="81"/>
  <c r="X63" i="81"/>
  <c r="Z63" i="81" s="1"/>
  <c r="L63" i="81"/>
  <c r="N63" i="81" s="1"/>
  <c r="B63" i="81"/>
  <c r="Z62" i="81"/>
  <c r="X62" i="81"/>
  <c r="V62" i="81"/>
  <c r="N62" i="81"/>
  <c r="L62" i="81"/>
  <c r="B62" i="81"/>
  <c r="T61" i="81"/>
  <c r="P61" i="81"/>
  <c r="H61" i="81"/>
  <c r="D61" i="81"/>
  <c r="L61" i="81" s="1"/>
  <c r="B61" i="81"/>
  <c r="X60" i="81"/>
  <c r="Z60" i="81" s="1"/>
  <c r="V60" i="81"/>
  <c r="N60" i="81"/>
  <c r="L60" i="81"/>
  <c r="J60" i="81"/>
  <c r="B60" i="81"/>
  <c r="Z59" i="81"/>
  <c r="X59" i="81"/>
  <c r="N59" i="81"/>
  <c r="L59" i="81"/>
  <c r="B59" i="81"/>
  <c r="Z58" i="81"/>
  <c r="X58" i="81"/>
  <c r="V58" i="81"/>
  <c r="N58" i="81"/>
  <c r="L58" i="81"/>
  <c r="B58" i="81"/>
  <c r="X57" i="81"/>
  <c r="V57" i="81"/>
  <c r="T57" i="81"/>
  <c r="P57" i="81"/>
  <c r="H57" i="81"/>
  <c r="D57" i="81"/>
  <c r="L57" i="81" s="1"/>
  <c r="B57" i="81"/>
  <c r="X56" i="81"/>
  <c r="Z56" i="81" s="1"/>
  <c r="V56" i="81"/>
  <c r="N56" i="81"/>
  <c r="L56" i="81"/>
  <c r="B56" i="81"/>
  <c r="X55" i="81"/>
  <c r="Z55" i="81" s="1"/>
  <c r="N55" i="81"/>
  <c r="L55" i="81"/>
  <c r="B55" i="81"/>
  <c r="T54" i="81"/>
  <c r="P54" i="81"/>
  <c r="J54" i="81"/>
  <c r="H54" i="81"/>
  <c r="N54" i="81" s="1"/>
  <c r="D54" i="81"/>
  <c r="L54" i="81" s="1"/>
  <c r="B54" i="81"/>
  <c r="Z53" i="81"/>
  <c r="X53" i="81"/>
  <c r="L53" i="81"/>
  <c r="N53" i="81" s="1"/>
  <c r="B53" i="81"/>
  <c r="V52" i="81"/>
  <c r="T52" i="81"/>
  <c r="Z52" i="81" s="1"/>
  <c r="P52" i="81"/>
  <c r="X52" i="81" s="1"/>
  <c r="N52" i="81"/>
  <c r="L52" i="81"/>
  <c r="H52" i="81"/>
  <c r="D52" i="81"/>
  <c r="B52" i="81"/>
  <c r="Z51" i="81"/>
  <c r="X51" i="81"/>
  <c r="V51" i="81"/>
  <c r="L51" i="81"/>
  <c r="N51" i="81" s="1"/>
  <c r="B51" i="81"/>
  <c r="Z50" i="81"/>
  <c r="X50" i="81"/>
  <c r="T50" i="81"/>
  <c r="P50" i="81"/>
  <c r="L50" i="81"/>
  <c r="N50" i="81" s="1"/>
  <c r="H50" i="81"/>
  <c r="D50" i="81"/>
  <c r="B50" i="81"/>
  <c r="X49" i="81"/>
  <c r="Z49" i="81" s="1"/>
  <c r="V49" i="81"/>
  <c r="N49" i="81"/>
  <c r="L49" i="81"/>
  <c r="B49" i="81"/>
  <c r="Z48" i="81"/>
  <c r="X48" i="81"/>
  <c r="V48" i="81"/>
  <c r="N48" i="81"/>
  <c r="L48" i="81"/>
  <c r="B48" i="81"/>
  <c r="X47" i="81"/>
  <c r="Z47" i="81" s="1"/>
  <c r="V47" i="81"/>
  <c r="T47" i="81"/>
  <c r="P47" i="81"/>
  <c r="H47" i="81"/>
  <c r="D47" i="81"/>
  <c r="B47" i="81"/>
  <c r="Z46" i="81"/>
  <c r="X46" i="81"/>
  <c r="V46" i="81"/>
  <c r="N46" i="81"/>
  <c r="L46" i="81"/>
  <c r="B46" i="81"/>
  <c r="X45" i="81"/>
  <c r="T45" i="81"/>
  <c r="P45" i="81"/>
  <c r="H45" i="81"/>
  <c r="D45" i="81"/>
  <c r="L45" i="81" s="1"/>
  <c r="B45" i="81"/>
  <c r="Z44" i="81"/>
  <c r="X44" i="81"/>
  <c r="V44" i="81"/>
  <c r="N44" i="81"/>
  <c r="L44" i="81"/>
  <c r="B44" i="81"/>
  <c r="X43" i="81"/>
  <c r="T43" i="81"/>
  <c r="Z43" i="81" s="1"/>
  <c r="P43" i="81"/>
  <c r="H43" i="81"/>
  <c r="N43" i="81" s="1"/>
  <c r="D43" i="81"/>
  <c r="B43" i="81"/>
  <c r="Z42" i="81"/>
  <c r="X42" i="81"/>
  <c r="N42" i="81"/>
  <c r="L42" i="81"/>
  <c r="B42" i="81"/>
  <c r="Z41" i="81"/>
  <c r="X41" i="81"/>
  <c r="N41" i="81"/>
  <c r="L41" i="81"/>
  <c r="B41" i="81"/>
  <c r="Z40" i="81"/>
  <c r="X40" i="81"/>
  <c r="V40" i="81"/>
  <c r="N40" i="81"/>
  <c r="L40" i="81"/>
  <c r="B40" i="81"/>
  <c r="Z39" i="81"/>
  <c r="X39" i="81"/>
  <c r="N39" i="81"/>
  <c r="L39" i="81"/>
  <c r="B39" i="81"/>
  <c r="Z38" i="81"/>
  <c r="X38" i="81"/>
  <c r="V38" i="81"/>
  <c r="N38" i="81"/>
  <c r="L38" i="81"/>
  <c r="B38" i="81"/>
  <c r="Z37" i="81"/>
  <c r="X37" i="81"/>
  <c r="V37" i="81"/>
  <c r="N37" i="81"/>
  <c r="L37" i="81"/>
  <c r="F37" i="81"/>
  <c r="B37" i="81"/>
  <c r="Z36" i="81"/>
  <c r="X36" i="81"/>
  <c r="V36" i="81"/>
  <c r="L36" i="81"/>
  <c r="N36" i="81" s="1"/>
  <c r="B36" i="81"/>
  <c r="Z35" i="81"/>
  <c r="X35" i="81"/>
  <c r="V35" i="81"/>
  <c r="N35" i="81"/>
  <c r="L35" i="81"/>
  <c r="B35" i="81"/>
  <c r="Z34" i="81"/>
  <c r="X34" i="81"/>
  <c r="N34" i="81"/>
  <c r="L34" i="81"/>
  <c r="B34" i="81"/>
  <c r="Z33" i="81"/>
  <c r="X33" i="81"/>
  <c r="N33" i="81"/>
  <c r="L33" i="81"/>
  <c r="B33" i="81"/>
  <c r="V32" i="81"/>
  <c r="T32" i="81"/>
  <c r="Z32" i="81" s="1"/>
  <c r="P32" i="81"/>
  <c r="X32" i="81" s="1"/>
  <c r="N32" i="81"/>
  <c r="L32" i="81"/>
  <c r="H32" i="81"/>
  <c r="D32" i="81"/>
  <c r="B32" i="81"/>
  <c r="Z31" i="81"/>
  <c r="X31" i="81"/>
  <c r="V31" i="81"/>
  <c r="L31" i="81"/>
  <c r="N31" i="81" s="1"/>
  <c r="B31" i="81"/>
  <c r="X30" i="81"/>
  <c r="Z30" i="81" s="1"/>
  <c r="N30" i="81"/>
  <c r="L30" i="81"/>
  <c r="J30" i="81"/>
  <c r="B30" i="81"/>
  <c r="Z29" i="81"/>
  <c r="X29" i="81"/>
  <c r="L29" i="81"/>
  <c r="N29" i="81" s="1"/>
  <c r="B29" i="81"/>
  <c r="Z28" i="81"/>
  <c r="X28" i="81"/>
  <c r="V28" i="81"/>
  <c r="N28" i="81"/>
  <c r="L28" i="81"/>
  <c r="B28" i="81"/>
  <c r="Z27" i="81"/>
  <c r="X27" i="81"/>
  <c r="N27" i="81"/>
  <c r="L27" i="81"/>
  <c r="B27" i="81"/>
  <c r="Z26" i="81"/>
  <c r="X26" i="81"/>
  <c r="V26" i="81"/>
  <c r="L26" i="81"/>
  <c r="N26" i="81" s="1"/>
  <c r="B26" i="81"/>
  <c r="X25" i="81"/>
  <c r="Z25" i="81" s="1"/>
  <c r="V25" i="81"/>
  <c r="N25" i="81"/>
  <c r="L25" i="81"/>
  <c r="B25" i="81"/>
  <c r="X24" i="81"/>
  <c r="Z24" i="81" s="1"/>
  <c r="V24" i="81"/>
  <c r="L24" i="81"/>
  <c r="N24" i="81" s="1"/>
  <c r="B24" i="81"/>
  <c r="Z23" i="81"/>
  <c r="X23" i="81"/>
  <c r="V23" i="81"/>
  <c r="L23" i="81"/>
  <c r="N23" i="81" s="1"/>
  <c r="B23" i="81"/>
  <c r="X22" i="81"/>
  <c r="Z22" i="81" s="1"/>
  <c r="T22" i="81"/>
  <c r="P22" i="81"/>
  <c r="H22" i="81"/>
  <c r="D22" i="81"/>
  <c r="B22" i="81"/>
  <c r="T21" i="81"/>
  <c r="V21" i="81" s="1"/>
  <c r="P21" i="81"/>
  <c r="X21" i="81" s="1"/>
  <c r="H21" i="81"/>
  <c r="F21" i="81"/>
  <c r="D21" i="81"/>
  <c r="L21" i="81" s="1"/>
  <c r="X17" i="81"/>
  <c r="Z17" i="81" s="1"/>
  <c r="V17" i="81"/>
  <c r="N17" i="81"/>
  <c r="L17" i="81"/>
  <c r="B17" i="81"/>
  <c r="Z16" i="81"/>
  <c r="X16" i="81"/>
  <c r="V16" i="81"/>
  <c r="T16" i="81"/>
  <c r="T19" i="81" s="1"/>
  <c r="P16" i="81"/>
  <c r="H16" i="81"/>
  <c r="F16" i="81"/>
  <c r="D16" i="81"/>
  <c r="P14" i="81"/>
  <c r="L14" i="81"/>
  <c r="N14" i="81" s="1"/>
  <c r="D14" i="81"/>
  <c r="B14" i="81"/>
  <c r="P13" i="81"/>
  <c r="X13" i="81" s="1"/>
  <c r="Z13" i="81" s="1"/>
  <c r="N13" i="81"/>
  <c r="D13" i="81"/>
  <c r="L13" i="81" s="1"/>
  <c r="B13" i="81"/>
  <c r="T12" i="81"/>
  <c r="V71" i="81" s="1"/>
  <c r="H12" i="81"/>
  <c r="J29" i="81" s="1"/>
  <c r="D12" i="81"/>
  <c r="F29" i="81" s="1"/>
  <c r="D6" i="81"/>
  <c r="D4" i="81"/>
  <c r="X92" i="80"/>
  <c r="Z92" i="80" s="1"/>
  <c r="N92" i="80"/>
  <c r="L92" i="80"/>
  <c r="Z88" i="80"/>
  <c r="X88" i="80"/>
  <c r="P88" i="80"/>
  <c r="N88" i="80"/>
  <c r="D88" i="80"/>
  <c r="L88" i="80" s="1"/>
  <c r="B88" i="80"/>
  <c r="Z87" i="80"/>
  <c r="T87" i="80"/>
  <c r="P87" i="80"/>
  <c r="X87" i="80" s="1"/>
  <c r="N87" i="80"/>
  <c r="H87" i="80"/>
  <c r="D87" i="80"/>
  <c r="L87" i="80" s="1"/>
  <c r="X85" i="80"/>
  <c r="Z85" i="80" s="1"/>
  <c r="N85" i="80"/>
  <c r="L85" i="80"/>
  <c r="B85" i="80"/>
  <c r="X84" i="80"/>
  <c r="T84" i="80"/>
  <c r="P84" i="80"/>
  <c r="H84" i="80"/>
  <c r="D84" i="80"/>
  <c r="L84" i="80" s="1"/>
  <c r="B84" i="80"/>
  <c r="X83" i="80"/>
  <c r="Z83" i="80" s="1"/>
  <c r="N83" i="80"/>
  <c r="L83" i="80"/>
  <c r="B83" i="80"/>
  <c r="T82" i="80"/>
  <c r="P82" i="80"/>
  <c r="H82" i="80"/>
  <c r="D82" i="80"/>
  <c r="L82" i="80" s="1"/>
  <c r="N82" i="80" s="1"/>
  <c r="B82" i="80"/>
  <c r="Z81" i="80"/>
  <c r="X81" i="80"/>
  <c r="L81" i="80"/>
  <c r="N81" i="80" s="1"/>
  <c r="B81" i="80"/>
  <c r="X80" i="80"/>
  <c r="Z80" i="80" s="1"/>
  <c r="N80" i="80"/>
  <c r="L80" i="80"/>
  <c r="B80" i="80"/>
  <c r="X79" i="80"/>
  <c r="T79" i="80"/>
  <c r="P79" i="80"/>
  <c r="H79" i="80"/>
  <c r="N79" i="80" s="1"/>
  <c r="D79" i="80"/>
  <c r="L79" i="80" s="1"/>
  <c r="B79" i="80"/>
  <c r="X78" i="80"/>
  <c r="Z78" i="80" s="1"/>
  <c r="N78" i="80"/>
  <c r="L78" i="80"/>
  <c r="B78" i="80"/>
  <c r="Z77" i="80"/>
  <c r="X77" i="80"/>
  <c r="L77" i="80"/>
  <c r="N77" i="80" s="1"/>
  <c r="B77" i="80"/>
  <c r="X76" i="80"/>
  <c r="Z76" i="80" s="1"/>
  <c r="N76" i="80"/>
  <c r="L76" i="80"/>
  <c r="B76" i="80"/>
  <c r="Z75" i="80"/>
  <c r="X75" i="80"/>
  <c r="N75" i="80"/>
  <c r="L75" i="80"/>
  <c r="B75" i="80"/>
  <c r="T74" i="80"/>
  <c r="P74" i="80"/>
  <c r="H74" i="80"/>
  <c r="D74" i="80"/>
  <c r="L74" i="80" s="1"/>
  <c r="N74" i="80" s="1"/>
  <c r="B74" i="80"/>
  <c r="Z73" i="80"/>
  <c r="X73" i="80"/>
  <c r="L73" i="80"/>
  <c r="N73" i="80" s="1"/>
  <c r="B73" i="80"/>
  <c r="X72" i="80"/>
  <c r="Z72" i="80" s="1"/>
  <c r="T72" i="80"/>
  <c r="P72" i="80"/>
  <c r="L72" i="80"/>
  <c r="N72" i="80" s="1"/>
  <c r="H72" i="80"/>
  <c r="D72" i="80"/>
  <c r="B72" i="80"/>
  <c r="X71" i="80"/>
  <c r="Z71" i="80" s="1"/>
  <c r="N71" i="80"/>
  <c r="L71" i="80"/>
  <c r="B71" i="80"/>
  <c r="Z70" i="80"/>
  <c r="X70" i="80"/>
  <c r="N70" i="80"/>
  <c r="L70" i="80"/>
  <c r="B70" i="80"/>
  <c r="Z69" i="80"/>
  <c r="X69" i="80"/>
  <c r="L69" i="80"/>
  <c r="N69" i="80" s="1"/>
  <c r="B69" i="80"/>
  <c r="X68" i="80"/>
  <c r="Z68" i="80" s="1"/>
  <c r="L68" i="80"/>
  <c r="N68" i="80" s="1"/>
  <c r="J68" i="80"/>
  <c r="B68" i="80"/>
  <c r="T67" i="80"/>
  <c r="P67" i="80"/>
  <c r="X67" i="80" s="1"/>
  <c r="Z67" i="80" s="1"/>
  <c r="N67" i="80"/>
  <c r="L67" i="80"/>
  <c r="J67" i="80"/>
  <c r="H67" i="80"/>
  <c r="D67" i="80"/>
  <c r="B67" i="80"/>
  <c r="X66" i="80"/>
  <c r="Z66" i="80" s="1"/>
  <c r="N66" i="80"/>
  <c r="L66" i="80"/>
  <c r="B66" i="80"/>
  <c r="X65" i="80"/>
  <c r="Z65" i="80" s="1"/>
  <c r="L65" i="80"/>
  <c r="N65" i="80" s="1"/>
  <c r="B65" i="80"/>
  <c r="T64" i="80"/>
  <c r="P64" i="80"/>
  <c r="H64" i="80"/>
  <c r="D64" i="80"/>
  <c r="L64" i="80" s="1"/>
  <c r="B64" i="80"/>
  <c r="Z63" i="80"/>
  <c r="X63" i="80"/>
  <c r="N63" i="80"/>
  <c r="L63" i="80"/>
  <c r="J63" i="80"/>
  <c r="B63" i="80"/>
  <c r="T62" i="80"/>
  <c r="P62" i="80"/>
  <c r="H62" i="80"/>
  <c r="N62" i="80" s="1"/>
  <c r="D62" i="80"/>
  <c r="L62" i="80" s="1"/>
  <c r="B62" i="80"/>
  <c r="Z61" i="80"/>
  <c r="X61" i="80"/>
  <c r="L61" i="80"/>
  <c r="N61" i="80" s="1"/>
  <c r="J61" i="80"/>
  <c r="B61" i="80"/>
  <c r="T60" i="80"/>
  <c r="Z60" i="80" s="1"/>
  <c r="P60" i="80"/>
  <c r="X60" i="80" s="1"/>
  <c r="L60" i="80"/>
  <c r="N60" i="80" s="1"/>
  <c r="H60" i="80"/>
  <c r="D60" i="80"/>
  <c r="B60" i="80"/>
  <c r="Z59" i="80"/>
  <c r="X59" i="80"/>
  <c r="N59" i="80"/>
  <c r="L59" i="80"/>
  <c r="B59" i="80"/>
  <c r="X58" i="80"/>
  <c r="Z58" i="80" s="1"/>
  <c r="T58" i="80"/>
  <c r="P58" i="80"/>
  <c r="L58" i="80"/>
  <c r="H58" i="80"/>
  <c r="D58" i="80"/>
  <c r="B58" i="80"/>
  <c r="X57" i="80"/>
  <c r="Z57" i="80" s="1"/>
  <c r="N57" i="80"/>
  <c r="L57" i="80"/>
  <c r="B57" i="80"/>
  <c r="X56" i="80"/>
  <c r="T56" i="80"/>
  <c r="P56" i="80"/>
  <c r="H56" i="80"/>
  <c r="D56" i="80"/>
  <c r="L56" i="80" s="1"/>
  <c r="B56" i="80"/>
  <c r="Z55" i="80"/>
  <c r="X55" i="80"/>
  <c r="N55" i="80"/>
  <c r="L55" i="80"/>
  <c r="B55" i="80"/>
  <c r="Z54" i="80"/>
  <c r="X54" i="80"/>
  <c r="R54" i="80"/>
  <c r="N54" i="80"/>
  <c r="L54" i="80"/>
  <c r="B54" i="80"/>
  <c r="X53" i="80"/>
  <c r="T53" i="80"/>
  <c r="Z53" i="80" s="1"/>
  <c r="P53" i="80"/>
  <c r="H53" i="80"/>
  <c r="N53" i="80" s="1"/>
  <c r="D53" i="80"/>
  <c r="L53" i="80" s="1"/>
  <c r="B53" i="80"/>
  <c r="Z52" i="80"/>
  <c r="X52" i="80"/>
  <c r="L52" i="80"/>
  <c r="N52" i="80" s="1"/>
  <c r="B52" i="80"/>
  <c r="T51" i="80"/>
  <c r="Z51" i="80" s="1"/>
  <c r="P51" i="80"/>
  <c r="X51" i="80" s="1"/>
  <c r="N51" i="80"/>
  <c r="H51" i="80"/>
  <c r="D51" i="80"/>
  <c r="L51" i="80" s="1"/>
  <c r="B51" i="80"/>
  <c r="X50" i="80"/>
  <c r="Z50" i="80" s="1"/>
  <c r="L50" i="80"/>
  <c r="N50" i="80" s="1"/>
  <c r="B50" i="80"/>
  <c r="Z49" i="80"/>
  <c r="T49" i="80"/>
  <c r="P49" i="80"/>
  <c r="X49" i="80" s="1"/>
  <c r="N49" i="80"/>
  <c r="L49" i="80"/>
  <c r="J49" i="80"/>
  <c r="H49" i="80"/>
  <c r="D49" i="80"/>
  <c r="B49" i="80"/>
  <c r="Z48" i="80"/>
  <c r="X48" i="80"/>
  <c r="N48" i="80"/>
  <c r="L48" i="80"/>
  <c r="B48" i="80"/>
  <c r="Z47" i="80"/>
  <c r="X47" i="80"/>
  <c r="T47" i="80"/>
  <c r="P47" i="80"/>
  <c r="L47" i="80"/>
  <c r="J47" i="80"/>
  <c r="H47" i="80"/>
  <c r="N47" i="80" s="1"/>
  <c r="D47" i="80"/>
  <c r="B47" i="80"/>
  <c r="Z46" i="80"/>
  <c r="X46" i="80"/>
  <c r="N46" i="80"/>
  <c r="L46" i="80"/>
  <c r="B46" i="80"/>
  <c r="Z45" i="80"/>
  <c r="X45" i="80"/>
  <c r="V45" i="80"/>
  <c r="N45" i="80"/>
  <c r="L45" i="80"/>
  <c r="B45" i="80"/>
  <c r="Z44" i="80"/>
  <c r="X44" i="80"/>
  <c r="N44" i="80"/>
  <c r="L44" i="80"/>
  <c r="B44" i="80"/>
  <c r="Z43" i="80"/>
  <c r="X43" i="80"/>
  <c r="N43" i="80"/>
  <c r="L43" i="80"/>
  <c r="B43" i="80"/>
  <c r="Z42" i="80"/>
  <c r="X42" i="80"/>
  <c r="N42" i="80"/>
  <c r="L42" i="80"/>
  <c r="J42" i="80"/>
  <c r="B42" i="80"/>
  <c r="Z41" i="80"/>
  <c r="X41" i="80"/>
  <c r="N41" i="80"/>
  <c r="L41" i="80"/>
  <c r="B41" i="80"/>
  <c r="Z40" i="80"/>
  <c r="X40" i="80"/>
  <c r="N40" i="80"/>
  <c r="L40" i="80"/>
  <c r="B40" i="80"/>
  <c r="Z39" i="80"/>
  <c r="X39" i="80"/>
  <c r="N39" i="80"/>
  <c r="L39" i="80"/>
  <c r="J39" i="80"/>
  <c r="B39" i="80"/>
  <c r="X38" i="80"/>
  <c r="Z38" i="80" s="1"/>
  <c r="N38" i="80"/>
  <c r="L38" i="80"/>
  <c r="B38" i="80"/>
  <c r="Z37" i="80"/>
  <c r="X37" i="80"/>
  <c r="N37" i="80"/>
  <c r="L37" i="80"/>
  <c r="B37" i="80"/>
  <c r="Z36" i="80"/>
  <c r="X36" i="80"/>
  <c r="T36" i="80"/>
  <c r="P36" i="80"/>
  <c r="H36" i="80"/>
  <c r="D36" i="80"/>
  <c r="L36" i="80" s="1"/>
  <c r="B36" i="80"/>
  <c r="Z35" i="80"/>
  <c r="X35" i="80"/>
  <c r="L35" i="80"/>
  <c r="N35" i="80" s="1"/>
  <c r="J35" i="80"/>
  <c r="B35" i="80"/>
  <c r="X34" i="80"/>
  <c r="Z34" i="80" s="1"/>
  <c r="L34" i="80"/>
  <c r="N34" i="80" s="1"/>
  <c r="B34" i="80"/>
  <c r="X33" i="80"/>
  <c r="Z33" i="80" s="1"/>
  <c r="V33" i="80"/>
  <c r="N33" i="80"/>
  <c r="L33" i="80"/>
  <c r="B33" i="80"/>
  <c r="Z32" i="80"/>
  <c r="X32" i="80"/>
  <c r="N32" i="80"/>
  <c r="L32" i="80"/>
  <c r="B32" i="80"/>
  <c r="X31" i="80"/>
  <c r="Z31" i="80" s="1"/>
  <c r="N31" i="80"/>
  <c r="L31" i="80"/>
  <c r="B31" i="80"/>
  <c r="Z30" i="80"/>
  <c r="X30" i="80"/>
  <c r="L30" i="80"/>
  <c r="N30" i="80" s="1"/>
  <c r="J30" i="80"/>
  <c r="B30" i="80"/>
  <c r="Z29" i="80"/>
  <c r="X29" i="80"/>
  <c r="L29" i="80"/>
  <c r="N29" i="80" s="1"/>
  <c r="B29" i="80"/>
  <c r="Z28" i="80"/>
  <c r="X28" i="80"/>
  <c r="N28" i="80"/>
  <c r="L28" i="80"/>
  <c r="B28" i="80"/>
  <c r="Z27" i="80"/>
  <c r="X27" i="80"/>
  <c r="N27" i="80"/>
  <c r="L27" i="80"/>
  <c r="B27" i="80"/>
  <c r="T26" i="80"/>
  <c r="P26" i="80"/>
  <c r="X26" i="80" s="1"/>
  <c r="H26" i="80"/>
  <c r="D26" i="80"/>
  <c r="L26" i="80" s="1"/>
  <c r="N26" i="80" s="1"/>
  <c r="B26" i="80"/>
  <c r="T25" i="80"/>
  <c r="P25" i="80"/>
  <c r="X25" i="80" s="1"/>
  <c r="Z25" i="80" s="1"/>
  <c r="H25" i="80"/>
  <c r="J25" i="80" s="1"/>
  <c r="D25" i="80"/>
  <c r="L25" i="80" s="1"/>
  <c r="H23" i="80"/>
  <c r="Z21" i="80"/>
  <c r="X21" i="80"/>
  <c r="N21" i="80"/>
  <c r="L21" i="80"/>
  <c r="J21" i="80"/>
  <c r="B21" i="80"/>
  <c r="Z20" i="80"/>
  <c r="X20" i="80"/>
  <c r="N20" i="80"/>
  <c r="L20" i="80"/>
  <c r="J20" i="80"/>
  <c r="B20" i="80"/>
  <c r="Z19" i="80"/>
  <c r="X19" i="80"/>
  <c r="N19" i="80"/>
  <c r="L19" i="80"/>
  <c r="J19" i="80"/>
  <c r="B19" i="80"/>
  <c r="T18" i="80"/>
  <c r="P18" i="80"/>
  <c r="X18" i="80" s="1"/>
  <c r="H18" i="80"/>
  <c r="D18" i="80"/>
  <c r="Z16" i="80"/>
  <c r="P16" i="80"/>
  <c r="P12" i="80" s="1"/>
  <c r="R26" i="80" s="1"/>
  <c r="N16" i="80"/>
  <c r="D16" i="80"/>
  <c r="B16" i="80"/>
  <c r="Z15" i="80"/>
  <c r="X15" i="80"/>
  <c r="P15" i="80"/>
  <c r="N15" i="80"/>
  <c r="L15" i="80"/>
  <c r="D15" i="80"/>
  <c r="B15" i="80"/>
  <c r="Z14" i="80"/>
  <c r="X14" i="80"/>
  <c r="P14" i="80"/>
  <c r="N14" i="80"/>
  <c r="L14" i="80"/>
  <c r="D14" i="80"/>
  <c r="B14" i="80"/>
  <c r="Z13" i="80"/>
  <c r="X13" i="80"/>
  <c r="P13" i="80"/>
  <c r="D13" i="80"/>
  <c r="L13" i="80" s="1"/>
  <c r="N13" i="80" s="1"/>
  <c r="B13" i="80"/>
  <c r="T12" i="80"/>
  <c r="V88" i="80" s="1"/>
  <c r="H12" i="80"/>
  <c r="D6" i="80"/>
  <c r="D4" i="80"/>
  <c r="V30" i="79"/>
  <c r="R30" i="79"/>
  <c r="Z28" i="79"/>
  <c r="X28" i="79"/>
  <c r="N28" i="79"/>
  <c r="L28" i="79"/>
  <c r="V24" i="79"/>
  <c r="T24" i="79"/>
  <c r="Z24" i="79" s="1"/>
  <c r="R24" i="79"/>
  <c r="P24" i="79"/>
  <c r="X24" i="79" s="1"/>
  <c r="N24" i="79"/>
  <c r="H24" i="79"/>
  <c r="D24" i="79"/>
  <c r="L24" i="79" s="1"/>
  <c r="Z22" i="79"/>
  <c r="X22" i="79"/>
  <c r="N22" i="79"/>
  <c r="L22" i="79"/>
  <c r="B22" i="79"/>
  <c r="Z21" i="79"/>
  <c r="T21" i="79"/>
  <c r="P21" i="79"/>
  <c r="X21" i="79" s="1"/>
  <c r="N21" i="79"/>
  <c r="J21" i="79"/>
  <c r="H21" i="79"/>
  <c r="L21" i="79" s="1"/>
  <c r="D21" i="79"/>
  <c r="B21" i="79"/>
  <c r="X20" i="79"/>
  <c r="Z20" i="79" s="1"/>
  <c r="R20" i="79"/>
  <c r="N20" i="79"/>
  <c r="L20" i="79"/>
  <c r="B20" i="79"/>
  <c r="V19" i="79"/>
  <c r="T19" i="79"/>
  <c r="X19" i="79" s="1"/>
  <c r="Z19" i="79" s="1"/>
  <c r="P19" i="79"/>
  <c r="L19" i="79"/>
  <c r="J19" i="79"/>
  <c r="H19" i="79"/>
  <c r="N19" i="79" s="1"/>
  <c r="F19" i="79"/>
  <c r="D19" i="79"/>
  <c r="B19" i="79"/>
  <c r="V18" i="79"/>
  <c r="T18" i="79"/>
  <c r="R18" i="79"/>
  <c r="P18" i="79"/>
  <c r="H18" i="79"/>
  <c r="H26" i="79" s="1"/>
  <c r="D18" i="79"/>
  <c r="L18" i="79" s="1"/>
  <c r="N18" i="79" s="1"/>
  <c r="H16" i="79"/>
  <c r="N16" i="79" s="1"/>
  <c r="V14" i="79"/>
  <c r="T14" i="79"/>
  <c r="Z14" i="79" s="1"/>
  <c r="R14" i="79"/>
  <c r="P14" i="79"/>
  <c r="X14" i="79" s="1"/>
  <c r="N14" i="79"/>
  <c r="H14" i="79"/>
  <c r="D14" i="79"/>
  <c r="L14" i="79" s="1"/>
  <c r="X12" i="79"/>
  <c r="T12" i="79"/>
  <c r="V28" i="79" s="1"/>
  <c r="P12" i="79"/>
  <c r="R28" i="79" s="1"/>
  <c r="H12" i="79"/>
  <c r="J30" i="79" s="1"/>
  <c r="D12" i="79"/>
  <c r="F33" i="79" s="1"/>
  <c r="D6" i="79"/>
  <c r="D4" i="79"/>
  <c r="R35" i="78"/>
  <c r="R32" i="78"/>
  <c r="Z30" i="78"/>
  <c r="X30" i="78"/>
  <c r="N30" i="78"/>
  <c r="L30" i="78"/>
  <c r="R28" i="78"/>
  <c r="T26" i="78"/>
  <c r="Z26" i="78" s="1"/>
  <c r="R26" i="78"/>
  <c r="P26" i="78"/>
  <c r="H26" i="78"/>
  <c r="N26" i="78" s="1"/>
  <c r="D26" i="78"/>
  <c r="L26" i="78" s="1"/>
  <c r="Z24" i="78"/>
  <c r="X24" i="78"/>
  <c r="N24" i="78"/>
  <c r="L24" i="78"/>
  <c r="B24" i="78"/>
  <c r="T23" i="78"/>
  <c r="Z23" i="78" s="1"/>
  <c r="R23" i="78"/>
  <c r="P23" i="78"/>
  <c r="X23" i="78" s="1"/>
  <c r="N23" i="78"/>
  <c r="H23" i="78"/>
  <c r="D23" i="78"/>
  <c r="L23" i="78" s="1"/>
  <c r="B23" i="78"/>
  <c r="Z22" i="78"/>
  <c r="X22" i="78"/>
  <c r="N22" i="78"/>
  <c r="L22" i="78"/>
  <c r="B22" i="78"/>
  <c r="Z21" i="78"/>
  <c r="T21" i="78"/>
  <c r="P21" i="78"/>
  <c r="X21" i="78" s="1"/>
  <c r="N21" i="78"/>
  <c r="J21" i="78"/>
  <c r="H21" i="78"/>
  <c r="L21" i="78" s="1"/>
  <c r="D21" i="78"/>
  <c r="B21" i="78"/>
  <c r="X20" i="78"/>
  <c r="Z20" i="78" s="1"/>
  <c r="R20" i="78"/>
  <c r="N20" i="78"/>
  <c r="L20" i="78"/>
  <c r="B20" i="78"/>
  <c r="V19" i="78"/>
  <c r="T19" i="78"/>
  <c r="X19" i="78" s="1"/>
  <c r="Z19" i="78" s="1"/>
  <c r="P19" i="78"/>
  <c r="L19" i="78"/>
  <c r="J19" i="78"/>
  <c r="H19" i="78"/>
  <c r="N19" i="78" s="1"/>
  <c r="F19" i="78"/>
  <c r="D19" i="78"/>
  <c r="B19" i="78"/>
  <c r="V18" i="78"/>
  <c r="T18" i="78"/>
  <c r="R18" i="78"/>
  <c r="P18" i="78"/>
  <c r="H18" i="78"/>
  <c r="D18" i="78"/>
  <c r="L18" i="78" s="1"/>
  <c r="N18" i="78" s="1"/>
  <c r="H16" i="78"/>
  <c r="V14" i="78"/>
  <c r="T14" i="78"/>
  <c r="Z14" i="78" s="1"/>
  <c r="R14" i="78"/>
  <c r="P14" i="78"/>
  <c r="X14" i="78" s="1"/>
  <c r="N14" i="78"/>
  <c r="H14" i="78"/>
  <c r="D14" i="78"/>
  <c r="L14" i="78" s="1"/>
  <c r="X12" i="78"/>
  <c r="T12" i="78"/>
  <c r="V22" i="78" s="1"/>
  <c r="P12" i="78"/>
  <c r="R22" i="78" s="1"/>
  <c r="H12" i="78"/>
  <c r="J35" i="78" s="1"/>
  <c r="D12" i="78"/>
  <c r="F22" i="78" s="1"/>
  <c r="D6" i="78"/>
  <c r="D4" i="78"/>
  <c r="Z71" i="77"/>
  <c r="X71" i="77"/>
  <c r="N71" i="77"/>
  <c r="L71" i="77"/>
  <c r="F71" i="77"/>
  <c r="Z67" i="77"/>
  <c r="X67" i="77"/>
  <c r="P67" i="77"/>
  <c r="P66" i="77" s="1"/>
  <c r="X66" i="77" s="1"/>
  <c r="N67" i="77"/>
  <c r="D67" i="77"/>
  <c r="B67" i="77"/>
  <c r="Z66" i="77"/>
  <c r="T66" i="77"/>
  <c r="N66" i="77"/>
  <c r="H66" i="77"/>
  <c r="X64" i="77"/>
  <c r="Z64" i="77" s="1"/>
  <c r="V64" i="77"/>
  <c r="N64" i="77"/>
  <c r="L64" i="77"/>
  <c r="B64" i="77"/>
  <c r="X63" i="77"/>
  <c r="T63" i="77"/>
  <c r="P63" i="77"/>
  <c r="H63" i="77"/>
  <c r="D63" i="77"/>
  <c r="B63" i="77"/>
  <c r="Z62" i="77"/>
  <c r="X62" i="77"/>
  <c r="N62" i="77"/>
  <c r="L62" i="77"/>
  <c r="F62" i="77"/>
  <c r="B62" i="77"/>
  <c r="V61" i="77"/>
  <c r="T61" i="77"/>
  <c r="Z61" i="77" s="1"/>
  <c r="P61" i="77"/>
  <c r="X61" i="77" s="1"/>
  <c r="N61" i="77"/>
  <c r="H61" i="77"/>
  <c r="D61" i="77"/>
  <c r="L61" i="77" s="1"/>
  <c r="B61" i="77"/>
  <c r="Z60" i="77"/>
  <c r="X60" i="77"/>
  <c r="N60" i="77"/>
  <c r="L60" i="77"/>
  <c r="B60" i="77"/>
  <c r="Z59" i="77"/>
  <c r="T59" i="77"/>
  <c r="P59" i="77"/>
  <c r="X59" i="77" s="1"/>
  <c r="N59" i="77"/>
  <c r="L59" i="77"/>
  <c r="H59" i="77"/>
  <c r="D59" i="77"/>
  <c r="B59" i="77"/>
  <c r="Z58" i="77"/>
  <c r="X58" i="77"/>
  <c r="V58" i="77"/>
  <c r="N58" i="77"/>
  <c r="L58" i="77"/>
  <c r="B58" i="77"/>
  <c r="Z57" i="77"/>
  <c r="X57" i="77"/>
  <c r="V57" i="77"/>
  <c r="T57" i="77"/>
  <c r="P57" i="77"/>
  <c r="L57" i="77"/>
  <c r="H57" i="77"/>
  <c r="N57" i="77" s="1"/>
  <c r="D57" i="77"/>
  <c r="B57" i="77"/>
  <c r="Z56" i="77"/>
  <c r="X56" i="77"/>
  <c r="V56" i="77"/>
  <c r="N56" i="77"/>
  <c r="L56" i="77"/>
  <c r="B56" i="77"/>
  <c r="X55" i="77"/>
  <c r="Z55" i="77" s="1"/>
  <c r="R55" i="77"/>
  <c r="N55" i="77"/>
  <c r="L55" i="77"/>
  <c r="B55" i="77"/>
  <c r="Z54" i="77"/>
  <c r="V54" i="77"/>
  <c r="T54" i="77"/>
  <c r="X54" i="77" s="1"/>
  <c r="P54" i="77"/>
  <c r="H54" i="77"/>
  <c r="F54" i="77"/>
  <c r="D54" i="77"/>
  <c r="L54" i="77" s="1"/>
  <c r="B54" i="77"/>
  <c r="Z53" i="77"/>
  <c r="X53" i="77"/>
  <c r="V53" i="77"/>
  <c r="R53" i="77"/>
  <c r="N53" i="77"/>
  <c r="L53" i="77"/>
  <c r="B53" i="77"/>
  <c r="Z52" i="77"/>
  <c r="X52" i="77"/>
  <c r="V52" i="77"/>
  <c r="N52" i="77"/>
  <c r="L52" i="77"/>
  <c r="B52" i="77"/>
  <c r="T51" i="77"/>
  <c r="P51" i="77"/>
  <c r="H51" i="77"/>
  <c r="N51" i="77" s="1"/>
  <c r="D51" i="77"/>
  <c r="L51" i="77" s="1"/>
  <c r="B51" i="77"/>
  <c r="Z50" i="77"/>
  <c r="X50" i="77"/>
  <c r="N50" i="77"/>
  <c r="L50" i="77"/>
  <c r="F50" i="77"/>
  <c r="B50" i="77"/>
  <c r="V49" i="77"/>
  <c r="T49" i="77"/>
  <c r="P49" i="77"/>
  <c r="N49" i="77"/>
  <c r="H49" i="77"/>
  <c r="D49" i="77"/>
  <c r="L49" i="77" s="1"/>
  <c r="B49" i="77"/>
  <c r="Z48" i="77"/>
  <c r="X48" i="77"/>
  <c r="L48" i="77"/>
  <c r="N48" i="77" s="1"/>
  <c r="B48" i="77"/>
  <c r="T47" i="77"/>
  <c r="P47" i="77"/>
  <c r="X47" i="77" s="1"/>
  <c r="Z47" i="77" s="1"/>
  <c r="L47" i="77"/>
  <c r="N47" i="77" s="1"/>
  <c r="H47" i="77"/>
  <c r="D47" i="77"/>
  <c r="B47" i="77"/>
  <c r="Z46" i="77"/>
  <c r="X46" i="77"/>
  <c r="V46" i="77"/>
  <c r="R46" i="77"/>
  <c r="N46" i="77"/>
  <c r="L46" i="77"/>
  <c r="B46" i="77"/>
  <c r="X45" i="77"/>
  <c r="Z45" i="77" s="1"/>
  <c r="V45" i="77"/>
  <c r="T45" i="77"/>
  <c r="P45" i="77"/>
  <c r="L45" i="77"/>
  <c r="H45" i="77"/>
  <c r="F45" i="77"/>
  <c r="D45" i="77"/>
  <c r="B45" i="77"/>
  <c r="X44" i="77"/>
  <c r="Z44" i="77" s="1"/>
  <c r="V44" i="77"/>
  <c r="L44" i="77"/>
  <c r="N44" i="77" s="1"/>
  <c r="B44" i="77"/>
  <c r="Z43" i="77"/>
  <c r="X43" i="77"/>
  <c r="R43" i="77"/>
  <c r="N43" i="77"/>
  <c r="L43" i="77"/>
  <c r="B43" i="77"/>
  <c r="Z42" i="77"/>
  <c r="V42" i="77"/>
  <c r="T42" i="77"/>
  <c r="X42" i="77" s="1"/>
  <c r="P42" i="77"/>
  <c r="J42" i="77"/>
  <c r="H42" i="77"/>
  <c r="D42" i="77"/>
  <c r="L42" i="77" s="1"/>
  <c r="B42" i="77"/>
  <c r="X41" i="77"/>
  <c r="Z41" i="77" s="1"/>
  <c r="V41" i="77"/>
  <c r="L41" i="77"/>
  <c r="N41" i="77" s="1"/>
  <c r="B41" i="77"/>
  <c r="V40" i="77"/>
  <c r="T40" i="77"/>
  <c r="Z40" i="77" s="1"/>
  <c r="P40" i="77"/>
  <c r="X40" i="77" s="1"/>
  <c r="H40" i="77"/>
  <c r="N40" i="77" s="1"/>
  <c r="F40" i="77"/>
  <c r="D40" i="77"/>
  <c r="L40" i="77" s="1"/>
  <c r="B40" i="77"/>
  <c r="Z39" i="77"/>
  <c r="X39" i="77"/>
  <c r="N39" i="77"/>
  <c r="L39" i="77"/>
  <c r="F39" i="77"/>
  <c r="B39" i="77"/>
  <c r="Z38" i="77"/>
  <c r="X38" i="77"/>
  <c r="N38" i="77"/>
  <c r="L38" i="77"/>
  <c r="F38" i="77"/>
  <c r="B38" i="77"/>
  <c r="Z37" i="77"/>
  <c r="X37" i="77"/>
  <c r="V37" i="77"/>
  <c r="N37" i="77"/>
  <c r="L37" i="77"/>
  <c r="B37" i="77"/>
  <c r="Z36" i="77"/>
  <c r="X36" i="77"/>
  <c r="V36" i="77"/>
  <c r="N36" i="77"/>
  <c r="L36" i="77"/>
  <c r="B36" i="77"/>
  <c r="Z35" i="77"/>
  <c r="X35" i="77"/>
  <c r="R35" i="77"/>
  <c r="N35" i="77"/>
  <c r="L35" i="77"/>
  <c r="B35" i="77"/>
  <c r="Z34" i="77"/>
  <c r="X34" i="77"/>
  <c r="V34" i="77"/>
  <c r="N34" i="77"/>
  <c r="L34" i="77"/>
  <c r="B34" i="77"/>
  <c r="Z33" i="77"/>
  <c r="X33" i="77"/>
  <c r="V33" i="77"/>
  <c r="N33" i="77"/>
  <c r="L33" i="77"/>
  <c r="B33" i="77"/>
  <c r="Z32" i="77"/>
  <c r="X32" i="77"/>
  <c r="N32" i="77"/>
  <c r="L32" i="77"/>
  <c r="B32" i="77"/>
  <c r="Z31" i="77"/>
  <c r="X31" i="77"/>
  <c r="N31" i="77"/>
  <c r="L31" i="77"/>
  <c r="F31" i="77"/>
  <c r="B31" i="77"/>
  <c r="Z30" i="77"/>
  <c r="X30" i="77"/>
  <c r="N30" i="77"/>
  <c r="L30" i="77"/>
  <c r="F30" i="77"/>
  <c r="B30" i="77"/>
  <c r="V29" i="77"/>
  <c r="T29" i="77"/>
  <c r="P29" i="77"/>
  <c r="N29" i="77"/>
  <c r="H29" i="77"/>
  <c r="F29" i="77"/>
  <c r="D29" i="77"/>
  <c r="L29" i="77" s="1"/>
  <c r="B29" i="77"/>
  <c r="Z28" i="77"/>
  <c r="X28" i="77"/>
  <c r="V28" i="77"/>
  <c r="L28" i="77"/>
  <c r="N28" i="77" s="1"/>
  <c r="B28" i="77"/>
  <c r="Z27" i="77"/>
  <c r="X27" i="77"/>
  <c r="N27" i="77"/>
  <c r="L27" i="77"/>
  <c r="B27" i="77"/>
  <c r="Z26" i="77"/>
  <c r="X26" i="77"/>
  <c r="N26" i="77"/>
  <c r="L26" i="77"/>
  <c r="B26" i="77"/>
  <c r="Z25" i="77"/>
  <c r="X25" i="77"/>
  <c r="V25" i="77"/>
  <c r="N25" i="77"/>
  <c r="L25" i="77"/>
  <c r="B25" i="77"/>
  <c r="X24" i="77"/>
  <c r="Z24" i="77" s="1"/>
  <c r="V24" i="77"/>
  <c r="N24" i="77"/>
  <c r="L24" i="77"/>
  <c r="B24" i="77"/>
  <c r="Z23" i="77"/>
  <c r="X23" i="77"/>
  <c r="V23" i="77"/>
  <c r="R23" i="77"/>
  <c r="N23" i="77"/>
  <c r="L23" i="77"/>
  <c r="B23" i="77"/>
  <c r="Z22" i="77"/>
  <c r="X22" i="77"/>
  <c r="V22" i="77"/>
  <c r="R22" i="77"/>
  <c r="N22" i="77"/>
  <c r="L22" i="77"/>
  <c r="F22" i="77"/>
  <c r="B22" i="77"/>
  <c r="X21" i="77"/>
  <c r="Z21" i="77" s="1"/>
  <c r="V21" i="77"/>
  <c r="L21" i="77"/>
  <c r="N21" i="77" s="1"/>
  <c r="F21" i="77"/>
  <c r="B21" i="77"/>
  <c r="X20" i="77"/>
  <c r="Z20" i="77" s="1"/>
  <c r="V20" i="77"/>
  <c r="L20" i="77"/>
  <c r="N20" i="77" s="1"/>
  <c r="B20" i="77"/>
  <c r="Z19" i="77"/>
  <c r="T19" i="77"/>
  <c r="P19" i="77"/>
  <c r="X19" i="77" s="1"/>
  <c r="L19" i="77"/>
  <c r="N19" i="77" s="1"/>
  <c r="H19" i="77"/>
  <c r="D19" i="77"/>
  <c r="B19" i="77"/>
  <c r="V18" i="77"/>
  <c r="T18" i="77"/>
  <c r="X18" i="77" s="1"/>
  <c r="P18" i="77"/>
  <c r="H18" i="77"/>
  <c r="F18" i="77"/>
  <c r="D18" i="77"/>
  <c r="L18" i="77" s="1"/>
  <c r="R16" i="77"/>
  <c r="Z14" i="77"/>
  <c r="V14" i="77"/>
  <c r="T14" i="77"/>
  <c r="X14" i="77" s="1"/>
  <c r="P14" i="77"/>
  <c r="J14" i="77"/>
  <c r="H14" i="77"/>
  <c r="N14" i="77" s="1"/>
  <c r="D14" i="77"/>
  <c r="L14" i="77" s="1"/>
  <c r="Z12" i="77"/>
  <c r="T12" i="77"/>
  <c r="V66" i="77" s="1"/>
  <c r="P12" i="77"/>
  <c r="R58" i="77" s="1"/>
  <c r="H12" i="77"/>
  <c r="J59" i="77" s="1"/>
  <c r="D12" i="77"/>
  <c r="F57" i="77" s="1"/>
  <c r="D6" i="77"/>
  <c r="D4" i="77"/>
  <c r="V75" i="76"/>
  <c r="Z70" i="76"/>
  <c r="X70" i="76"/>
  <c r="V70" i="76"/>
  <c r="N70" i="76"/>
  <c r="L70" i="76"/>
  <c r="V68" i="76"/>
  <c r="Z66" i="76"/>
  <c r="X66" i="76"/>
  <c r="T66" i="76"/>
  <c r="P66" i="76"/>
  <c r="N66" i="76"/>
  <c r="J66" i="76"/>
  <c r="H66" i="76"/>
  <c r="L66" i="76" s="1"/>
  <c r="D66" i="76"/>
  <c r="X64" i="76"/>
  <c r="Z64" i="76" s="1"/>
  <c r="V64" i="76"/>
  <c r="N64" i="76"/>
  <c r="L64" i="76"/>
  <c r="B64" i="76"/>
  <c r="Z63" i="76"/>
  <c r="X63" i="76"/>
  <c r="T63" i="76"/>
  <c r="P63" i="76"/>
  <c r="H63" i="76"/>
  <c r="D63" i="76"/>
  <c r="L63" i="76" s="1"/>
  <c r="B63" i="76"/>
  <c r="Z62" i="76"/>
  <c r="X62" i="76"/>
  <c r="R62" i="76"/>
  <c r="N62" i="76"/>
  <c r="L62" i="76"/>
  <c r="B62" i="76"/>
  <c r="V61" i="76"/>
  <c r="T61" i="76"/>
  <c r="P61" i="76"/>
  <c r="X61" i="76" s="1"/>
  <c r="N61" i="76"/>
  <c r="H61" i="76"/>
  <c r="D61" i="76"/>
  <c r="L61" i="76" s="1"/>
  <c r="B61" i="76"/>
  <c r="Z60" i="76"/>
  <c r="X60" i="76"/>
  <c r="L60" i="76"/>
  <c r="N60" i="76" s="1"/>
  <c r="J60" i="76"/>
  <c r="B60" i="76"/>
  <c r="Z59" i="76"/>
  <c r="X59" i="76"/>
  <c r="N59" i="76"/>
  <c r="L59" i="76"/>
  <c r="B59" i="76"/>
  <c r="Z58" i="76"/>
  <c r="X58" i="76"/>
  <c r="N58" i="76"/>
  <c r="L58" i="76"/>
  <c r="B58" i="76"/>
  <c r="Z57" i="76"/>
  <c r="X57" i="76"/>
  <c r="V57" i="76"/>
  <c r="L57" i="76"/>
  <c r="N57" i="76" s="1"/>
  <c r="B57" i="76"/>
  <c r="X56" i="76"/>
  <c r="Z56" i="76" s="1"/>
  <c r="V56" i="76"/>
  <c r="N56" i="76"/>
  <c r="L56" i="76"/>
  <c r="B56" i="76"/>
  <c r="Z55" i="76"/>
  <c r="X55" i="76"/>
  <c r="T55" i="76"/>
  <c r="P55" i="76"/>
  <c r="J55" i="76"/>
  <c r="H55" i="76"/>
  <c r="D55" i="76"/>
  <c r="L55" i="76" s="1"/>
  <c r="B55" i="76"/>
  <c r="Z54" i="76"/>
  <c r="X54" i="76"/>
  <c r="N54" i="76"/>
  <c r="L54" i="76"/>
  <c r="B54" i="76"/>
  <c r="V53" i="76"/>
  <c r="T53" i="76"/>
  <c r="Z53" i="76" s="1"/>
  <c r="P53" i="76"/>
  <c r="X53" i="76" s="1"/>
  <c r="N53" i="76"/>
  <c r="H53" i="76"/>
  <c r="D53" i="76"/>
  <c r="L53" i="76" s="1"/>
  <c r="B53" i="76"/>
  <c r="Z52" i="76"/>
  <c r="X52" i="76"/>
  <c r="L52" i="76"/>
  <c r="N52" i="76" s="1"/>
  <c r="J52" i="76"/>
  <c r="B52" i="76"/>
  <c r="Z51" i="76"/>
  <c r="X51" i="76"/>
  <c r="N51" i="76"/>
  <c r="L51" i="76"/>
  <c r="B51" i="76"/>
  <c r="T50" i="76"/>
  <c r="P50" i="76"/>
  <c r="L50" i="76"/>
  <c r="N50" i="76" s="1"/>
  <c r="H50" i="76"/>
  <c r="D50" i="76"/>
  <c r="B50" i="76"/>
  <c r="X49" i="76"/>
  <c r="Z49" i="76" s="1"/>
  <c r="V49" i="76"/>
  <c r="L49" i="76"/>
  <c r="N49" i="76" s="1"/>
  <c r="F49" i="76"/>
  <c r="B49" i="76"/>
  <c r="X48" i="76"/>
  <c r="Z48" i="76" s="1"/>
  <c r="T48" i="76"/>
  <c r="P48" i="76"/>
  <c r="H48" i="76"/>
  <c r="D48" i="76"/>
  <c r="B48" i="76"/>
  <c r="Z47" i="76"/>
  <c r="X47" i="76"/>
  <c r="N47" i="76"/>
  <c r="L47" i="76"/>
  <c r="B47" i="76"/>
  <c r="Z46" i="76"/>
  <c r="X46" i="76"/>
  <c r="V46" i="76"/>
  <c r="R46" i="76"/>
  <c r="N46" i="76"/>
  <c r="L46" i="76"/>
  <c r="B46" i="76"/>
  <c r="X45" i="76"/>
  <c r="Z45" i="76" s="1"/>
  <c r="V45" i="76"/>
  <c r="T45" i="76"/>
  <c r="P45" i="76"/>
  <c r="H45" i="76"/>
  <c r="L45" i="76" s="1"/>
  <c r="N45" i="76" s="1"/>
  <c r="F45" i="76"/>
  <c r="D45" i="76"/>
  <c r="B45" i="76"/>
  <c r="Z44" i="76"/>
  <c r="X44" i="76"/>
  <c r="V44" i="76"/>
  <c r="N44" i="76"/>
  <c r="L44" i="76"/>
  <c r="B44" i="76"/>
  <c r="T43" i="76"/>
  <c r="R43" i="76"/>
  <c r="P43" i="76"/>
  <c r="H43" i="76"/>
  <c r="N43" i="76" s="1"/>
  <c r="D43" i="76"/>
  <c r="L43" i="76" s="1"/>
  <c r="B43" i="76"/>
  <c r="Z42" i="76"/>
  <c r="X42" i="76"/>
  <c r="N42" i="76"/>
  <c r="L42" i="76"/>
  <c r="J42" i="76"/>
  <c r="F42" i="76"/>
  <c r="B42" i="76"/>
  <c r="V41" i="76"/>
  <c r="T41" i="76"/>
  <c r="Z41" i="76" s="1"/>
  <c r="P41" i="76"/>
  <c r="X41" i="76" s="1"/>
  <c r="N41" i="76"/>
  <c r="H41" i="76"/>
  <c r="D41" i="76"/>
  <c r="L41" i="76" s="1"/>
  <c r="B41" i="76"/>
  <c r="Z40" i="76"/>
  <c r="X40" i="76"/>
  <c r="N40" i="76"/>
  <c r="L40" i="76"/>
  <c r="B40" i="76"/>
  <c r="Z39" i="76"/>
  <c r="X39" i="76"/>
  <c r="N39" i="76"/>
  <c r="L39" i="76"/>
  <c r="F39" i="76"/>
  <c r="B39" i="76"/>
  <c r="Z38" i="76"/>
  <c r="X38" i="76"/>
  <c r="N38" i="76"/>
  <c r="L38" i="76"/>
  <c r="J38" i="76"/>
  <c r="F38" i="76"/>
  <c r="B38" i="76"/>
  <c r="Z37" i="76"/>
  <c r="X37" i="76"/>
  <c r="V37" i="76"/>
  <c r="N37" i="76"/>
  <c r="L37" i="76"/>
  <c r="J37" i="76"/>
  <c r="B37" i="76"/>
  <c r="Z36" i="76"/>
  <c r="X36" i="76"/>
  <c r="V36" i="76"/>
  <c r="N36" i="76"/>
  <c r="L36" i="76"/>
  <c r="B36" i="76"/>
  <c r="Z35" i="76"/>
  <c r="X35" i="76"/>
  <c r="N35" i="76"/>
  <c r="L35" i="76"/>
  <c r="B35" i="76"/>
  <c r="Z34" i="76"/>
  <c r="X34" i="76"/>
  <c r="V34" i="76"/>
  <c r="N34" i="76"/>
  <c r="L34" i="76"/>
  <c r="F34" i="76"/>
  <c r="B34" i="76"/>
  <c r="Z33" i="76"/>
  <c r="X33" i="76"/>
  <c r="V33" i="76"/>
  <c r="N33" i="76"/>
  <c r="L33" i="76"/>
  <c r="J33" i="76"/>
  <c r="F33" i="76"/>
  <c r="B33" i="76"/>
  <c r="X32" i="76"/>
  <c r="Z32" i="76" s="1"/>
  <c r="L32" i="76"/>
  <c r="N32" i="76" s="1"/>
  <c r="J32" i="76"/>
  <c r="B32" i="76"/>
  <c r="Z31" i="76"/>
  <c r="X31" i="76"/>
  <c r="N31" i="76"/>
  <c r="L31" i="76"/>
  <c r="F31" i="76"/>
  <c r="B31" i="76"/>
  <c r="T30" i="76"/>
  <c r="P30" i="76"/>
  <c r="N30" i="76"/>
  <c r="H30" i="76"/>
  <c r="D30" i="76"/>
  <c r="L30" i="76" s="1"/>
  <c r="B30" i="76"/>
  <c r="Z29" i="76"/>
  <c r="X29" i="76"/>
  <c r="V29" i="76"/>
  <c r="N29" i="76"/>
  <c r="L29" i="76"/>
  <c r="F29" i="76"/>
  <c r="B29" i="76"/>
  <c r="Z28" i="76"/>
  <c r="X28" i="76"/>
  <c r="L28" i="76"/>
  <c r="N28" i="76" s="1"/>
  <c r="J28" i="76"/>
  <c r="B28" i="76"/>
  <c r="Z27" i="76"/>
  <c r="X27" i="76"/>
  <c r="N27" i="76"/>
  <c r="L27" i="76"/>
  <c r="B27" i="76"/>
  <c r="Z26" i="76"/>
  <c r="X26" i="76"/>
  <c r="N26" i="76"/>
  <c r="L26" i="76"/>
  <c r="J26" i="76"/>
  <c r="B26" i="76"/>
  <c r="Z25" i="76"/>
  <c r="X25" i="76"/>
  <c r="V25" i="76"/>
  <c r="R25" i="76"/>
  <c r="L25" i="76"/>
  <c r="N25" i="76" s="1"/>
  <c r="J25" i="76"/>
  <c r="B25" i="76"/>
  <c r="X24" i="76"/>
  <c r="Z24" i="76" s="1"/>
  <c r="V24" i="76"/>
  <c r="N24" i="76"/>
  <c r="L24" i="76"/>
  <c r="B24" i="76"/>
  <c r="Z23" i="76"/>
  <c r="X23" i="76"/>
  <c r="V23" i="76"/>
  <c r="N23" i="76"/>
  <c r="L23" i="76"/>
  <c r="B23" i="76"/>
  <c r="Z22" i="76"/>
  <c r="X22" i="76"/>
  <c r="V22" i="76"/>
  <c r="N22" i="76"/>
  <c r="L22" i="76"/>
  <c r="B22" i="76"/>
  <c r="X21" i="76"/>
  <c r="Z21" i="76" s="1"/>
  <c r="V21" i="76"/>
  <c r="N21" i="76"/>
  <c r="L21" i="76"/>
  <c r="J21" i="76"/>
  <c r="F21" i="76"/>
  <c r="B21" i="76"/>
  <c r="X20" i="76"/>
  <c r="Z20" i="76" s="1"/>
  <c r="V20" i="76"/>
  <c r="T20" i="76"/>
  <c r="P20" i="76"/>
  <c r="N20" i="76"/>
  <c r="J20" i="76"/>
  <c r="H20" i="76"/>
  <c r="L20" i="76" s="1"/>
  <c r="D20" i="76"/>
  <c r="B20" i="76"/>
  <c r="V19" i="76"/>
  <c r="T19" i="76"/>
  <c r="P19" i="76"/>
  <c r="X19" i="76" s="1"/>
  <c r="Z19" i="76" s="1"/>
  <c r="H19" i="76"/>
  <c r="D19" i="76"/>
  <c r="Z15" i="76"/>
  <c r="X15" i="76"/>
  <c r="V15" i="76"/>
  <c r="N15" i="76"/>
  <c r="L15" i="76"/>
  <c r="B15" i="76"/>
  <c r="V14" i="76"/>
  <c r="T14" i="76"/>
  <c r="P14" i="76"/>
  <c r="L14" i="76"/>
  <c r="H14" i="76"/>
  <c r="N14" i="76" s="1"/>
  <c r="F14" i="76"/>
  <c r="D14" i="76"/>
  <c r="Z12" i="76"/>
  <c r="T12" i="76"/>
  <c r="V72" i="76" s="1"/>
  <c r="P12" i="76"/>
  <c r="R63" i="76" s="1"/>
  <c r="N12" i="76"/>
  <c r="H12" i="76"/>
  <c r="J49" i="76" s="1"/>
  <c r="D12" i="76"/>
  <c r="F75" i="76" s="1"/>
  <c r="D6" i="76"/>
  <c r="D4" i="76"/>
  <c r="X88" i="75"/>
  <c r="Z88" i="75" s="1"/>
  <c r="N88" i="75"/>
  <c r="L88" i="75"/>
  <c r="Z84" i="75"/>
  <c r="T84" i="75"/>
  <c r="P84" i="75"/>
  <c r="X84" i="75" s="1"/>
  <c r="N84" i="75"/>
  <c r="J84" i="75"/>
  <c r="H84" i="75"/>
  <c r="L84" i="75" s="1"/>
  <c r="D84" i="75"/>
  <c r="X82" i="75"/>
  <c r="Z82" i="75" s="1"/>
  <c r="L82" i="75"/>
  <c r="N82" i="75" s="1"/>
  <c r="B82" i="75"/>
  <c r="T81" i="75"/>
  <c r="X81" i="75" s="1"/>
  <c r="Z81" i="75" s="1"/>
  <c r="P81" i="75"/>
  <c r="H81" i="75"/>
  <c r="D81" i="75"/>
  <c r="L81" i="75" s="1"/>
  <c r="B81" i="75"/>
  <c r="Z80" i="75"/>
  <c r="X80" i="75"/>
  <c r="N80" i="75"/>
  <c r="L80" i="75"/>
  <c r="B80" i="75"/>
  <c r="Z79" i="75"/>
  <c r="X79" i="75"/>
  <c r="N79" i="75"/>
  <c r="L79" i="75"/>
  <c r="B79" i="75"/>
  <c r="V78" i="75"/>
  <c r="T78" i="75"/>
  <c r="P78" i="75"/>
  <c r="X78" i="75" s="1"/>
  <c r="H78" i="75"/>
  <c r="D78" i="75"/>
  <c r="B78" i="75"/>
  <c r="Z77" i="75"/>
  <c r="X77" i="75"/>
  <c r="L77" i="75"/>
  <c r="N77" i="75" s="1"/>
  <c r="J77" i="75"/>
  <c r="B77" i="75"/>
  <c r="T76" i="75"/>
  <c r="P76" i="75"/>
  <c r="X76" i="75" s="1"/>
  <c r="Z76" i="75" s="1"/>
  <c r="N76" i="75"/>
  <c r="H76" i="75"/>
  <c r="D76" i="75"/>
  <c r="L76" i="75" s="1"/>
  <c r="B76" i="75"/>
  <c r="Z75" i="75"/>
  <c r="X75" i="75"/>
  <c r="N75" i="75"/>
  <c r="L75" i="75"/>
  <c r="J75" i="75"/>
  <c r="B75" i="75"/>
  <c r="X74" i="75"/>
  <c r="Z74" i="75" s="1"/>
  <c r="L74" i="75"/>
  <c r="N74" i="75" s="1"/>
  <c r="B74" i="75"/>
  <c r="X73" i="75"/>
  <c r="Z73" i="75" s="1"/>
  <c r="N73" i="75"/>
  <c r="L73" i="75"/>
  <c r="B73" i="75"/>
  <c r="T72" i="75"/>
  <c r="P72" i="75"/>
  <c r="X72" i="75" s="1"/>
  <c r="Z72" i="75" s="1"/>
  <c r="N72" i="75"/>
  <c r="L72" i="75"/>
  <c r="H72" i="75"/>
  <c r="D72" i="75"/>
  <c r="B72" i="75"/>
  <c r="X71" i="75"/>
  <c r="Z71" i="75" s="1"/>
  <c r="N71" i="75"/>
  <c r="L71" i="75"/>
  <c r="B71" i="75"/>
  <c r="X70" i="75"/>
  <c r="Z70" i="75" s="1"/>
  <c r="L70" i="75"/>
  <c r="N70" i="75" s="1"/>
  <c r="J70" i="75"/>
  <c r="B70" i="75"/>
  <c r="X69" i="75"/>
  <c r="Z69" i="75" s="1"/>
  <c r="T69" i="75"/>
  <c r="P69" i="75"/>
  <c r="N69" i="75"/>
  <c r="H69" i="75"/>
  <c r="L69" i="75" s="1"/>
  <c r="D69" i="75"/>
  <c r="B69" i="75"/>
  <c r="Z68" i="75"/>
  <c r="X68" i="75"/>
  <c r="N68" i="75"/>
  <c r="L68" i="75"/>
  <c r="B68" i="75"/>
  <c r="X67" i="75"/>
  <c r="Z67" i="75" s="1"/>
  <c r="L67" i="75"/>
  <c r="N67" i="75" s="1"/>
  <c r="B67" i="75"/>
  <c r="X66" i="75"/>
  <c r="Z66" i="75" s="1"/>
  <c r="V66" i="75"/>
  <c r="T66" i="75"/>
  <c r="P66" i="75"/>
  <c r="N66" i="75"/>
  <c r="L66" i="75"/>
  <c r="H66" i="75"/>
  <c r="D66" i="75"/>
  <c r="B66" i="75"/>
  <c r="Z65" i="75"/>
  <c r="X65" i="75"/>
  <c r="N65" i="75"/>
  <c r="L65" i="75"/>
  <c r="B65" i="75"/>
  <c r="Z64" i="75"/>
  <c r="X64" i="75"/>
  <c r="N64" i="75"/>
  <c r="L64" i="75"/>
  <c r="B64" i="75"/>
  <c r="T63" i="75"/>
  <c r="P63" i="75"/>
  <c r="H63" i="75"/>
  <c r="D63" i="75"/>
  <c r="L63" i="75" s="1"/>
  <c r="N63" i="75" s="1"/>
  <c r="B63" i="75"/>
  <c r="X62" i="75"/>
  <c r="Z62" i="75" s="1"/>
  <c r="N62" i="75"/>
  <c r="L62" i="75"/>
  <c r="B62" i="75"/>
  <c r="Z61" i="75"/>
  <c r="T61" i="75"/>
  <c r="X61" i="75" s="1"/>
  <c r="P61" i="75"/>
  <c r="N61" i="75"/>
  <c r="L61" i="75"/>
  <c r="J61" i="75"/>
  <c r="H61" i="75"/>
  <c r="D61" i="75"/>
  <c r="B61" i="75"/>
  <c r="X60" i="75"/>
  <c r="Z60" i="75" s="1"/>
  <c r="L60" i="75"/>
  <c r="N60" i="75" s="1"/>
  <c r="J60" i="75"/>
  <c r="B60" i="75"/>
  <c r="X59" i="75"/>
  <c r="Z59" i="75" s="1"/>
  <c r="T59" i="75"/>
  <c r="P59" i="75"/>
  <c r="H59" i="75"/>
  <c r="D59" i="75"/>
  <c r="B59" i="75"/>
  <c r="Z58" i="75"/>
  <c r="X58" i="75"/>
  <c r="L58" i="75"/>
  <c r="N58" i="75" s="1"/>
  <c r="B58" i="75"/>
  <c r="T57" i="75"/>
  <c r="P57" i="75"/>
  <c r="X57" i="75" s="1"/>
  <c r="L57" i="75"/>
  <c r="N57" i="75" s="1"/>
  <c r="H57" i="75"/>
  <c r="D57" i="75"/>
  <c r="B57" i="75"/>
  <c r="X56" i="75"/>
  <c r="Z56" i="75" s="1"/>
  <c r="L56" i="75"/>
  <c r="N56" i="75" s="1"/>
  <c r="J56" i="75"/>
  <c r="B56" i="75"/>
  <c r="Z55" i="75"/>
  <c r="X55" i="75"/>
  <c r="T55" i="75"/>
  <c r="P55" i="75"/>
  <c r="N55" i="75"/>
  <c r="H55" i="75"/>
  <c r="L55" i="75" s="1"/>
  <c r="D55" i="75"/>
  <c r="B55" i="75"/>
  <c r="X54" i="75"/>
  <c r="Z54" i="75" s="1"/>
  <c r="N54" i="75"/>
  <c r="L54" i="75"/>
  <c r="B54" i="75"/>
  <c r="T53" i="75"/>
  <c r="X53" i="75" s="1"/>
  <c r="P53" i="75"/>
  <c r="H53" i="75"/>
  <c r="D53" i="75"/>
  <c r="L53" i="75" s="1"/>
  <c r="N53" i="75" s="1"/>
  <c r="B53" i="75"/>
  <c r="X52" i="75"/>
  <c r="Z52" i="75" s="1"/>
  <c r="V52" i="75"/>
  <c r="L52" i="75"/>
  <c r="N52" i="75" s="1"/>
  <c r="J52" i="75"/>
  <c r="B52" i="75"/>
  <c r="X51" i="75"/>
  <c r="Z51" i="75" s="1"/>
  <c r="T51" i="75"/>
  <c r="P51" i="75"/>
  <c r="J51" i="75"/>
  <c r="H51" i="75"/>
  <c r="D51" i="75"/>
  <c r="L51" i="75" s="1"/>
  <c r="B51" i="75"/>
  <c r="Z50" i="75"/>
  <c r="X50" i="75"/>
  <c r="N50" i="75"/>
  <c r="L50" i="75"/>
  <c r="B50" i="75"/>
  <c r="T49" i="75"/>
  <c r="P49" i="75"/>
  <c r="N49" i="75"/>
  <c r="L49" i="75"/>
  <c r="H49" i="75"/>
  <c r="D49" i="75"/>
  <c r="B49" i="75"/>
  <c r="X48" i="75"/>
  <c r="Z48" i="75" s="1"/>
  <c r="L48" i="75"/>
  <c r="N48" i="75" s="1"/>
  <c r="B48" i="75"/>
  <c r="X47" i="75"/>
  <c r="Z47" i="75" s="1"/>
  <c r="T47" i="75"/>
  <c r="P47" i="75"/>
  <c r="H47" i="75"/>
  <c r="L47" i="75" s="1"/>
  <c r="D47" i="75"/>
  <c r="B47" i="75"/>
  <c r="X46" i="75"/>
  <c r="Z46" i="75" s="1"/>
  <c r="N46" i="75"/>
  <c r="L46" i="75"/>
  <c r="B46" i="75"/>
  <c r="Z45" i="75"/>
  <c r="T45" i="75"/>
  <c r="X45" i="75" s="1"/>
  <c r="P45" i="75"/>
  <c r="J45" i="75"/>
  <c r="H45" i="75"/>
  <c r="D45" i="75"/>
  <c r="L45" i="75" s="1"/>
  <c r="N45" i="75" s="1"/>
  <c r="B45" i="75"/>
  <c r="Z44" i="75"/>
  <c r="X44" i="75"/>
  <c r="N44" i="75"/>
  <c r="L44" i="75"/>
  <c r="B44" i="75"/>
  <c r="Z43" i="75"/>
  <c r="X43" i="75"/>
  <c r="N43" i="75"/>
  <c r="L43" i="75"/>
  <c r="B43" i="75"/>
  <c r="Z42" i="75"/>
  <c r="X42" i="75"/>
  <c r="N42" i="75"/>
  <c r="L42" i="75"/>
  <c r="B42" i="75"/>
  <c r="Z41" i="75"/>
  <c r="X41" i="75"/>
  <c r="L41" i="75"/>
  <c r="N41" i="75" s="1"/>
  <c r="B41" i="75"/>
  <c r="Z40" i="75"/>
  <c r="X40" i="75"/>
  <c r="N40" i="75"/>
  <c r="L40" i="75"/>
  <c r="B40" i="75"/>
  <c r="Z39" i="75"/>
  <c r="X39" i="75"/>
  <c r="N39" i="75"/>
  <c r="L39" i="75"/>
  <c r="B39" i="75"/>
  <c r="Z38" i="75"/>
  <c r="X38" i="75"/>
  <c r="L38" i="75"/>
  <c r="N38" i="75" s="1"/>
  <c r="B38" i="75"/>
  <c r="Z37" i="75"/>
  <c r="X37" i="75"/>
  <c r="N37" i="75"/>
  <c r="L37" i="75"/>
  <c r="J37" i="75"/>
  <c r="B37" i="75"/>
  <c r="X36" i="75"/>
  <c r="Z36" i="75" s="1"/>
  <c r="L36" i="75"/>
  <c r="N36" i="75" s="1"/>
  <c r="B36" i="75"/>
  <c r="Z35" i="75"/>
  <c r="X35" i="75"/>
  <c r="N35" i="75"/>
  <c r="L35" i="75"/>
  <c r="B35" i="75"/>
  <c r="X34" i="75"/>
  <c r="T34" i="75"/>
  <c r="Z34" i="75" s="1"/>
  <c r="P34" i="75"/>
  <c r="L34" i="75"/>
  <c r="J34" i="75"/>
  <c r="H34" i="75"/>
  <c r="D34" i="75"/>
  <c r="B34" i="75"/>
  <c r="Z33" i="75"/>
  <c r="X33" i="75"/>
  <c r="N33" i="75"/>
  <c r="L33" i="75"/>
  <c r="B33" i="75"/>
  <c r="X32" i="75"/>
  <c r="Z32" i="75" s="1"/>
  <c r="L32" i="75"/>
  <c r="N32" i="75" s="1"/>
  <c r="B32" i="75"/>
  <c r="Z31" i="75"/>
  <c r="X31" i="75"/>
  <c r="L31" i="75"/>
  <c r="N31" i="75" s="1"/>
  <c r="B31" i="75"/>
  <c r="Z30" i="75"/>
  <c r="X30" i="75"/>
  <c r="N30" i="75"/>
  <c r="L30" i="75"/>
  <c r="B30" i="75"/>
  <c r="X29" i="75"/>
  <c r="Z29" i="75" s="1"/>
  <c r="N29" i="75"/>
  <c r="L29" i="75"/>
  <c r="J29" i="75"/>
  <c r="B29" i="75"/>
  <c r="Z28" i="75"/>
  <c r="X28" i="75"/>
  <c r="L28" i="75"/>
  <c r="N28" i="75" s="1"/>
  <c r="B28" i="75"/>
  <c r="X27" i="75"/>
  <c r="Z27" i="75" s="1"/>
  <c r="N27" i="75"/>
  <c r="L27" i="75"/>
  <c r="J27" i="75"/>
  <c r="B27" i="75"/>
  <c r="Z26" i="75"/>
  <c r="X26" i="75"/>
  <c r="N26" i="75"/>
  <c r="L26" i="75"/>
  <c r="J26" i="75"/>
  <c r="B26" i="75"/>
  <c r="Z25" i="75"/>
  <c r="X25" i="75"/>
  <c r="V25" i="75"/>
  <c r="L25" i="75"/>
  <c r="N25" i="75" s="1"/>
  <c r="B25" i="75"/>
  <c r="V24" i="75"/>
  <c r="T24" i="75"/>
  <c r="P24" i="75"/>
  <c r="X24" i="75" s="1"/>
  <c r="H24" i="75"/>
  <c r="D24" i="75"/>
  <c r="B24" i="75"/>
  <c r="T23" i="75"/>
  <c r="P23" i="75"/>
  <c r="X23" i="75" s="1"/>
  <c r="Z23" i="75" s="1"/>
  <c r="H23" i="75"/>
  <c r="J23" i="75" s="1"/>
  <c r="D23" i="75"/>
  <c r="Z19" i="75"/>
  <c r="X19" i="75"/>
  <c r="N19" i="75"/>
  <c r="L19" i="75"/>
  <c r="J19" i="75"/>
  <c r="B19" i="75"/>
  <c r="Z18" i="75"/>
  <c r="X18" i="75"/>
  <c r="L18" i="75"/>
  <c r="N18" i="75" s="1"/>
  <c r="J18" i="75"/>
  <c r="B18" i="75"/>
  <c r="T17" i="75"/>
  <c r="P17" i="75"/>
  <c r="N17" i="75"/>
  <c r="L17" i="75"/>
  <c r="H17" i="75"/>
  <c r="D17" i="75"/>
  <c r="Z15" i="75"/>
  <c r="P15" i="75"/>
  <c r="X15" i="75" s="1"/>
  <c r="N15" i="75"/>
  <c r="D15" i="75"/>
  <c r="L15" i="75" s="1"/>
  <c r="B15" i="75"/>
  <c r="Z14" i="75"/>
  <c r="P14" i="75"/>
  <c r="N14" i="75"/>
  <c r="L14" i="75"/>
  <c r="D14" i="75"/>
  <c r="B14" i="75"/>
  <c r="X13" i="75"/>
  <c r="Z13" i="75" s="1"/>
  <c r="P13" i="75"/>
  <c r="D13" i="75"/>
  <c r="B13" i="75"/>
  <c r="T12" i="75"/>
  <c r="V75" i="75" s="1"/>
  <c r="H12" i="75"/>
  <c r="D6" i="75"/>
  <c r="D4" i="75"/>
  <c r="F78" i="74"/>
  <c r="F75" i="74"/>
  <c r="Z73" i="74"/>
  <c r="X73" i="74"/>
  <c r="N73" i="74"/>
  <c r="L73" i="74"/>
  <c r="J73" i="74"/>
  <c r="F71" i="74"/>
  <c r="V69" i="74"/>
  <c r="T69" i="74"/>
  <c r="Z69" i="74" s="1"/>
  <c r="R69" i="74"/>
  <c r="P69" i="74"/>
  <c r="N69" i="74"/>
  <c r="L69" i="74"/>
  <c r="H69" i="74"/>
  <c r="F69" i="74"/>
  <c r="D69" i="74"/>
  <c r="Z67" i="74"/>
  <c r="X67" i="74"/>
  <c r="N67" i="74"/>
  <c r="L67" i="74"/>
  <c r="J67" i="74"/>
  <c r="B67" i="74"/>
  <c r="V66" i="74"/>
  <c r="T66" i="74"/>
  <c r="Z66" i="74" s="1"/>
  <c r="P66" i="74"/>
  <c r="X66" i="74" s="1"/>
  <c r="L66" i="74"/>
  <c r="H66" i="74"/>
  <c r="N66" i="74" s="1"/>
  <c r="F66" i="74"/>
  <c r="D66" i="74"/>
  <c r="B66" i="74"/>
  <c r="Z65" i="74"/>
  <c r="X65" i="74"/>
  <c r="V65" i="74"/>
  <c r="L65" i="74"/>
  <c r="N65" i="74" s="1"/>
  <c r="B65" i="74"/>
  <c r="X64" i="74"/>
  <c r="Z64" i="74" s="1"/>
  <c r="N64" i="74"/>
  <c r="L64" i="74"/>
  <c r="F64" i="74"/>
  <c r="B64" i="74"/>
  <c r="T63" i="74"/>
  <c r="X63" i="74" s="1"/>
  <c r="Z63" i="74" s="1"/>
  <c r="P63" i="74"/>
  <c r="J63" i="74"/>
  <c r="H63" i="74"/>
  <c r="D63" i="74"/>
  <c r="L63" i="74" s="1"/>
  <c r="N63" i="74" s="1"/>
  <c r="B63" i="74"/>
  <c r="Z62" i="74"/>
  <c r="X62" i="74"/>
  <c r="R62" i="74"/>
  <c r="N62" i="74"/>
  <c r="L62" i="74"/>
  <c r="J62" i="74"/>
  <c r="B62" i="74"/>
  <c r="Z61" i="74"/>
  <c r="X61" i="74"/>
  <c r="V61" i="74"/>
  <c r="N61" i="74"/>
  <c r="L61" i="74"/>
  <c r="B61" i="74"/>
  <c r="Z60" i="74"/>
  <c r="X60" i="74"/>
  <c r="N60" i="74"/>
  <c r="L60" i="74"/>
  <c r="F60" i="74"/>
  <c r="B60" i="74"/>
  <c r="Z59" i="74"/>
  <c r="X59" i="74"/>
  <c r="N59" i="74"/>
  <c r="L59" i="74"/>
  <c r="J59" i="74"/>
  <c r="B59" i="74"/>
  <c r="Z58" i="74"/>
  <c r="X58" i="74"/>
  <c r="V58" i="74"/>
  <c r="N58" i="74"/>
  <c r="L58" i="74"/>
  <c r="F58" i="74"/>
  <c r="B58" i="74"/>
  <c r="Z57" i="74"/>
  <c r="X57" i="74"/>
  <c r="T57" i="74"/>
  <c r="P57" i="74"/>
  <c r="N57" i="74"/>
  <c r="H57" i="74"/>
  <c r="L57" i="74" s="1"/>
  <c r="D57" i="74"/>
  <c r="B57" i="74"/>
  <c r="X56" i="74"/>
  <c r="Z56" i="74" s="1"/>
  <c r="N56" i="74"/>
  <c r="L56" i="74"/>
  <c r="F56" i="74"/>
  <c r="B56" i="74"/>
  <c r="Z55" i="74"/>
  <c r="X55" i="74"/>
  <c r="N55" i="74"/>
  <c r="L55" i="74"/>
  <c r="J55" i="74"/>
  <c r="B55" i="74"/>
  <c r="V54" i="74"/>
  <c r="T54" i="74"/>
  <c r="Z54" i="74" s="1"/>
  <c r="P54" i="74"/>
  <c r="X54" i="74" s="1"/>
  <c r="L54" i="74"/>
  <c r="N54" i="74" s="1"/>
  <c r="H54" i="74"/>
  <c r="F54" i="74"/>
  <c r="D54" i="74"/>
  <c r="B54" i="74"/>
  <c r="Z53" i="74"/>
  <c r="X53" i="74"/>
  <c r="V53" i="74"/>
  <c r="L53" i="74"/>
  <c r="N53" i="74" s="1"/>
  <c r="B53" i="74"/>
  <c r="X52" i="74"/>
  <c r="Z52" i="74" s="1"/>
  <c r="T52" i="74"/>
  <c r="P52" i="74"/>
  <c r="H52" i="74"/>
  <c r="D52" i="74"/>
  <c r="B52" i="74"/>
  <c r="Z51" i="74"/>
  <c r="X51" i="74"/>
  <c r="V51" i="74"/>
  <c r="N51" i="74"/>
  <c r="L51" i="74"/>
  <c r="F51" i="74"/>
  <c r="B51" i="74"/>
  <c r="T50" i="74"/>
  <c r="P50" i="74"/>
  <c r="H50" i="74"/>
  <c r="D50" i="74"/>
  <c r="L50" i="74" s="1"/>
  <c r="N50" i="74" s="1"/>
  <c r="B50" i="74"/>
  <c r="X49" i="74"/>
  <c r="Z49" i="74" s="1"/>
  <c r="N49" i="74"/>
  <c r="L49" i="74"/>
  <c r="J49" i="74"/>
  <c r="B49" i="74"/>
  <c r="T48" i="74"/>
  <c r="P48" i="74"/>
  <c r="X48" i="74" s="1"/>
  <c r="Z48" i="74" s="1"/>
  <c r="J48" i="74"/>
  <c r="H48" i="74"/>
  <c r="N48" i="74" s="1"/>
  <c r="D48" i="74"/>
  <c r="L48" i="74" s="1"/>
  <c r="B48" i="74"/>
  <c r="Z47" i="74"/>
  <c r="X47" i="74"/>
  <c r="N47" i="74"/>
  <c r="L47" i="74"/>
  <c r="J47" i="74"/>
  <c r="B47" i="74"/>
  <c r="Z46" i="74"/>
  <c r="X46" i="74"/>
  <c r="V46" i="74"/>
  <c r="N46" i="74"/>
  <c r="L46" i="74"/>
  <c r="F46" i="74"/>
  <c r="B46" i="74"/>
  <c r="X45" i="74"/>
  <c r="Z45" i="74" s="1"/>
  <c r="T45" i="74"/>
  <c r="P45" i="74"/>
  <c r="N45" i="74"/>
  <c r="H45" i="74"/>
  <c r="L45" i="74" s="1"/>
  <c r="D45" i="74"/>
  <c r="B45" i="74"/>
  <c r="Z44" i="74"/>
  <c r="X44" i="74"/>
  <c r="N44" i="74"/>
  <c r="L44" i="74"/>
  <c r="F44" i="74"/>
  <c r="B44" i="74"/>
  <c r="Z43" i="74"/>
  <c r="T43" i="74"/>
  <c r="X43" i="74" s="1"/>
  <c r="P43" i="74"/>
  <c r="N43" i="74"/>
  <c r="J43" i="74"/>
  <c r="H43" i="74"/>
  <c r="D43" i="74"/>
  <c r="L43" i="74" s="1"/>
  <c r="B43" i="74"/>
  <c r="Z42" i="74"/>
  <c r="X42" i="74"/>
  <c r="R42" i="74"/>
  <c r="N42" i="74"/>
  <c r="L42" i="74"/>
  <c r="J42" i="74"/>
  <c r="B42" i="74"/>
  <c r="Z41" i="74"/>
  <c r="V41" i="74"/>
  <c r="T41" i="74"/>
  <c r="P41" i="74"/>
  <c r="X41" i="74" s="1"/>
  <c r="N41" i="74"/>
  <c r="J41" i="74"/>
  <c r="H41" i="74"/>
  <c r="F41" i="74"/>
  <c r="D41" i="74"/>
  <c r="L41" i="74" s="1"/>
  <c r="B41" i="74"/>
  <c r="Z40" i="74"/>
  <c r="X40" i="74"/>
  <c r="N40" i="74"/>
  <c r="L40" i="74"/>
  <c r="B40" i="74"/>
  <c r="Z39" i="74"/>
  <c r="X39" i="74"/>
  <c r="V39" i="74"/>
  <c r="N39" i="74"/>
  <c r="L39" i="74"/>
  <c r="F39" i="74"/>
  <c r="B39" i="74"/>
  <c r="Z38" i="74"/>
  <c r="X38" i="74"/>
  <c r="R38" i="74"/>
  <c r="N38" i="74"/>
  <c r="L38" i="74"/>
  <c r="J38" i="74"/>
  <c r="B38" i="74"/>
  <c r="Z37" i="74"/>
  <c r="X37" i="74"/>
  <c r="V37" i="74"/>
  <c r="N37" i="74"/>
  <c r="L37" i="74"/>
  <c r="J37" i="74"/>
  <c r="B37" i="74"/>
  <c r="Z36" i="74"/>
  <c r="X36" i="74"/>
  <c r="N36" i="74"/>
  <c r="L36" i="74"/>
  <c r="F36" i="74"/>
  <c r="B36" i="74"/>
  <c r="Z35" i="74"/>
  <c r="X35" i="74"/>
  <c r="N35" i="74"/>
  <c r="L35" i="74"/>
  <c r="J35" i="74"/>
  <c r="B35" i="74"/>
  <c r="Z34" i="74"/>
  <c r="X34" i="74"/>
  <c r="V34" i="74"/>
  <c r="N34" i="74"/>
  <c r="L34" i="74"/>
  <c r="F34" i="74"/>
  <c r="B34" i="74"/>
  <c r="Z33" i="74"/>
  <c r="X33" i="74"/>
  <c r="V33" i="74"/>
  <c r="N33" i="74"/>
  <c r="L33" i="74"/>
  <c r="J33" i="74"/>
  <c r="B33" i="74"/>
  <c r="Z32" i="74"/>
  <c r="X32" i="74"/>
  <c r="L32" i="74"/>
  <c r="N32" i="74" s="1"/>
  <c r="B32" i="74"/>
  <c r="Z31" i="74"/>
  <c r="X31" i="74"/>
  <c r="V31" i="74"/>
  <c r="N31" i="74"/>
  <c r="L31" i="74"/>
  <c r="F31" i="74"/>
  <c r="B31" i="74"/>
  <c r="T30" i="74"/>
  <c r="P30" i="74"/>
  <c r="H30" i="74"/>
  <c r="D30" i="74"/>
  <c r="L30" i="74" s="1"/>
  <c r="N30" i="74" s="1"/>
  <c r="B30" i="74"/>
  <c r="X29" i="74"/>
  <c r="Z29" i="74" s="1"/>
  <c r="V29" i="74"/>
  <c r="N29" i="74"/>
  <c r="L29" i="74"/>
  <c r="J29" i="74"/>
  <c r="B29" i="74"/>
  <c r="Z28" i="74"/>
  <c r="X28" i="74"/>
  <c r="L28" i="74"/>
  <c r="N28" i="74" s="1"/>
  <c r="B28" i="74"/>
  <c r="Z27" i="74"/>
  <c r="X27" i="74"/>
  <c r="V27" i="74"/>
  <c r="N27" i="74"/>
  <c r="L27" i="74"/>
  <c r="F27" i="74"/>
  <c r="B27" i="74"/>
  <c r="X26" i="74"/>
  <c r="Z26" i="74" s="1"/>
  <c r="R26" i="74"/>
  <c r="L26" i="74"/>
  <c r="N26" i="74" s="1"/>
  <c r="J26" i="74"/>
  <c r="F26" i="74"/>
  <c r="B26" i="74"/>
  <c r="Z25" i="74"/>
  <c r="X25" i="74"/>
  <c r="V25" i="74"/>
  <c r="L25" i="74"/>
  <c r="N25" i="74" s="1"/>
  <c r="J25" i="74"/>
  <c r="B25" i="74"/>
  <c r="X24" i="74"/>
  <c r="Z24" i="74" s="1"/>
  <c r="N24" i="74"/>
  <c r="L24" i="74"/>
  <c r="F24" i="74"/>
  <c r="B24" i="74"/>
  <c r="Z23" i="74"/>
  <c r="X23" i="74"/>
  <c r="N23" i="74"/>
  <c r="L23" i="74"/>
  <c r="J23" i="74"/>
  <c r="B23" i="74"/>
  <c r="X22" i="74"/>
  <c r="Z22" i="74" s="1"/>
  <c r="V22" i="74"/>
  <c r="L22" i="74"/>
  <c r="N22" i="74" s="1"/>
  <c r="J22" i="74"/>
  <c r="F22" i="74"/>
  <c r="B22" i="74"/>
  <c r="X21" i="74"/>
  <c r="Z21" i="74" s="1"/>
  <c r="V21" i="74"/>
  <c r="T21" i="74"/>
  <c r="P21" i="74"/>
  <c r="H21" i="74"/>
  <c r="F21" i="74"/>
  <c r="D21" i="74"/>
  <c r="L21" i="74" s="1"/>
  <c r="N21" i="74" s="1"/>
  <c r="B21" i="74"/>
  <c r="T20" i="74"/>
  <c r="P20" i="74"/>
  <c r="J20" i="74"/>
  <c r="H20" i="74"/>
  <c r="D20" i="74"/>
  <c r="P18" i="74"/>
  <c r="J18" i="74"/>
  <c r="H18" i="74"/>
  <c r="N18" i="74" s="1"/>
  <c r="Z16" i="74"/>
  <c r="X16" i="74"/>
  <c r="N16" i="74"/>
  <c r="L16" i="74"/>
  <c r="F16" i="74"/>
  <c r="B16" i="74"/>
  <c r="Z15" i="74"/>
  <c r="V15" i="74"/>
  <c r="T15" i="74"/>
  <c r="T18" i="74" s="1"/>
  <c r="P15" i="74"/>
  <c r="X15" i="74" s="1"/>
  <c r="N15" i="74"/>
  <c r="J15" i="74"/>
  <c r="H15" i="74"/>
  <c r="D15" i="74"/>
  <c r="D18" i="74" s="1"/>
  <c r="Z13" i="74"/>
  <c r="P13" i="74"/>
  <c r="X13" i="74" s="1"/>
  <c r="N13" i="74"/>
  <c r="L13" i="74"/>
  <c r="D13" i="74"/>
  <c r="B13" i="74"/>
  <c r="Z12" i="74"/>
  <c r="T12" i="74"/>
  <c r="V73" i="74" s="1"/>
  <c r="P12" i="74"/>
  <c r="R75" i="74" s="1"/>
  <c r="N12" i="74"/>
  <c r="L12" i="74"/>
  <c r="H12" i="74"/>
  <c r="J78" i="74" s="1"/>
  <c r="D12" i="74"/>
  <c r="F62" i="74" s="1"/>
  <c r="D6" i="74"/>
  <c r="D4" i="74"/>
  <c r="X27" i="73"/>
  <c r="Z27" i="73" s="1"/>
  <c r="R27" i="73"/>
  <c r="L27" i="73"/>
  <c r="N27" i="73" s="1"/>
  <c r="V23" i="73"/>
  <c r="T23" i="73"/>
  <c r="Z23" i="73" s="1"/>
  <c r="P23" i="73"/>
  <c r="X23" i="73" s="1"/>
  <c r="L23" i="73"/>
  <c r="H23" i="73"/>
  <c r="N23" i="73" s="1"/>
  <c r="D23" i="73"/>
  <c r="T21" i="73"/>
  <c r="P21" i="73"/>
  <c r="N21" i="73"/>
  <c r="H21" i="73"/>
  <c r="D21" i="73"/>
  <c r="L21" i="73" s="1"/>
  <c r="V19" i="73"/>
  <c r="T19" i="73"/>
  <c r="X17" i="73"/>
  <c r="Z17" i="73" s="1"/>
  <c r="R17" i="73"/>
  <c r="L17" i="73"/>
  <c r="N17" i="73" s="1"/>
  <c r="B17" i="73"/>
  <c r="V16" i="73"/>
  <c r="T16" i="73"/>
  <c r="P16" i="73"/>
  <c r="X16" i="73" s="1"/>
  <c r="Z16" i="73" s="1"/>
  <c r="H16" i="73"/>
  <c r="D16" i="73"/>
  <c r="L16" i="73" s="1"/>
  <c r="N16" i="73" s="1"/>
  <c r="Z14" i="73"/>
  <c r="X14" i="73"/>
  <c r="P14" i="73"/>
  <c r="N14" i="73"/>
  <c r="L14" i="73"/>
  <c r="D14" i="73"/>
  <c r="B14" i="73"/>
  <c r="P13" i="73"/>
  <c r="X13" i="73" s="1"/>
  <c r="Z13" i="73" s="1"/>
  <c r="D13" i="73"/>
  <c r="L13" i="73" s="1"/>
  <c r="N13" i="73" s="1"/>
  <c r="B13" i="73"/>
  <c r="T12" i="73"/>
  <c r="P12" i="73"/>
  <c r="H12" i="73"/>
  <c r="J27" i="73" s="1"/>
  <c r="D6" i="73"/>
  <c r="D4" i="73"/>
  <c r="R65" i="72"/>
  <c r="J62" i="72"/>
  <c r="Z60" i="72"/>
  <c r="X60" i="72"/>
  <c r="N60" i="72"/>
  <c r="L60" i="72"/>
  <c r="J60" i="72"/>
  <c r="R58" i="72"/>
  <c r="Z56" i="72"/>
  <c r="T56" i="72"/>
  <c r="P56" i="72"/>
  <c r="X56" i="72" s="1"/>
  <c r="N56" i="72"/>
  <c r="J56" i="72"/>
  <c r="H56" i="72"/>
  <c r="L56" i="72" s="1"/>
  <c r="D56" i="72"/>
  <c r="X54" i="72"/>
  <c r="Z54" i="72" s="1"/>
  <c r="N54" i="72"/>
  <c r="L54" i="72"/>
  <c r="J54" i="72"/>
  <c r="B54" i="72"/>
  <c r="T53" i="72"/>
  <c r="P53" i="72"/>
  <c r="X53" i="72" s="1"/>
  <c r="Z53" i="72" s="1"/>
  <c r="J53" i="72"/>
  <c r="H53" i="72"/>
  <c r="D53" i="72"/>
  <c r="L53" i="72" s="1"/>
  <c r="B53" i="72"/>
  <c r="Z52" i="72"/>
  <c r="X52" i="72"/>
  <c r="R52" i="72"/>
  <c r="N52" i="72"/>
  <c r="L52" i="72"/>
  <c r="J52" i="72"/>
  <c r="B52" i="72"/>
  <c r="T51" i="72"/>
  <c r="Z51" i="72" s="1"/>
  <c r="P51" i="72"/>
  <c r="X51" i="72" s="1"/>
  <c r="L51" i="72"/>
  <c r="H51" i="72"/>
  <c r="N51" i="72" s="1"/>
  <c r="D51" i="72"/>
  <c r="B51" i="72"/>
  <c r="Z50" i="72"/>
  <c r="X50" i="72"/>
  <c r="N50" i="72"/>
  <c r="L50" i="72"/>
  <c r="B50" i="72"/>
  <c r="X49" i="72"/>
  <c r="T49" i="72"/>
  <c r="Z49" i="72" s="1"/>
  <c r="R49" i="72"/>
  <c r="P49" i="72"/>
  <c r="H49" i="72"/>
  <c r="D49" i="72"/>
  <c r="B49" i="72"/>
  <c r="Z48" i="72"/>
  <c r="X48" i="72"/>
  <c r="N48" i="72"/>
  <c r="L48" i="72"/>
  <c r="B48" i="72"/>
  <c r="X47" i="72"/>
  <c r="Z47" i="72" s="1"/>
  <c r="R47" i="72"/>
  <c r="L47" i="72"/>
  <c r="N47" i="72" s="1"/>
  <c r="J47" i="72"/>
  <c r="B47" i="72"/>
  <c r="T46" i="72"/>
  <c r="P46" i="72"/>
  <c r="X46" i="72" s="1"/>
  <c r="Z46" i="72" s="1"/>
  <c r="J46" i="72"/>
  <c r="H46" i="72"/>
  <c r="F46" i="72"/>
  <c r="D46" i="72"/>
  <c r="L46" i="72" s="1"/>
  <c r="N46" i="72" s="1"/>
  <c r="B46" i="72"/>
  <c r="Z45" i="72"/>
  <c r="X45" i="72"/>
  <c r="R45" i="72"/>
  <c r="L45" i="72"/>
  <c r="N45" i="72" s="1"/>
  <c r="B45" i="72"/>
  <c r="T44" i="72"/>
  <c r="R44" i="72"/>
  <c r="P44" i="72"/>
  <c r="X44" i="72" s="1"/>
  <c r="Z44" i="72" s="1"/>
  <c r="L44" i="72"/>
  <c r="N44" i="72" s="1"/>
  <c r="H44" i="72"/>
  <c r="D44" i="72"/>
  <c r="B44" i="72"/>
  <c r="Z43" i="72"/>
  <c r="X43" i="72"/>
  <c r="N43" i="72"/>
  <c r="L43" i="72"/>
  <c r="B43" i="72"/>
  <c r="Z42" i="72"/>
  <c r="X42" i="72"/>
  <c r="T42" i="72"/>
  <c r="R42" i="72"/>
  <c r="P42" i="72"/>
  <c r="N42" i="72"/>
  <c r="H42" i="72"/>
  <c r="D42" i="72"/>
  <c r="L42" i="72" s="1"/>
  <c r="B42" i="72"/>
  <c r="Z41" i="72"/>
  <c r="X41" i="72"/>
  <c r="N41" i="72"/>
  <c r="L41" i="72"/>
  <c r="B41" i="72"/>
  <c r="Z40" i="72"/>
  <c r="X40" i="72"/>
  <c r="R40" i="72"/>
  <c r="N40" i="72"/>
  <c r="L40" i="72"/>
  <c r="J40" i="72"/>
  <c r="B40" i="72"/>
  <c r="Z39" i="72"/>
  <c r="X39" i="72"/>
  <c r="N39" i="72"/>
  <c r="L39" i="72"/>
  <c r="B39" i="72"/>
  <c r="Z38" i="72"/>
  <c r="X38" i="72"/>
  <c r="N38" i="72"/>
  <c r="L38" i="72"/>
  <c r="J38" i="72"/>
  <c r="B38" i="72"/>
  <c r="Z37" i="72"/>
  <c r="X37" i="72"/>
  <c r="R37" i="72"/>
  <c r="N37" i="72"/>
  <c r="L37" i="72"/>
  <c r="B37" i="72"/>
  <c r="Z36" i="72"/>
  <c r="X36" i="72"/>
  <c r="N36" i="72"/>
  <c r="L36" i="72"/>
  <c r="B36" i="72"/>
  <c r="Z35" i="72"/>
  <c r="X35" i="72"/>
  <c r="R35" i="72"/>
  <c r="N35" i="72"/>
  <c r="L35" i="72"/>
  <c r="J35" i="72"/>
  <c r="B35" i="72"/>
  <c r="Z34" i="72"/>
  <c r="X34" i="72"/>
  <c r="N34" i="72"/>
  <c r="L34" i="72"/>
  <c r="B34" i="72"/>
  <c r="Z33" i="72"/>
  <c r="X33" i="72"/>
  <c r="N33" i="72"/>
  <c r="L33" i="72"/>
  <c r="B33" i="72"/>
  <c r="Z32" i="72"/>
  <c r="X32" i="72"/>
  <c r="R32" i="72"/>
  <c r="N32" i="72"/>
  <c r="L32" i="72"/>
  <c r="J32" i="72"/>
  <c r="B32" i="72"/>
  <c r="T31" i="72"/>
  <c r="Z31" i="72" s="1"/>
  <c r="P31" i="72"/>
  <c r="X31" i="72" s="1"/>
  <c r="L31" i="72"/>
  <c r="H31" i="72"/>
  <c r="N31" i="72" s="1"/>
  <c r="D31" i="72"/>
  <c r="B31" i="72"/>
  <c r="Z30" i="72"/>
  <c r="X30" i="72"/>
  <c r="N30" i="72"/>
  <c r="L30" i="72"/>
  <c r="B30" i="72"/>
  <c r="Z29" i="72"/>
  <c r="X29" i="72"/>
  <c r="N29" i="72"/>
  <c r="L29" i="72"/>
  <c r="B29" i="72"/>
  <c r="Z28" i="72"/>
  <c r="X28" i="72"/>
  <c r="R28" i="72"/>
  <c r="N28" i="72"/>
  <c r="L28" i="72"/>
  <c r="J28" i="72"/>
  <c r="B28" i="72"/>
  <c r="Z27" i="72"/>
  <c r="X27" i="72"/>
  <c r="R27" i="72"/>
  <c r="N27" i="72"/>
  <c r="L27" i="72"/>
  <c r="B27" i="72"/>
  <c r="Z26" i="72"/>
  <c r="X26" i="72"/>
  <c r="N26" i="72"/>
  <c r="L26" i="72"/>
  <c r="J26" i="72"/>
  <c r="B26" i="72"/>
  <c r="Z25" i="72"/>
  <c r="X25" i="72"/>
  <c r="R25" i="72"/>
  <c r="N25" i="72"/>
  <c r="L25" i="72"/>
  <c r="B25" i="72"/>
  <c r="Z24" i="72"/>
  <c r="X24" i="72"/>
  <c r="N24" i="72"/>
  <c r="L24" i="72"/>
  <c r="B24" i="72"/>
  <c r="Z23" i="72"/>
  <c r="X23" i="72"/>
  <c r="R23" i="72"/>
  <c r="N23" i="72"/>
  <c r="L23" i="72"/>
  <c r="J23" i="72"/>
  <c r="B23" i="72"/>
  <c r="Z22" i="72"/>
  <c r="T22" i="72"/>
  <c r="P22" i="72"/>
  <c r="X22" i="72" s="1"/>
  <c r="N22" i="72"/>
  <c r="L22" i="72"/>
  <c r="J22" i="72"/>
  <c r="H22" i="72"/>
  <c r="D22" i="72"/>
  <c r="B22" i="72"/>
  <c r="T21" i="72"/>
  <c r="P21" i="72"/>
  <c r="J21" i="72"/>
  <c r="H21" i="72"/>
  <c r="D21" i="72"/>
  <c r="L21" i="72" s="1"/>
  <c r="R19" i="72"/>
  <c r="P19" i="72"/>
  <c r="H19" i="72"/>
  <c r="Z17" i="72"/>
  <c r="X17" i="72"/>
  <c r="R17" i="72"/>
  <c r="N17" i="72"/>
  <c r="L17" i="72"/>
  <c r="B17" i="72"/>
  <c r="Z16" i="72"/>
  <c r="X16" i="72"/>
  <c r="T16" i="72"/>
  <c r="R16" i="72"/>
  <c r="P16" i="72"/>
  <c r="L16" i="72"/>
  <c r="H16" i="72"/>
  <c r="N16" i="72" s="1"/>
  <c r="D16" i="72"/>
  <c r="Z14" i="72"/>
  <c r="P14" i="72"/>
  <c r="X14" i="72" s="1"/>
  <c r="N14" i="72"/>
  <c r="L14" i="72"/>
  <c r="D14" i="72"/>
  <c r="B14" i="72"/>
  <c r="Z13" i="72"/>
  <c r="X13" i="72"/>
  <c r="P13" i="72"/>
  <c r="N13" i="72"/>
  <c r="L13" i="72"/>
  <c r="D13" i="72"/>
  <c r="D12" i="72" s="1"/>
  <c r="F27" i="72" s="1"/>
  <c r="B13" i="72"/>
  <c r="T12" i="72"/>
  <c r="V62" i="72" s="1"/>
  <c r="P12" i="72"/>
  <c r="R43" i="72" s="1"/>
  <c r="H12" i="72"/>
  <c r="J50" i="72" s="1"/>
  <c r="D6" i="72"/>
  <c r="D4" i="72"/>
  <c r="X80" i="70"/>
  <c r="Z80" i="70" s="1"/>
  <c r="N80" i="70"/>
  <c r="L80" i="70"/>
  <c r="Z76" i="70"/>
  <c r="X76" i="70"/>
  <c r="V76" i="70"/>
  <c r="P76" i="70"/>
  <c r="N76" i="70"/>
  <c r="D76" i="70"/>
  <c r="L76" i="70" s="1"/>
  <c r="B76" i="70"/>
  <c r="Z75" i="70"/>
  <c r="P75" i="70"/>
  <c r="X75" i="70" s="1"/>
  <c r="N75" i="70"/>
  <c r="L75" i="70"/>
  <c r="D75" i="70"/>
  <c r="B75" i="70"/>
  <c r="Z74" i="70"/>
  <c r="P74" i="70"/>
  <c r="N74" i="70"/>
  <c r="D74" i="70"/>
  <c r="L74" i="70" s="1"/>
  <c r="B74" i="70"/>
  <c r="T73" i="70"/>
  <c r="L73" i="70"/>
  <c r="H73" i="70"/>
  <c r="D73" i="70"/>
  <c r="Z71" i="70"/>
  <c r="X71" i="70"/>
  <c r="L71" i="70"/>
  <c r="N71" i="70" s="1"/>
  <c r="B71" i="70"/>
  <c r="V70" i="70"/>
  <c r="T70" i="70"/>
  <c r="P70" i="70"/>
  <c r="X70" i="70" s="1"/>
  <c r="L70" i="70"/>
  <c r="H70" i="70"/>
  <c r="N70" i="70" s="1"/>
  <c r="D70" i="70"/>
  <c r="B70" i="70"/>
  <c r="X69" i="70"/>
  <c r="Z69" i="70" s="1"/>
  <c r="L69" i="70"/>
  <c r="N69" i="70" s="1"/>
  <c r="B69" i="70"/>
  <c r="X68" i="70"/>
  <c r="Z68" i="70" s="1"/>
  <c r="N68" i="70"/>
  <c r="L68" i="70"/>
  <c r="B68" i="70"/>
  <c r="T67" i="70"/>
  <c r="P67" i="70"/>
  <c r="X67" i="70" s="1"/>
  <c r="Z67" i="70" s="1"/>
  <c r="H67" i="70"/>
  <c r="D67" i="70"/>
  <c r="L67" i="70" s="1"/>
  <c r="N67" i="70" s="1"/>
  <c r="B67" i="70"/>
  <c r="Z66" i="70"/>
  <c r="X66" i="70"/>
  <c r="L66" i="70"/>
  <c r="N66" i="70" s="1"/>
  <c r="B66" i="70"/>
  <c r="V65" i="70"/>
  <c r="T65" i="70"/>
  <c r="P65" i="70"/>
  <c r="X65" i="70" s="1"/>
  <c r="Z65" i="70" s="1"/>
  <c r="L65" i="70"/>
  <c r="H65" i="70"/>
  <c r="D65" i="70"/>
  <c r="B65" i="70"/>
  <c r="Z64" i="70"/>
  <c r="X64" i="70"/>
  <c r="L64" i="70"/>
  <c r="N64" i="70" s="1"/>
  <c r="B64" i="70"/>
  <c r="X63" i="70"/>
  <c r="T63" i="70"/>
  <c r="P63" i="70"/>
  <c r="H63" i="70"/>
  <c r="D63" i="70"/>
  <c r="B63" i="70"/>
  <c r="X62" i="70"/>
  <c r="Z62" i="70" s="1"/>
  <c r="N62" i="70"/>
  <c r="L62" i="70"/>
  <c r="B62" i="70"/>
  <c r="X61" i="70"/>
  <c r="T61" i="70"/>
  <c r="P61" i="70"/>
  <c r="H61" i="70"/>
  <c r="D61" i="70"/>
  <c r="L61" i="70" s="1"/>
  <c r="N61" i="70" s="1"/>
  <c r="B61" i="70"/>
  <c r="X60" i="70"/>
  <c r="Z60" i="70" s="1"/>
  <c r="N60" i="70"/>
  <c r="L60" i="70"/>
  <c r="J60" i="70"/>
  <c r="B60" i="70"/>
  <c r="T59" i="70"/>
  <c r="P59" i="70"/>
  <c r="H59" i="70"/>
  <c r="N59" i="70" s="1"/>
  <c r="D59" i="70"/>
  <c r="L59" i="70" s="1"/>
  <c r="B59" i="70"/>
  <c r="Z58" i="70"/>
  <c r="X58" i="70"/>
  <c r="N58" i="70"/>
  <c r="L58" i="70"/>
  <c r="B58" i="70"/>
  <c r="V57" i="70"/>
  <c r="T57" i="70"/>
  <c r="Z57" i="70" s="1"/>
  <c r="P57" i="70"/>
  <c r="X57" i="70" s="1"/>
  <c r="L57" i="70"/>
  <c r="H57" i="70"/>
  <c r="N57" i="70" s="1"/>
  <c r="D57" i="70"/>
  <c r="B57" i="70"/>
  <c r="Z56" i="70"/>
  <c r="X56" i="70"/>
  <c r="L56" i="70"/>
  <c r="N56" i="70" s="1"/>
  <c r="B56" i="70"/>
  <c r="X55" i="70"/>
  <c r="T55" i="70"/>
  <c r="P55" i="70"/>
  <c r="L55" i="70"/>
  <c r="H55" i="70"/>
  <c r="D55" i="70"/>
  <c r="B55" i="70"/>
  <c r="Z54" i="70"/>
  <c r="X54" i="70"/>
  <c r="N54" i="70"/>
  <c r="L54" i="70"/>
  <c r="B54" i="70"/>
  <c r="Z53" i="70"/>
  <c r="X53" i="70"/>
  <c r="N53" i="70"/>
  <c r="L53" i="70"/>
  <c r="B53" i="70"/>
  <c r="Z52" i="70"/>
  <c r="X52" i="70"/>
  <c r="N52" i="70"/>
  <c r="L52" i="70"/>
  <c r="B52" i="70"/>
  <c r="X51" i="70"/>
  <c r="Z51" i="70" s="1"/>
  <c r="N51" i="70"/>
  <c r="L51" i="70"/>
  <c r="B51" i="70"/>
  <c r="Z50" i="70"/>
  <c r="X50" i="70"/>
  <c r="N50" i="70"/>
  <c r="L50" i="70"/>
  <c r="B50" i="70"/>
  <c r="Z49" i="70"/>
  <c r="X49" i="70"/>
  <c r="V49" i="70"/>
  <c r="N49" i="70"/>
  <c r="L49" i="70"/>
  <c r="B49" i="70"/>
  <c r="Z48" i="70"/>
  <c r="X48" i="70"/>
  <c r="V48" i="70"/>
  <c r="N48" i="70"/>
  <c r="L48" i="70"/>
  <c r="B48" i="70"/>
  <c r="Z47" i="70"/>
  <c r="X47" i="70"/>
  <c r="N47" i="70"/>
  <c r="L47" i="70"/>
  <c r="J47" i="70"/>
  <c r="B47" i="70"/>
  <c r="Z46" i="70"/>
  <c r="X46" i="70"/>
  <c r="L46" i="70"/>
  <c r="N46" i="70" s="1"/>
  <c r="B46" i="70"/>
  <c r="Z45" i="70"/>
  <c r="X45" i="70"/>
  <c r="N45" i="70"/>
  <c r="L45" i="70"/>
  <c r="B45" i="70"/>
  <c r="T44" i="70"/>
  <c r="P44" i="70"/>
  <c r="X44" i="70" s="1"/>
  <c r="H44" i="70"/>
  <c r="D44" i="70"/>
  <c r="L44" i="70" s="1"/>
  <c r="N44" i="70" s="1"/>
  <c r="B44" i="70"/>
  <c r="X43" i="70"/>
  <c r="Z43" i="70" s="1"/>
  <c r="N43" i="70"/>
  <c r="L43" i="70"/>
  <c r="J43" i="70"/>
  <c r="B43" i="70"/>
  <c r="Z42" i="70"/>
  <c r="X42" i="70"/>
  <c r="L42" i="70"/>
  <c r="N42" i="70" s="1"/>
  <c r="B42" i="70"/>
  <c r="X41" i="70"/>
  <c r="Z41" i="70" s="1"/>
  <c r="N41" i="70"/>
  <c r="L41" i="70"/>
  <c r="B41" i="70"/>
  <c r="Z40" i="70"/>
  <c r="X40" i="70"/>
  <c r="N40" i="70"/>
  <c r="L40" i="70"/>
  <c r="J40" i="70"/>
  <c r="B40" i="70"/>
  <c r="Z39" i="70"/>
  <c r="X39" i="70"/>
  <c r="V39" i="70"/>
  <c r="N39" i="70"/>
  <c r="L39" i="70"/>
  <c r="B39" i="70"/>
  <c r="X38" i="70"/>
  <c r="Z38" i="70" s="1"/>
  <c r="N38" i="70"/>
  <c r="L38" i="70"/>
  <c r="B38" i="70"/>
  <c r="Z37" i="70"/>
  <c r="X37" i="70"/>
  <c r="L37" i="70"/>
  <c r="N37" i="70" s="1"/>
  <c r="B37" i="70"/>
  <c r="Z36" i="70"/>
  <c r="X36" i="70"/>
  <c r="V36" i="70"/>
  <c r="N36" i="70"/>
  <c r="L36" i="70"/>
  <c r="B36" i="70"/>
  <c r="X35" i="70"/>
  <c r="Z35" i="70" s="1"/>
  <c r="N35" i="70"/>
  <c r="L35" i="70"/>
  <c r="J35" i="70"/>
  <c r="B35" i="70"/>
  <c r="Z34" i="70"/>
  <c r="X34" i="70"/>
  <c r="L34" i="70"/>
  <c r="N34" i="70" s="1"/>
  <c r="B34" i="70"/>
  <c r="T33" i="70"/>
  <c r="Z33" i="70" s="1"/>
  <c r="P33" i="70"/>
  <c r="X33" i="70" s="1"/>
  <c r="L33" i="70"/>
  <c r="H33" i="70"/>
  <c r="N33" i="70" s="1"/>
  <c r="D33" i="70"/>
  <c r="B33" i="70"/>
  <c r="T32" i="70"/>
  <c r="V32" i="70" s="1"/>
  <c r="P32" i="70"/>
  <c r="X32" i="70" s="1"/>
  <c r="Z32" i="70" s="1"/>
  <c r="H32" i="70"/>
  <c r="D32" i="70"/>
  <c r="L32" i="70" s="1"/>
  <c r="T30" i="70"/>
  <c r="T78" i="70" s="1"/>
  <c r="Z28" i="70"/>
  <c r="X28" i="70"/>
  <c r="V28" i="70"/>
  <c r="N28" i="70"/>
  <c r="L28" i="70"/>
  <c r="B28" i="70"/>
  <c r="Z27" i="70"/>
  <c r="X27" i="70"/>
  <c r="N27" i="70"/>
  <c r="L27" i="70"/>
  <c r="J27" i="70"/>
  <c r="B27" i="70"/>
  <c r="Z26" i="70"/>
  <c r="X26" i="70"/>
  <c r="N26" i="70"/>
  <c r="L26" i="70"/>
  <c r="B26" i="70"/>
  <c r="Z25" i="70"/>
  <c r="X25" i="70"/>
  <c r="N25" i="70"/>
  <c r="L25" i="70"/>
  <c r="B25" i="70"/>
  <c r="Z24" i="70"/>
  <c r="X24" i="70"/>
  <c r="N24" i="70"/>
  <c r="L24" i="70"/>
  <c r="J24" i="70"/>
  <c r="B24" i="70"/>
  <c r="Z23" i="70"/>
  <c r="X23" i="70"/>
  <c r="V23" i="70"/>
  <c r="N23" i="70"/>
  <c r="L23" i="70"/>
  <c r="B23" i="70"/>
  <c r="Z22" i="70"/>
  <c r="X22" i="70"/>
  <c r="N22" i="70"/>
  <c r="L22" i="70"/>
  <c r="B22" i="70"/>
  <c r="Z21" i="70"/>
  <c r="X21" i="70"/>
  <c r="N21" i="70"/>
  <c r="L21" i="70"/>
  <c r="B21" i="70"/>
  <c r="Z20" i="70"/>
  <c r="X20" i="70"/>
  <c r="V20" i="70"/>
  <c r="N20" i="70"/>
  <c r="L20" i="70"/>
  <c r="B20" i="70"/>
  <c r="X19" i="70"/>
  <c r="Z19" i="70" s="1"/>
  <c r="N19" i="70"/>
  <c r="L19" i="70"/>
  <c r="J19" i="70"/>
  <c r="B19" i="70"/>
  <c r="T18" i="70"/>
  <c r="P18" i="70"/>
  <c r="X18" i="70" s="1"/>
  <c r="Z18" i="70" s="1"/>
  <c r="N18" i="70"/>
  <c r="L18" i="70"/>
  <c r="J18" i="70"/>
  <c r="H18" i="70"/>
  <c r="D18" i="70"/>
  <c r="Z16" i="70"/>
  <c r="X16" i="70"/>
  <c r="P16" i="70"/>
  <c r="N16" i="70"/>
  <c r="L16" i="70"/>
  <c r="D16" i="70"/>
  <c r="B16" i="70"/>
  <c r="Z15" i="70"/>
  <c r="P15" i="70"/>
  <c r="X15" i="70" s="1"/>
  <c r="N15" i="70"/>
  <c r="D15" i="70"/>
  <c r="L15" i="70" s="1"/>
  <c r="B15" i="70"/>
  <c r="Z14" i="70"/>
  <c r="X14" i="70"/>
  <c r="P14" i="70"/>
  <c r="N14" i="70"/>
  <c r="L14" i="70"/>
  <c r="D14" i="70"/>
  <c r="B14" i="70"/>
  <c r="X13" i="70"/>
  <c r="Z13" i="70" s="1"/>
  <c r="P13" i="70"/>
  <c r="L13" i="70"/>
  <c r="N13" i="70" s="1"/>
  <c r="D13" i="70"/>
  <c r="B13" i="70"/>
  <c r="T12" i="70"/>
  <c r="V45" i="70" s="1"/>
  <c r="H12" i="70"/>
  <c r="J45" i="70" s="1"/>
  <c r="D6" i="70"/>
  <c r="D4" i="70"/>
  <c r="Z71" i="69"/>
  <c r="X71" i="69"/>
  <c r="L71" i="69"/>
  <c r="N71" i="69" s="1"/>
  <c r="J71" i="69"/>
  <c r="V67" i="69"/>
  <c r="P67" i="69"/>
  <c r="X67" i="69" s="1"/>
  <c r="Z67" i="69" s="1"/>
  <c r="J67" i="69"/>
  <c r="D67" i="69"/>
  <c r="L67" i="69" s="1"/>
  <c r="N67" i="69" s="1"/>
  <c r="B67" i="69"/>
  <c r="T66" i="69"/>
  <c r="P66" i="69"/>
  <c r="X66" i="69" s="1"/>
  <c r="Z66" i="69" s="1"/>
  <c r="H66" i="69"/>
  <c r="Z64" i="69"/>
  <c r="X64" i="69"/>
  <c r="L64" i="69"/>
  <c r="N64" i="69" s="1"/>
  <c r="B64" i="69"/>
  <c r="V63" i="69"/>
  <c r="T63" i="69"/>
  <c r="P63" i="69"/>
  <c r="X63" i="69" s="1"/>
  <c r="Z63" i="69" s="1"/>
  <c r="L63" i="69"/>
  <c r="H63" i="69"/>
  <c r="N63" i="69" s="1"/>
  <c r="D63" i="69"/>
  <c r="B63" i="69"/>
  <c r="Z62" i="69"/>
  <c r="X62" i="69"/>
  <c r="V62" i="69"/>
  <c r="L62" i="69"/>
  <c r="N62" i="69" s="1"/>
  <c r="B62" i="69"/>
  <c r="X61" i="69"/>
  <c r="Z61" i="69" s="1"/>
  <c r="N61" i="69"/>
  <c r="L61" i="69"/>
  <c r="B61" i="69"/>
  <c r="Z60" i="69"/>
  <c r="X60" i="69"/>
  <c r="L60" i="69"/>
  <c r="N60" i="69" s="1"/>
  <c r="B60" i="69"/>
  <c r="Z59" i="69"/>
  <c r="X59" i="69"/>
  <c r="V59" i="69"/>
  <c r="N59" i="69"/>
  <c r="L59" i="69"/>
  <c r="B59" i="69"/>
  <c r="X58" i="69"/>
  <c r="T58" i="69"/>
  <c r="Z58" i="69" s="1"/>
  <c r="P58" i="69"/>
  <c r="H58" i="69"/>
  <c r="N58" i="69" s="1"/>
  <c r="D58" i="69"/>
  <c r="L58" i="69" s="1"/>
  <c r="B58" i="69"/>
  <c r="X57" i="69"/>
  <c r="Z57" i="69" s="1"/>
  <c r="N57" i="69"/>
  <c r="L57" i="69"/>
  <c r="B57" i="69"/>
  <c r="T56" i="69"/>
  <c r="P56" i="69"/>
  <c r="X56" i="69" s="1"/>
  <c r="J56" i="69"/>
  <c r="H56" i="69"/>
  <c r="D56" i="69"/>
  <c r="L56" i="69" s="1"/>
  <c r="N56" i="69" s="1"/>
  <c r="B56" i="69"/>
  <c r="Z55" i="69"/>
  <c r="X55" i="69"/>
  <c r="N55" i="69"/>
  <c r="L55" i="69"/>
  <c r="J55" i="69"/>
  <c r="B55" i="69"/>
  <c r="Z54" i="69"/>
  <c r="X54" i="69"/>
  <c r="V54" i="69"/>
  <c r="L54" i="69"/>
  <c r="N54" i="69" s="1"/>
  <c r="B54" i="69"/>
  <c r="X53" i="69"/>
  <c r="T53" i="69"/>
  <c r="Z53" i="69" s="1"/>
  <c r="P53" i="69"/>
  <c r="H53" i="69"/>
  <c r="D53" i="69"/>
  <c r="B53" i="69"/>
  <c r="X52" i="69"/>
  <c r="Z52" i="69" s="1"/>
  <c r="N52" i="69"/>
  <c r="L52" i="69"/>
  <c r="F52" i="69"/>
  <c r="B52" i="69"/>
  <c r="Z51" i="69"/>
  <c r="X51" i="69"/>
  <c r="L51" i="69"/>
  <c r="N51" i="69" s="1"/>
  <c r="J51" i="69"/>
  <c r="B51" i="69"/>
  <c r="V50" i="69"/>
  <c r="T50" i="69"/>
  <c r="P50" i="69"/>
  <c r="X50" i="69" s="1"/>
  <c r="Z50" i="69" s="1"/>
  <c r="L50" i="69"/>
  <c r="N50" i="69" s="1"/>
  <c r="H50" i="69"/>
  <c r="D50" i="69"/>
  <c r="B50" i="69"/>
  <c r="Z49" i="69"/>
  <c r="X49" i="69"/>
  <c r="L49" i="69"/>
  <c r="N49" i="69" s="1"/>
  <c r="B49" i="69"/>
  <c r="X48" i="69"/>
  <c r="Z48" i="69" s="1"/>
  <c r="T48" i="69"/>
  <c r="P48" i="69"/>
  <c r="L48" i="69"/>
  <c r="H48" i="69"/>
  <c r="N48" i="69" s="1"/>
  <c r="D48" i="69"/>
  <c r="B48" i="69"/>
  <c r="X47" i="69"/>
  <c r="Z47" i="69" s="1"/>
  <c r="V47" i="69"/>
  <c r="N47" i="69"/>
  <c r="L47" i="69"/>
  <c r="B47" i="69"/>
  <c r="X46" i="69"/>
  <c r="T46" i="69"/>
  <c r="P46" i="69"/>
  <c r="H46" i="69"/>
  <c r="D46" i="69"/>
  <c r="B46" i="69"/>
  <c r="X45" i="69"/>
  <c r="Z45" i="69" s="1"/>
  <c r="N45" i="69"/>
  <c r="L45" i="69"/>
  <c r="B45" i="69"/>
  <c r="T44" i="69"/>
  <c r="P44" i="69"/>
  <c r="J44" i="69"/>
  <c r="H44" i="69"/>
  <c r="N44" i="69" s="1"/>
  <c r="D44" i="69"/>
  <c r="L44" i="69" s="1"/>
  <c r="B44" i="69"/>
  <c r="Z43" i="69"/>
  <c r="X43" i="69"/>
  <c r="N43" i="69"/>
  <c r="L43" i="69"/>
  <c r="J43" i="69"/>
  <c r="B43" i="69"/>
  <c r="Z42" i="69"/>
  <c r="X42" i="69"/>
  <c r="V42" i="69"/>
  <c r="N42" i="69"/>
  <c r="L42" i="69"/>
  <c r="B42" i="69"/>
  <c r="Z41" i="69"/>
  <c r="X41" i="69"/>
  <c r="N41" i="69"/>
  <c r="L41" i="69"/>
  <c r="B41" i="69"/>
  <c r="Z40" i="69"/>
  <c r="X40" i="69"/>
  <c r="N40" i="69"/>
  <c r="L40" i="69"/>
  <c r="B40" i="69"/>
  <c r="Z39" i="69"/>
  <c r="X39" i="69"/>
  <c r="V39" i="69"/>
  <c r="N39" i="69"/>
  <c r="L39" i="69"/>
  <c r="F39" i="69"/>
  <c r="B39" i="69"/>
  <c r="Z38" i="69"/>
  <c r="X38" i="69"/>
  <c r="N38" i="69"/>
  <c r="L38" i="69"/>
  <c r="J38" i="69"/>
  <c r="B38" i="69"/>
  <c r="Z37" i="69"/>
  <c r="X37" i="69"/>
  <c r="N37" i="69"/>
  <c r="L37" i="69"/>
  <c r="B37" i="69"/>
  <c r="Z36" i="69"/>
  <c r="X36" i="69"/>
  <c r="N36" i="69"/>
  <c r="L36" i="69"/>
  <c r="F36" i="69"/>
  <c r="B36" i="69"/>
  <c r="Z35" i="69"/>
  <c r="X35" i="69"/>
  <c r="N35" i="69"/>
  <c r="L35" i="69"/>
  <c r="J35" i="69"/>
  <c r="B35" i="69"/>
  <c r="Z34" i="69"/>
  <c r="X34" i="69"/>
  <c r="V34" i="69"/>
  <c r="N34" i="69"/>
  <c r="L34" i="69"/>
  <c r="B34" i="69"/>
  <c r="X33" i="69"/>
  <c r="T33" i="69"/>
  <c r="P33" i="69"/>
  <c r="H33" i="69"/>
  <c r="D33" i="69"/>
  <c r="B33" i="69"/>
  <c r="X32" i="69"/>
  <c r="Z32" i="69" s="1"/>
  <c r="N32" i="69"/>
  <c r="L32" i="69"/>
  <c r="B32" i="69"/>
  <c r="Z31" i="69"/>
  <c r="X31" i="69"/>
  <c r="N31" i="69"/>
  <c r="L31" i="69"/>
  <c r="J31" i="69"/>
  <c r="B31" i="69"/>
  <c r="Z30" i="69"/>
  <c r="X30" i="69"/>
  <c r="V30" i="69"/>
  <c r="L30" i="69"/>
  <c r="N30" i="69" s="1"/>
  <c r="B30" i="69"/>
  <c r="Z29" i="69"/>
  <c r="X29" i="69"/>
  <c r="N29" i="69"/>
  <c r="L29" i="69"/>
  <c r="B29" i="69"/>
  <c r="Z28" i="69"/>
  <c r="X28" i="69"/>
  <c r="L28" i="69"/>
  <c r="N28" i="69" s="1"/>
  <c r="B28" i="69"/>
  <c r="Z27" i="69"/>
  <c r="X27" i="69"/>
  <c r="V27" i="69"/>
  <c r="N27" i="69"/>
  <c r="L27" i="69"/>
  <c r="B27" i="69"/>
  <c r="X26" i="69"/>
  <c r="Z26" i="69" s="1"/>
  <c r="N26" i="69"/>
  <c r="L26" i="69"/>
  <c r="J26" i="69"/>
  <c r="B26" i="69"/>
  <c r="Z25" i="69"/>
  <c r="X25" i="69"/>
  <c r="L25" i="69"/>
  <c r="N25" i="69" s="1"/>
  <c r="B25" i="69"/>
  <c r="X24" i="69"/>
  <c r="Z24" i="69" s="1"/>
  <c r="N24" i="69"/>
  <c r="L24" i="69"/>
  <c r="B24" i="69"/>
  <c r="T23" i="69"/>
  <c r="P23" i="69"/>
  <c r="X23" i="69" s="1"/>
  <c r="N23" i="69"/>
  <c r="H23" i="69"/>
  <c r="D23" i="69"/>
  <c r="L23" i="69" s="1"/>
  <c r="B23" i="69"/>
  <c r="T22" i="69"/>
  <c r="X22" i="69" s="1"/>
  <c r="P22" i="69"/>
  <c r="H22" i="69"/>
  <c r="D22" i="69"/>
  <c r="Z18" i="69"/>
  <c r="X18" i="69"/>
  <c r="N18" i="69"/>
  <c r="L18" i="69"/>
  <c r="J18" i="69"/>
  <c r="B18" i="69"/>
  <c r="Z17" i="69"/>
  <c r="V17" i="69"/>
  <c r="T17" i="69"/>
  <c r="P17" i="69"/>
  <c r="X17" i="69" s="1"/>
  <c r="N17" i="69"/>
  <c r="L17" i="69"/>
  <c r="J17" i="69"/>
  <c r="H17" i="69"/>
  <c r="D17" i="69"/>
  <c r="Z15" i="69"/>
  <c r="X15" i="69"/>
  <c r="P15" i="69"/>
  <c r="N15" i="69"/>
  <c r="L15" i="69"/>
  <c r="D15" i="69"/>
  <c r="B15" i="69"/>
  <c r="Z14" i="69"/>
  <c r="P14" i="69"/>
  <c r="N14" i="69"/>
  <c r="D14" i="69"/>
  <c r="L14" i="69" s="1"/>
  <c r="B14" i="69"/>
  <c r="Z13" i="69"/>
  <c r="X13" i="69"/>
  <c r="P13" i="69"/>
  <c r="N13" i="69"/>
  <c r="D13" i="69"/>
  <c r="L13" i="69" s="1"/>
  <c r="B13" i="69"/>
  <c r="T12" i="69"/>
  <c r="H12" i="69"/>
  <c r="J59" i="69" s="1"/>
  <c r="D12" i="69"/>
  <c r="F24" i="69" s="1"/>
  <c r="D6" i="69"/>
  <c r="D4" i="69"/>
  <c r="Z101" i="68"/>
  <c r="X101" i="68"/>
  <c r="V101" i="68"/>
  <c r="L101" i="68"/>
  <c r="N101" i="68" s="1"/>
  <c r="Z97" i="68"/>
  <c r="X97" i="68"/>
  <c r="P97" i="68"/>
  <c r="N97" i="68"/>
  <c r="L97" i="68"/>
  <c r="D97" i="68"/>
  <c r="D94" i="68" s="1"/>
  <c r="L94" i="68" s="1"/>
  <c r="B97" i="68"/>
  <c r="Z96" i="68"/>
  <c r="P96" i="68"/>
  <c r="X96" i="68" s="1"/>
  <c r="N96" i="68"/>
  <c r="L96" i="68"/>
  <c r="D96" i="68"/>
  <c r="B96" i="68"/>
  <c r="Z95" i="68"/>
  <c r="P95" i="68"/>
  <c r="X95" i="68" s="1"/>
  <c r="D95" i="68"/>
  <c r="L95" i="68" s="1"/>
  <c r="N95" i="68" s="1"/>
  <c r="B95" i="68"/>
  <c r="T94" i="68"/>
  <c r="P94" i="68"/>
  <c r="X94" i="68" s="1"/>
  <c r="Z94" i="68" s="1"/>
  <c r="H94" i="68"/>
  <c r="N94" i="68" s="1"/>
  <c r="X92" i="68"/>
  <c r="Z92" i="68" s="1"/>
  <c r="N92" i="68"/>
  <c r="L92" i="68"/>
  <c r="B92" i="68"/>
  <c r="T91" i="68"/>
  <c r="P91" i="68"/>
  <c r="H91" i="68"/>
  <c r="D91" i="68"/>
  <c r="L91" i="68" s="1"/>
  <c r="N91" i="68" s="1"/>
  <c r="B91" i="68"/>
  <c r="Z90" i="68"/>
  <c r="X90" i="68"/>
  <c r="L90" i="68"/>
  <c r="N90" i="68" s="1"/>
  <c r="B90" i="68"/>
  <c r="V89" i="68"/>
  <c r="T89" i="68"/>
  <c r="P89" i="68"/>
  <c r="X89" i="68" s="1"/>
  <c r="L89" i="68"/>
  <c r="H89" i="68"/>
  <c r="N89" i="68" s="1"/>
  <c r="D89" i="68"/>
  <c r="B89" i="68"/>
  <c r="Z88" i="68"/>
  <c r="X88" i="68"/>
  <c r="L88" i="68"/>
  <c r="N88" i="68" s="1"/>
  <c r="B88" i="68"/>
  <c r="X87" i="68"/>
  <c r="Z87" i="68" s="1"/>
  <c r="N87" i="68"/>
  <c r="L87" i="68"/>
  <c r="B87" i="68"/>
  <c r="Z86" i="68"/>
  <c r="X86" i="68"/>
  <c r="N86" i="68"/>
  <c r="L86" i="68"/>
  <c r="B86" i="68"/>
  <c r="V85" i="68"/>
  <c r="T85" i="68"/>
  <c r="P85" i="68"/>
  <c r="X85" i="68" s="1"/>
  <c r="L85" i="68"/>
  <c r="H85" i="68"/>
  <c r="N85" i="68" s="1"/>
  <c r="D85" i="68"/>
  <c r="B85" i="68"/>
  <c r="Z84" i="68"/>
  <c r="X84" i="68"/>
  <c r="N84" i="68"/>
  <c r="L84" i="68"/>
  <c r="B84" i="68"/>
  <c r="X83" i="68"/>
  <c r="Z83" i="68" s="1"/>
  <c r="N83" i="68"/>
  <c r="L83" i="68"/>
  <c r="B83" i="68"/>
  <c r="T82" i="68"/>
  <c r="P82" i="68"/>
  <c r="N82" i="68"/>
  <c r="H82" i="68"/>
  <c r="D82" i="68"/>
  <c r="L82" i="68" s="1"/>
  <c r="B82" i="68"/>
  <c r="Z81" i="68"/>
  <c r="X81" i="68"/>
  <c r="N81" i="68"/>
  <c r="L81" i="68"/>
  <c r="B81" i="68"/>
  <c r="Z80" i="68"/>
  <c r="X80" i="68"/>
  <c r="L80" i="68"/>
  <c r="N80" i="68" s="1"/>
  <c r="B80" i="68"/>
  <c r="X79" i="68"/>
  <c r="Z79" i="68" s="1"/>
  <c r="N79" i="68"/>
  <c r="L79" i="68"/>
  <c r="B79" i="68"/>
  <c r="T78" i="68"/>
  <c r="P78" i="68"/>
  <c r="X78" i="68" s="1"/>
  <c r="N78" i="68"/>
  <c r="H78" i="68"/>
  <c r="D78" i="68"/>
  <c r="L78" i="68" s="1"/>
  <c r="B78" i="68"/>
  <c r="Z77" i="68"/>
  <c r="X77" i="68"/>
  <c r="N77" i="68"/>
  <c r="L77" i="68"/>
  <c r="B77" i="68"/>
  <c r="Z76" i="68"/>
  <c r="T76" i="68"/>
  <c r="P76" i="68"/>
  <c r="X76" i="68" s="1"/>
  <c r="H76" i="68"/>
  <c r="N76" i="68" s="1"/>
  <c r="D76" i="68"/>
  <c r="B76" i="68"/>
  <c r="Z75" i="68"/>
  <c r="X75" i="68"/>
  <c r="L75" i="68"/>
  <c r="N75" i="68" s="1"/>
  <c r="B75" i="68"/>
  <c r="V74" i="68"/>
  <c r="T74" i="68"/>
  <c r="Z74" i="68" s="1"/>
  <c r="P74" i="68"/>
  <c r="X74" i="68" s="1"/>
  <c r="L74" i="68"/>
  <c r="H74" i="68"/>
  <c r="D74" i="68"/>
  <c r="B74" i="68"/>
  <c r="X73" i="68"/>
  <c r="Z73" i="68" s="1"/>
  <c r="V73" i="68"/>
  <c r="L73" i="68"/>
  <c r="N73" i="68" s="1"/>
  <c r="B73" i="68"/>
  <c r="X72" i="68"/>
  <c r="T72" i="68"/>
  <c r="Z72" i="68" s="1"/>
  <c r="P72" i="68"/>
  <c r="H72" i="68"/>
  <c r="D72" i="68"/>
  <c r="B72" i="68"/>
  <c r="Z71" i="68"/>
  <c r="X71" i="68"/>
  <c r="N71" i="68"/>
  <c r="L71" i="68"/>
  <c r="B71" i="68"/>
  <c r="T70" i="68"/>
  <c r="Z70" i="68" s="1"/>
  <c r="P70" i="68"/>
  <c r="N70" i="68"/>
  <c r="H70" i="68"/>
  <c r="D70" i="68"/>
  <c r="L70" i="68" s="1"/>
  <c r="B70" i="68"/>
  <c r="Z69" i="68"/>
  <c r="X69" i="68"/>
  <c r="N69" i="68"/>
  <c r="L69" i="68"/>
  <c r="B69" i="68"/>
  <c r="Z68" i="68"/>
  <c r="X68" i="68"/>
  <c r="L68" i="68"/>
  <c r="N68" i="68" s="1"/>
  <c r="B68" i="68"/>
  <c r="X67" i="68"/>
  <c r="Z67" i="68" s="1"/>
  <c r="T67" i="68"/>
  <c r="P67" i="68"/>
  <c r="L67" i="68"/>
  <c r="H67" i="68"/>
  <c r="D67" i="68"/>
  <c r="B67" i="68"/>
  <c r="X66" i="68"/>
  <c r="Z66" i="68" s="1"/>
  <c r="V66" i="68"/>
  <c r="N66" i="68"/>
  <c r="L66" i="68"/>
  <c r="B66" i="68"/>
  <c r="X65" i="68"/>
  <c r="T65" i="68"/>
  <c r="P65" i="68"/>
  <c r="H65" i="68"/>
  <c r="D65" i="68"/>
  <c r="B65" i="68"/>
  <c r="Z64" i="68"/>
  <c r="X64" i="68"/>
  <c r="N64" i="68"/>
  <c r="L64" i="68"/>
  <c r="B64" i="68"/>
  <c r="Z63" i="68"/>
  <c r="T63" i="68"/>
  <c r="P63" i="68"/>
  <c r="X63" i="68" s="1"/>
  <c r="H63" i="68"/>
  <c r="N63" i="68" s="1"/>
  <c r="D63" i="68"/>
  <c r="L63" i="68" s="1"/>
  <c r="B63" i="68"/>
  <c r="Z62" i="68"/>
  <c r="X62" i="68"/>
  <c r="N62" i="68"/>
  <c r="L62" i="68"/>
  <c r="B62" i="68"/>
  <c r="V61" i="68"/>
  <c r="T61" i="68"/>
  <c r="Z61" i="68" s="1"/>
  <c r="P61" i="68"/>
  <c r="X61" i="68" s="1"/>
  <c r="N61" i="68"/>
  <c r="L61" i="68"/>
  <c r="H61" i="68"/>
  <c r="D61" i="68"/>
  <c r="B61" i="68"/>
  <c r="Z60" i="68"/>
  <c r="X60" i="68"/>
  <c r="L60" i="68"/>
  <c r="N60" i="68" s="1"/>
  <c r="B60" i="68"/>
  <c r="X59" i="68"/>
  <c r="Z59" i="68" s="1"/>
  <c r="T59" i="68"/>
  <c r="P59" i="68"/>
  <c r="L59" i="68"/>
  <c r="H59" i="68"/>
  <c r="N59" i="68" s="1"/>
  <c r="D59" i="68"/>
  <c r="B59" i="68"/>
  <c r="Z58" i="68"/>
  <c r="X58" i="68"/>
  <c r="V58" i="68"/>
  <c r="N58" i="68"/>
  <c r="L58" i="68"/>
  <c r="B58" i="68"/>
  <c r="Z57" i="68"/>
  <c r="X57" i="68"/>
  <c r="N57" i="68"/>
  <c r="L57" i="68"/>
  <c r="B57" i="68"/>
  <c r="Z56" i="68"/>
  <c r="X56" i="68"/>
  <c r="L56" i="68"/>
  <c r="N56" i="68" s="1"/>
  <c r="B56" i="68"/>
  <c r="Z55" i="68"/>
  <c r="X55" i="68"/>
  <c r="N55" i="68"/>
  <c r="L55" i="68"/>
  <c r="B55" i="68"/>
  <c r="Z54" i="68"/>
  <c r="X54" i="68"/>
  <c r="N54" i="68"/>
  <c r="L54" i="68"/>
  <c r="B54" i="68"/>
  <c r="Z53" i="68"/>
  <c r="X53" i="68"/>
  <c r="V53" i="68"/>
  <c r="N53" i="68"/>
  <c r="L53" i="68"/>
  <c r="B53" i="68"/>
  <c r="X52" i="68"/>
  <c r="Z52" i="68" s="1"/>
  <c r="N52" i="68"/>
  <c r="L52" i="68"/>
  <c r="B52" i="68"/>
  <c r="Z51" i="68"/>
  <c r="X51" i="68"/>
  <c r="N51" i="68"/>
  <c r="L51" i="68"/>
  <c r="B51" i="68"/>
  <c r="Z50" i="68"/>
  <c r="X50" i="68"/>
  <c r="V50" i="68"/>
  <c r="N50" i="68"/>
  <c r="L50" i="68"/>
  <c r="B50" i="68"/>
  <c r="Z49" i="68"/>
  <c r="X49" i="68"/>
  <c r="N49" i="68"/>
  <c r="L49" i="68"/>
  <c r="B49" i="68"/>
  <c r="Z48" i="68"/>
  <c r="T48" i="68"/>
  <c r="P48" i="68"/>
  <c r="X48" i="68" s="1"/>
  <c r="H48" i="68"/>
  <c r="D48" i="68"/>
  <c r="L48" i="68" s="1"/>
  <c r="N48" i="68" s="1"/>
  <c r="B48" i="68"/>
  <c r="Z47" i="68"/>
  <c r="X47" i="68"/>
  <c r="N47" i="68"/>
  <c r="L47" i="68"/>
  <c r="B47" i="68"/>
  <c r="Z46" i="68"/>
  <c r="X46" i="68"/>
  <c r="V46" i="68"/>
  <c r="L46" i="68"/>
  <c r="N46" i="68" s="1"/>
  <c r="B46" i="68"/>
  <c r="X45" i="68"/>
  <c r="Z45" i="68" s="1"/>
  <c r="L45" i="68"/>
  <c r="N45" i="68" s="1"/>
  <c r="B45" i="68"/>
  <c r="Z44" i="68"/>
  <c r="X44" i="68"/>
  <c r="N44" i="68"/>
  <c r="L44" i="68"/>
  <c r="B44" i="68"/>
  <c r="X43" i="68"/>
  <c r="Z43" i="68" s="1"/>
  <c r="N43" i="68"/>
  <c r="L43" i="68"/>
  <c r="B43" i="68"/>
  <c r="Z42" i="68"/>
  <c r="X42" i="68"/>
  <c r="L42" i="68"/>
  <c r="N42" i="68" s="1"/>
  <c r="B42" i="68"/>
  <c r="Z41" i="68"/>
  <c r="X41" i="68"/>
  <c r="V41" i="68"/>
  <c r="L41" i="68"/>
  <c r="N41" i="68" s="1"/>
  <c r="B41" i="68"/>
  <c r="X40" i="68"/>
  <c r="Z40" i="68" s="1"/>
  <c r="N40" i="68"/>
  <c r="L40" i="68"/>
  <c r="B40" i="68"/>
  <c r="Z39" i="68"/>
  <c r="X39" i="68"/>
  <c r="N39" i="68"/>
  <c r="L39" i="68"/>
  <c r="B39" i="68"/>
  <c r="V38" i="68"/>
  <c r="T38" i="68"/>
  <c r="P38" i="68"/>
  <c r="X38" i="68" s="1"/>
  <c r="L38" i="68"/>
  <c r="H38" i="68"/>
  <c r="N38" i="68" s="1"/>
  <c r="D38" i="68"/>
  <c r="B38" i="68"/>
  <c r="T37" i="68"/>
  <c r="V37" i="68" s="1"/>
  <c r="P37" i="68"/>
  <c r="X37" i="68" s="1"/>
  <c r="H37" i="68"/>
  <c r="D37" i="68"/>
  <c r="Z33" i="68"/>
  <c r="X33" i="68"/>
  <c r="V33" i="68"/>
  <c r="N33" i="68"/>
  <c r="L33" i="68"/>
  <c r="B33" i="68"/>
  <c r="Z32" i="68"/>
  <c r="X32" i="68"/>
  <c r="N32" i="68"/>
  <c r="L32" i="68"/>
  <c r="B32" i="68"/>
  <c r="Z31" i="68"/>
  <c r="X31" i="68"/>
  <c r="N31" i="68"/>
  <c r="L31" i="68"/>
  <c r="B31" i="68"/>
  <c r="Z30" i="68"/>
  <c r="X30" i="68"/>
  <c r="V30" i="68"/>
  <c r="N30" i="68"/>
  <c r="L30" i="68"/>
  <c r="B30" i="68"/>
  <c r="Z29" i="68"/>
  <c r="X29" i="68"/>
  <c r="N29" i="68"/>
  <c r="L29" i="68"/>
  <c r="B29" i="68"/>
  <c r="Z28" i="68"/>
  <c r="X28" i="68"/>
  <c r="N28" i="68"/>
  <c r="L28" i="68"/>
  <c r="B28" i="68"/>
  <c r="Z27" i="68"/>
  <c r="X27" i="68"/>
  <c r="N27" i="68"/>
  <c r="L27" i="68"/>
  <c r="B27" i="68"/>
  <c r="Z26" i="68"/>
  <c r="X26" i="68"/>
  <c r="N26" i="68"/>
  <c r="L26" i="68"/>
  <c r="B26" i="68"/>
  <c r="Z25" i="68"/>
  <c r="X25" i="68"/>
  <c r="V25" i="68"/>
  <c r="N25" i="68"/>
  <c r="L25" i="68"/>
  <c r="B25" i="68"/>
  <c r="Z24" i="68"/>
  <c r="X24" i="68"/>
  <c r="N24" i="68"/>
  <c r="L24" i="68"/>
  <c r="B24" i="68"/>
  <c r="Z23" i="68"/>
  <c r="X23" i="68"/>
  <c r="N23" i="68"/>
  <c r="L23" i="68"/>
  <c r="B23" i="68"/>
  <c r="Z22" i="68"/>
  <c r="X22" i="68"/>
  <c r="V22" i="68"/>
  <c r="N22" i="68"/>
  <c r="L22" i="68"/>
  <c r="B22" i="68"/>
  <c r="Z21" i="68"/>
  <c r="X21" i="68"/>
  <c r="N21" i="68"/>
  <c r="L21" i="68"/>
  <c r="B21" i="68"/>
  <c r="Z20" i="68"/>
  <c r="X20" i="68"/>
  <c r="N20" i="68"/>
  <c r="L20" i="68"/>
  <c r="B20" i="68"/>
  <c r="X19" i="68"/>
  <c r="Z19" i="68" s="1"/>
  <c r="N19" i="68"/>
  <c r="L19" i="68"/>
  <c r="B19" i="68"/>
  <c r="T18" i="68"/>
  <c r="P18" i="68"/>
  <c r="X18" i="68" s="1"/>
  <c r="N18" i="68"/>
  <c r="H18" i="68"/>
  <c r="D18" i="68"/>
  <c r="L18" i="68" s="1"/>
  <c r="Z16" i="68"/>
  <c r="P16" i="68"/>
  <c r="X16" i="68" s="1"/>
  <c r="N16" i="68"/>
  <c r="D16" i="68"/>
  <c r="L16" i="68" s="1"/>
  <c r="B16" i="68"/>
  <c r="Z15" i="68"/>
  <c r="X15" i="68"/>
  <c r="P15" i="68"/>
  <c r="N15" i="68"/>
  <c r="L15" i="68"/>
  <c r="D15" i="68"/>
  <c r="B15" i="68"/>
  <c r="Z14" i="68"/>
  <c r="X14" i="68"/>
  <c r="P14" i="68"/>
  <c r="N14" i="68"/>
  <c r="L14" i="68"/>
  <c r="D14" i="68"/>
  <c r="B14" i="68"/>
  <c r="P13" i="68"/>
  <c r="X13" i="68" s="1"/>
  <c r="Z13" i="68" s="1"/>
  <c r="D13" i="68"/>
  <c r="B13" i="68"/>
  <c r="T12" i="68"/>
  <c r="V96" i="68" s="1"/>
  <c r="H12" i="68"/>
  <c r="D6" i="68"/>
  <c r="D4" i="68"/>
  <c r="R31" i="66"/>
  <c r="F31" i="66"/>
  <c r="V28" i="66"/>
  <c r="F28" i="66"/>
  <c r="Z26" i="66"/>
  <c r="X26" i="66"/>
  <c r="V26" i="66"/>
  <c r="R26" i="66"/>
  <c r="N26" i="66"/>
  <c r="L26" i="66"/>
  <c r="J26" i="66"/>
  <c r="F26" i="66"/>
  <c r="V24" i="66"/>
  <c r="F24" i="66"/>
  <c r="V22" i="66"/>
  <c r="T22" i="66"/>
  <c r="Z22" i="66" s="1"/>
  <c r="R22" i="66"/>
  <c r="P22" i="66"/>
  <c r="X22" i="66" s="1"/>
  <c r="N22" i="66"/>
  <c r="L22" i="66"/>
  <c r="H22" i="66"/>
  <c r="F22" i="66"/>
  <c r="D22" i="66"/>
  <c r="Z20" i="66"/>
  <c r="X20" i="66"/>
  <c r="V20" i="66"/>
  <c r="R20" i="66"/>
  <c r="N20" i="66"/>
  <c r="L20" i="66"/>
  <c r="J20" i="66"/>
  <c r="F20" i="66"/>
  <c r="B20" i="66"/>
  <c r="X19" i="66"/>
  <c r="V19" i="66"/>
  <c r="T19" i="66"/>
  <c r="Z19" i="66" s="1"/>
  <c r="P19" i="66"/>
  <c r="H19" i="66"/>
  <c r="F19" i="66"/>
  <c r="D19" i="66"/>
  <c r="B19" i="66"/>
  <c r="Z18" i="66"/>
  <c r="V18" i="66"/>
  <c r="T18" i="66"/>
  <c r="R18" i="66"/>
  <c r="P18" i="66"/>
  <c r="X18" i="66" s="1"/>
  <c r="J18" i="66"/>
  <c r="H18" i="66"/>
  <c r="N18" i="66" s="1"/>
  <c r="F18" i="66"/>
  <c r="D18" i="66"/>
  <c r="L18" i="66" s="1"/>
  <c r="R16" i="66"/>
  <c r="J16" i="66"/>
  <c r="H16" i="66"/>
  <c r="N16" i="66" s="1"/>
  <c r="Z14" i="66"/>
  <c r="V14" i="66"/>
  <c r="T14" i="66"/>
  <c r="R14" i="66"/>
  <c r="P14" i="66"/>
  <c r="P16" i="66" s="1"/>
  <c r="J14" i="66"/>
  <c r="H14" i="66"/>
  <c r="N14" i="66" s="1"/>
  <c r="F14" i="66"/>
  <c r="D14" i="66"/>
  <c r="Z12" i="66"/>
  <c r="X12" i="66"/>
  <c r="T12" i="66"/>
  <c r="V31" i="66" s="1"/>
  <c r="P12" i="66"/>
  <c r="R24" i="66" s="1"/>
  <c r="N12" i="66"/>
  <c r="H12" i="66"/>
  <c r="J28" i="66" s="1"/>
  <c r="D12" i="66"/>
  <c r="F16" i="66" s="1"/>
  <c r="D6" i="66"/>
  <c r="D4" i="66"/>
  <c r="X87" i="65"/>
  <c r="Z87" i="65" s="1"/>
  <c r="N87" i="65"/>
  <c r="L87" i="65"/>
  <c r="J87" i="65"/>
  <c r="Z83" i="65"/>
  <c r="X83" i="65"/>
  <c r="V83" i="65"/>
  <c r="P83" i="65"/>
  <c r="N83" i="65"/>
  <c r="L83" i="65"/>
  <c r="D83" i="65"/>
  <c r="B83" i="65"/>
  <c r="Z82" i="65"/>
  <c r="P82" i="65"/>
  <c r="X82" i="65" s="1"/>
  <c r="N82" i="65"/>
  <c r="L82" i="65"/>
  <c r="J82" i="65"/>
  <c r="D82" i="65"/>
  <c r="B82" i="65"/>
  <c r="P81" i="65"/>
  <c r="D81" i="65"/>
  <c r="L81" i="65" s="1"/>
  <c r="N81" i="65" s="1"/>
  <c r="B81" i="65"/>
  <c r="T80" i="65"/>
  <c r="H80" i="65"/>
  <c r="D80" i="65"/>
  <c r="X78" i="65"/>
  <c r="Z78" i="65" s="1"/>
  <c r="L78" i="65"/>
  <c r="N78" i="65" s="1"/>
  <c r="B78" i="65"/>
  <c r="Z77" i="65"/>
  <c r="X77" i="65"/>
  <c r="N77" i="65"/>
  <c r="L77" i="65"/>
  <c r="B77" i="65"/>
  <c r="T76" i="65"/>
  <c r="P76" i="65"/>
  <c r="H76" i="65"/>
  <c r="D76" i="65"/>
  <c r="L76" i="65" s="1"/>
  <c r="B76" i="65"/>
  <c r="X75" i="65"/>
  <c r="Z75" i="65" s="1"/>
  <c r="N75" i="65"/>
  <c r="L75" i="65"/>
  <c r="J75" i="65"/>
  <c r="B75" i="65"/>
  <c r="X74" i="65"/>
  <c r="Z74" i="65" s="1"/>
  <c r="L74" i="65"/>
  <c r="N74" i="65" s="1"/>
  <c r="B74" i="65"/>
  <c r="T73" i="65"/>
  <c r="P73" i="65"/>
  <c r="X73" i="65" s="1"/>
  <c r="Z73" i="65" s="1"/>
  <c r="L73" i="65"/>
  <c r="N73" i="65" s="1"/>
  <c r="H73" i="65"/>
  <c r="D73" i="65"/>
  <c r="B73" i="65"/>
  <c r="Z72" i="65"/>
  <c r="X72" i="65"/>
  <c r="L72" i="65"/>
  <c r="N72" i="65" s="1"/>
  <c r="F72" i="65"/>
  <c r="B72" i="65"/>
  <c r="T71" i="65"/>
  <c r="Z71" i="65" s="1"/>
  <c r="P71" i="65"/>
  <c r="X71" i="65" s="1"/>
  <c r="N71" i="65"/>
  <c r="L71" i="65"/>
  <c r="H71" i="65"/>
  <c r="D71" i="65"/>
  <c r="B71" i="65"/>
  <c r="X70" i="65"/>
  <c r="Z70" i="65" s="1"/>
  <c r="L70" i="65"/>
  <c r="N70" i="65" s="1"/>
  <c r="B70" i="65"/>
  <c r="Z69" i="65"/>
  <c r="X69" i="65"/>
  <c r="N69" i="65"/>
  <c r="L69" i="65"/>
  <c r="B69" i="65"/>
  <c r="Z68" i="65"/>
  <c r="X68" i="65"/>
  <c r="N68" i="65"/>
  <c r="L68" i="65"/>
  <c r="B68" i="65"/>
  <c r="T67" i="65"/>
  <c r="Z67" i="65" s="1"/>
  <c r="P67" i="65"/>
  <c r="X67" i="65" s="1"/>
  <c r="N67" i="65"/>
  <c r="L67" i="65"/>
  <c r="H67" i="65"/>
  <c r="D67" i="65"/>
  <c r="B67" i="65"/>
  <c r="X66" i="65"/>
  <c r="Z66" i="65" s="1"/>
  <c r="L66" i="65"/>
  <c r="N66" i="65" s="1"/>
  <c r="B66" i="65"/>
  <c r="Z65" i="65"/>
  <c r="X65" i="65"/>
  <c r="T65" i="65"/>
  <c r="P65" i="65"/>
  <c r="J65" i="65"/>
  <c r="H65" i="65"/>
  <c r="D65" i="65"/>
  <c r="B65" i="65"/>
  <c r="Z64" i="65"/>
  <c r="X64" i="65"/>
  <c r="N64" i="65"/>
  <c r="L64" i="65"/>
  <c r="B64" i="65"/>
  <c r="V63" i="65"/>
  <c r="T63" i="65"/>
  <c r="Z63" i="65" s="1"/>
  <c r="P63" i="65"/>
  <c r="N63" i="65"/>
  <c r="H63" i="65"/>
  <c r="D63" i="65"/>
  <c r="L63" i="65" s="1"/>
  <c r="B63" i="65"/>
  <c r="X62" i="65"/>
  <c r="Z62" i="65" s="1"/>
  <c r="L62" i="65"/>
  <c r="N62" i="65" s="1"/>
  <c r="B62" i="65"/>
  <c r="T61" i="65"/>
  <c r="P61" i="65"/>
  <c r="X61" i="65" s="1"/>
  <c r="Z61" i="65" s="1"/>
  <c r="H61" i="65"/>
  <c r="D61" i="65"/>
  <c r="L61" i="65" s="1"/>
  <c r="N61" i="65" s="1"/>
  <c r="B61" i="65"/>
  <c r="Z60" i="65"/>
  <c r="X60" i="65"/>
  <c r="N60" i="65"/>
  <c r="L60" i="65"/>
  <c r="B60" i="65"/>
  <c r="T59" i="65"/>
  <c r="P59" i="65"/>
  <c r="X59" i="65" s="1"/>
  <c r="Z59" i="65" s="1"/>
  <c r="N59" i="65"/>
  <c r="L59" i="65"/>
  <c r="H59" i="65"/>
  <c r="D59" i="65"/>
  <c r="B59" i="65"/>
  <c r="X58" i="65"/>
  <c r="Z58" i="65" s="1"/>
  <c r="L58" i="65"/>
  <c r="N58" i="65" s="1"/>
  <c r="B58" i="65"/>
  <c r="Z57" i="65"/>
  <c r="X57" i="65"/>
  <c r="T57" i="65"/>
  <c r="P57" i="65"/>
  <c r="J57" i="65"/>
  <c r="H57" i="65"/>
  <c r="D57" i="65"/>
  <c r="B57" i="65"/>
  <c r="Z56" i="65"/>
  <c r="X56" i="65"/>
  <c r="N56" i="65"/>
  <c r="L56" i="65"/>
  <c r="B56" i="65"/>
  <c r="V55" i="65"/>
  <c r="T55" i="65"/>
  <c r="P55" i="65"/>
  <c r="H55" i="65"/>
  <c r="D55" i="65"/>
  <c r="L55" i="65" s="1"/>
  <c r="N55" i="65" s="1"/>
  <c r="B55" i="65"/>
  <c r="Z54" i="65"/>
  <c r="X54" i="65"/>
  <c r="N54" i="65"/>
  <c r="L54" i="65"/>
  <c r="B54" i="65"/>
  <c r="Z53" i="65"/>
  <c r="X53" i="65"/>
  <c r="N53" i="65"/>
  <c r="L53" i="65"/>
  <c r="B53" i="65"/>
  <c r="Z52" i="65"/>
  <c r="X52" i="65"/>
  <c r="N52" i="65"/>
  <c r="L52" i="65"/>
  <c r="B52" i="65"/>
  <c r="X51" i="65"/>
  <c r="Z51" i="65" s="1"/>
  <c r="V51" i="65"/>
  <c r="N51" i="65"/>
  <c r="L51" i="65"/>
  <c r="B51" i="65"/>
  <c r="Z50" i="65"/>
  <c r="X50" i="65"/>
  <c r="V50" i="65"/>
  <c r="N50" i="65"/>
  <c r="L50" i="65"/>
  <c r="B50" i="65"/>
  <c r="Z49" i="65"/>
  <c r="X49" i="65"/>
  <c r="N49" i="65"/>
  <c r="L49" i="65"/>
  <c r="B49" i="65"/>
  <c r="Z48" i="65"/>
  <c r="X48" i="65"/>
  <c r="N48" i="65"/>
  <c r="L48" i="65"/>
  <c r="B48" i="65"/>
  <c r="Z47" i="65"/>
  <c r="X47" i="65"/>
  <c r="N47" i="65"/>
  <c r="L47" i="65"/>
  <c r="J47" i="65"/>
  <c r="B47" i="65"/>
  <c r="X46" i="65"/>
  <c r="Z46" i="65" s="1"/>
  <c r="L46" i="65"/>
  <c r="N46" i="65" s="1"/>
  <c r="B46" i="65"/>
  <c r="Z45" i="65"/>
  <c r="X45" i="65"/>
  <c r="N45" i="65"/>
  <c r="L45" i="65"/>
  <c r="B45" i="65"/>
  <c r="T44" i="65"/>
  <c r="P44" i="65"/>
  <c r="X44" i="65" s="1"/>
  <c r="H44" i="65"/>
  <c r="D44" i="65"/>
  <c r="L44" i="65" s="1"/>
  <c r="N44" i="65" s="1"/>
  <c r="B44" i="65"/>
  <c r="Z43" i="65"/>
  <c r="X43" i="65"/>
  <c r="L43" i="65"/>
  <c r="N43" i="65" s="1"/>
  <c r="J43" i="65"/>
  <c r="B43" i="65"/>
  <c r="X42" i="65"/>
  <c r="Z42" i="65" s="1"/>
  <c r="L42" i="65"/>
  <c r="N42" i="65" s="1"/>
  <c r="B42" i="65"/>
  <c r="Z41" i="65"/>
  <c r="X41" i="65"/>
  <c r="N41" i="65"/>
  <c r="L41" i="65"/>
  <c r="B41" i="65"/>
  <c r="Z40" i="65"/>
  <c r="X40" i="65"/>
  <c r="N40" i="65"/>
  <c r="L40" i="65"/>
  <c r="B40" i="65"/>
  <c r="Z39" i="65"/>
  <c r="X39" i="65"/>
  <c r="V39" i="65"/>
  <c r="N39" i="65"/>
  <c r="L39" i="65"/>
  <c r="B39" i="65"/>
  <c r="X38" i="65"/>
  <c r="Z38" i="65" s="1"/>
  <c r="V38" i="65"/>
  <c r="L38" i="65"/>
  <c r="N38" i="65" s="1"/>
  <c r="B38" i="65"/>
  <c r="Z37" i="65"/>
  <c r="X37" i="65"/>
  <c r="N37" i="65"/>
  <c r="L37" i="65"/>
  <c r="B37" i="65"/>
  <c r="Z36" i="65"/>
  <c r="X36" i="65"/>
  <c r="L36" i="65"/>
  <c r="N36" i="65" s="1"/>
  <c r="B36" i="65"/>
  <c r="Z35" i="65"/>
  <c r="X35" i="65"/>
  <c r="V35" i="65"/>
  <c r="L35" i="65"/>
  <c r="N35" i="65" s="1"/>
  <c r="J35" i="65"/>
  <c r="B35" i="65"/>
  <c r="X34" i="65"/>
  <c r="Z34" i="65" s="1"/>
  <c r="L34" i="65"/>
  <c r="N34" i="65" s="1"/>
  <c r="B34" i="65"/>
  <c r="T33" i="65"/>
  <c r="P33" i="65"/>
  <c r="X33" i="65" s="1"/>
  <c r="Z33" i="65" s="1"/>
  <c r="H33" i="65"/>
  <c r="D33" i="65"/>
  <c r="L33" i="65" s="1"/>
  <c r="N33" i="65" s="1"/>
  <c r="B33" i="65"/>
  <c r="T32" i="65"/>
  <c r="P32" i="65"/>
  <c r="X32" i="65" s="1"/>
  <c r="Z32" i="65" s="1"/>
  <c r="H32" i="65"/>
  <c r="D32" i="65"/>
  <c r="L32" i="65" s="1"/>
  <c r="T30" i="65"/>
  <c r="Z28" i="65"/>
  <c r="X28" i="65"/>
  <c r="N28" i="65"/>
  <c r="L28" i="65"/>
  <c r="B28" i="65"/>
  <c r="Z27" i="65"/>
  <c r="X27" i="65"/>
  <c r="V27" i="65"/>
  <c r="N27" i="65"/>
  <c r="L27" i="65"/>
  <c r="J27" i="65"/>
  <c r="B27" i="65"/>
  <c r="Z26" i="65"/>
  <c r="X26" i="65"/>
  <c r="N26" i="65"/>
  <c r="L26" i="65"/>
  <c r="B26" i="65"/>
  <c r="Z25" i="65"/>
  <c r="X25" i="65"/>
  <c r="N25" i="65"/>
  <c r="L25" i="65"/>
  <c r="B25" i="65"/>
  <c r="Z24" i="65"/>
  <c r="X24" i="65"/>
  <c r="N24" i="65"/>
  <c r="L24" i="65"/>
  <c r="B24" i="65"/>
  <c r="Z23" i="65"/>
  <c r="X23" i="65"/>
  <c r="V23" i="65"/>
  <c r="N23" i="65"/>
  <c r="L23" i="65"/>
  <c r="B23" i="65"/>
  <c r="Z22" i="65"/>
  <c r="X22" i="65"/>
  <c r="V22" i="65"/>
  <c r="N22" i="65"/>
  <c r="L22" i="65"/>
  <c r="B22" i="65"/>
  <c r="Z21" i="65"/>
  <c r="X21" i="65"/>
  <c r="V21" i="65"/>
  <c r="N21" i="65"/>
  <c r="L21" i="65"/>
  <c r="B21" i="65"/>
  <c r="Z20" i="65"/>
  <c r="X20" i="65"/>
  <c r="N20" i="65"/>
  <c r="L20" i="65"/>
  <c r="B20" i="65"/>
  <c r="Z19" i="65"/>
  <c r="X19" i="65"/>
  <c r="V19" i="65"/>
  <c r="N19" i="65"/>
  <c r="L19" i="65"/>
  <c r="J19" i="65"/>
  <c r="B19" i="65"/>
  <c r="T18" i="65"/>
  <c r="Z18" i="65" s="1"/>
  <c r="P18" i="65"/>
  <c r="X18" i="65" s="1"/>
  <c r="H18" i="65"/>
  <c r="D18" i="65"/>
  <c r="Z16" i="65"/>
  <c r="X16" i="65"/>
  <c r="P16" i="65"/>
  <c r="N16" i="65"/>
  <c r="D16" i="65"/>
  <c r="L16" i="65" s="1"/>
  <c r="B16" i="65"/>
  <c r="Z15" i="65"/>
  <c r="P15" i="65"/>
  <c r="N15" i="65"/>
  <c r="L15" i="65"/>
  <c r="D15" i="65"/>
  <c r="B15" i="65"/>
  <c r="Z14" i="65"/>
  <c r="X14" i="65"/>
  <c r="P14" i="65"/>
  <c r="N14" i="65"/>
  <c r="L14" i="65"/>
  <c r="D14" i="65"/>
  <c r="B14" i="65"/>
  <c r="P13" i="65"/>
  <c r="X13" i="65" s="1"/>
  <c r="Z13" i="65" s="1"/>
  <c r="L13" i="65"/>
  <c r="N13" i="65" s="1"/>
  <c r="D13" i="65"/>
  <c r="D12" i="65" s="1"/>
  <c r="F28" i="65" s="1"/>
  <c r="B13" i="65"/>
  <c r="T12" i="65"/>
  <c r="V80" i="65" s="1"/>
  <c r="H12" i="65"/>
  <c r="J78" i="65" s="1"/>
  <c r="D6" i="65"/>
  <c r="D4" i="65"/>
  <c r="R35" i="64"/>
  <c r="Z30" i="64"/>
  <c r="X30" i="64"/>
  <c r="R30" i="64"/>
  <c r="N30" i="64"/>
  <c r="L30" i="64"/>
  <c r="F30" i="64"/>
  <c r="R28" i="64"/>
  <c r="T26" i="64"/>
  <c r="Z26" i="64" s="1"/>
  <c r="P26" i="64"/>
  <c r="L26" i="64"/>
  <c r="H26" i="64"/>
  <c r="N26" i="64" s="1"/>
  <c r="D26" i="64"/>
  <c r="Z24" i="64"/>
  <c r="X24" i="64"/>
  <c r="R24" i="64"/>
  <c r="N24" i="64"/>
  <c r="L24" i="64"/>
  <c r="F24" i="64"/>
  <c r="B24" i="64"/>
  <c r="V23" i="64"/>
  <c r="T23" i="64"/>
  <c r="Z23" i="64" s="1"/>
  <c r="R23" i="64"/>
  <c r="P23" i="64"/>
  <c r="X23" i="64" s="1"/>
  <c r="N23" i="64"/>
  <c r="H23" i="64"/>
  <c r="F23" i="64"/>
  <c r="D23" i="64"/>
  <c r="L23" i="64" s="1"/>
  <c r="B23" i="64"/>
  <c r="Z22" i="64"/>
  <c r="X22" i="64"/>
  <c r="N22" i="64"/>
  <c r="L22" i="64"/>
  <c r="B22" i="64"/>
  <c r="Z21" i="64"/>
  <c r="T21" i="64"/>
  <c r="R21" i="64"/>
  <c r="P21" i="64"/>
  <c r="X21" i="64" s="1"/>
  <c r="N21" i="64"/>
  <c r="H21" i="64"/>
  <c r="D21" i="64"/>
  <c r="L21" i="64" s="1"/>
  <c r="B21" i="64"/>
  <c r="Z20" i="64"/>
  <c r="X20" i="64"/>
  <c r="R20" i="64"/>
  <c r="L20" i="64"/>
  <c r="N20" i="64" s="1"/>
  <c r="F20" i="64"/>
  <c r="B20" i="64"/>
  <c r="V19" i="64"/>
  <c r="T19" i="64"/>
  <c r="P19" i="64"/>
  <c r="X19" i="64" s="1"/>
  <c r="Z19" i="64" s="1"/>
  <c r="N19" i="64"/>
  <c r="L19" i="64"/>
  <c r="H19" i="64"/>
  <c r="F19" i="64"/>
  <c r="D19" i="64"/>
  <c r="B19" i="64"/>
  <c r="V18" i="64"/>
  <c r="T18" i="64"/>
  <c r="P18" i="64"/>
  <c r="X18" i="64" s="1"/>
  <c r="H18" i="64"/>
  <c r="F18" i="64"/>
  <c r="D18" i="64"/>
  <c r="P16" i="64"/>
  <c r="X14" i="64"/>
  <c r="V14" i="64"/>
  <c r="T14" i="64"/>
  <c r="Z14" i="64" s="1"/>
  <c r="P14" i="64"/>
  <c r="H14" i="64"/>
  <c r="F14" i="64"/>
  <c r="D14" i="64"/>
  <c r="L14" i="64" s="1"/>
  <c r="X12" i="64"/>
  <c r="T12" i="64"/>
  <c r="V32" i="64" s="1"/>
  <c r="P12" i="64"/>
  <c r="R18" i="64" s="1"/>
  <c r="L12" i="64"/>
  <c r="H12" i="64"/>
  <c r="J32" i="64" s="1"/>
  <c r="D12" i="64"/>
  <c r="F22" i="64" s="1"/>
  <c r="D6" i="64"/>
  <c r="D4" i="64"/>
  <c r="X65" i="63"/>
  <c r="Z65" i="63" s="1"/>
  <c r="R65" i="63"/>
  <c r="N65" i="63"/>
  <c r="L65" i="63"/>
  <c r="T61" i="63"/>
  <c r="Z61" i="63" s="1"/>
  <c r="P61" i="63"/>
  <c r="L61" i="63"/>
  <c r="H61" i="63"/>
  <c r="N61" i="63" s="1"/>
  <c r="D61" i="63"/>
  <c r="X59" i="63"/>
  <c r="Z59" i="63" s="1"/>
  <c r="R59" i="63"/>
  <c r="N59" i="63"/>
  <c r="L59" i="63"/>
  <c r="B59" i="63"/>
  <c r="T58" i="63"/>
  <c r="Z58" i="63" s="1"/>
  <c r="P58" i="63"/>
  <c r="X58" i="63" s="1"/>
  <c r="H58" i="63"/>
  <c r="D58" i="63"/>
  <c r="L58" i="63" s="1"/>
  <c r="N58" i="63" s="1"/>
  <c r="B58" i="63"/>
  <c r="X57" i="63"/>
  <c r="Z57" i="63" s="1"/>
  <c r="L57" i="63"/>
  <c r="N57" i="63" s="1"/>
  <c r="B57" i="63"/>
  <c r="Z56" i="63"/>
  <c r="X56" i="63"/>
  <c r="N56" i="63"/>
  <c r="L56" i="63"/>
  <c r="B56" i="63"/>
  <c r="Z55" i="63"/>
  <c r="X55" i="63"/>
  <c r="R55" i="63"/>
  <c r="N55" i="63"/>
  <c r="L55" i="63"/>
  <c r="B55" i="63"/>
  <c r="T54" i="63"/>
  <c r="P54" i="63"/>
  <c r="X54" i="63" s="1"/>
  <c r="H54" i="63"/>
  <c r="D54" i="63"/>
  <c r="L54" i="63" s="1"/>
  <c r="N54" i="63" s="1"/>
  <c r="B54" i="63"/>
  <c r="X53" i="63"/>
  <c r="Z53" i="63" s="1"/>
  <c r="L53" i="63"/>
  <c r="N53" i="63" s="1"/>
  <c r="B53" i="63"/>
  <c r="T52" i="63"/>
  <c r="R52" i="63"/>
  <c r="P52" i="63"/>
  <c r="X52" i="63" s="1"/>
  <c r="Z52" i="63" s="1"/>
  <c r="H52" i="63"/>
  <c r="L52" i="63" s="1"/>
  <c r="N52" i="63" s="1"/>
  <c r="D52" i="63"/>
  <c r="B52" i="63"/>
  <c r="Z51" i="63"/>
  <c r="X51" i="63"/>
  <c r="N51" i="63"/>
  <c r="L51" i="63"/>
  <c r="B51" i="63"/>
  <c r="Z50" i="63"/>
  <c r="T50" i="63"/>
  <c r="X50" i="63" s="1"/>
  <c r="P50" i="63"/>
  <c r="N50" i="63"/>
  <c r="L50" i="63"/>
  <c r="H50" i="63"/>
  <c r="D50" i="63"/>
  <c r="B50" i="63"/>
  <c r="Z49" i="63"/>
  <c r="X49" i="63"/>
  <c r="N49" i="63"/>
  <c r="L49" i="63"/>
  <c r="B49" i="63"/>
  <c r="Z48" i="63"/>
  <c r="X48" i="63"/>
  <c r="T48" i="63"/>
  <c r="P48" i="63"/>
  <c r="J48" i="63"/>
  <c r="H48" i="63"/>
  <c r="N48" i="63" s="1"/>
  <c r="D48" i="63"/>
  <c r="L48" i="63" s="1"/>
  <c r="B48" i="63"/>
  <c r="Z47" i="63"/>
  <c r="X47" i="63"/>
  <c r="R47" i="63"/>
  <c r="N47" i="63"/>
  <c r="L47" i="63"/>
  <c r="B47" i="63"/>
  <c r="T46" i="63"/>
  <c r="P46" i="63"/>
  <c r="X46" i="63" s="1"/>
  <c r="H46" i="63"/>
  <c r="D46" i="63"/>
  <c r="L46" i="63" s="1"/>
  <c r="N46" i="63" s="1"/>
  <c r="B46" i="63"/>
  <c r="X45" i="63"/>
  <c r="Z45" i="63" s="1"/>
  <c r="L45" i="63"/>
  <c r="N45" i="63" s="1"/>
  <c r="B45" i="63"/>
  <c r="T44" i="63"/>
  <c r="R44" i="63"/>
  <c r="P44" i="63"/>
  <c r="X44" i="63" s="1"/>
  <c r="Z44" i="63" s="1"/>
  <c r="H44" i="63"/>
  <c r="L44" i="63" s="1"/>
  <c r="N44" i="63" s="1"/>
  <c r="D44" i="63"/>
  <c r="B44" i="63"/>
  <c r="Z43" i="63"/>
  <c r="X43" i="63"/>
  <c r="N43" i="63"/>
  <c r="L43" i="63"/>
  <c r="B43" i="63"/>
  <c r="T42" i="63"/>
  <c r="X42" i="63" s="1"/>
  <c r="Z42" i="63" s="1"/>
  <c r="P42" i="63"/>
  <c r="N42" i="63"/>
  <c r="L42" i="63"/>
  <c r="H42" i="63"/>
  <c r="D42" i="63"/>
  <c r="B42" i="63"/>
  <c r="Z41" i="63"/>
  <c r="X41" i="63"/>
  <c r="N41" i="63"/>
  <c r="L41" i="63"/>
  <c r="B41" i="63"/>
  <c r="Z40" i="63"/>
  <c r="X40" i="63"/>
  <c r="N40" i="63"/>
  <c r="L40" i="63"/>
  <c r="B40" i="63"/>
  <c r="Z39" i="63"/>
  <c r="X39" i="63"/>
  <c r="N39" i="63"/>
  <c r="L39" i="63"/>
  <c r="B39" i="63"/>
  <c r="Z38" i="63"/>
  <c r="X38" i="63"/>
  <c r="L38" i="63"/>
  <c r="N38" i="63" s="1"/>
  <c r="J38" i="63"/>
  <c r="B38" i="63"/>
  <c r="Z37" i="63"/>
  <c r="X37" i="63"/>
  <c r="N37" i="63"/>
  <c r="L37" i="63"/>
  <c r="B37" i="63"/>
  <c r="Z36" i="63"/>
  <c r="X36" i="63"/>
  <c r="N36" i="63"/>
  <c r="L36" i="63"/>
  <c r="B36" i="63"/>
  <c r="Z35" i="63"/>
  <c r="X35" i="63"/>
  <c r="R35" i="63"/>
  <c r="N35" i="63"/>
  <c r="L35" i="63"/>
  <c r="B35" i="63"/>
  <c r="Z34" i="63"/>
  <c r="X34" i="63"/>
  <c r="N34" i="63"/>
  <c r="L34" i="63"/>
  <c r="B34" i="63"/>
  <c r="Z33" i="63"/>
  <c r="X33" i="63"/>
  <c r="N33" i="63"/>
  <c r="L33" i="63"/>
  <c r="B33" i="63"/>
  <c r="Z32" i="63"/>
  <c r="X32" i="63"/>
  <c r="N32" i="63"/>
  <c r="L32" i="63"/>
  <c r="B32" i="63"/>
  <c r="T31" i="63"/>
  <c r="P31" i="63"/>
  <c r="L31" i="63"/>
  <c r="H31" i="63"/>
  <c r="N31" i="63" s="1"/>
  <c r="D31" i="63"/>
  <c r="B31" i="63"/>
  <c r="X30" i="63"/>
  <c r="Z30" i="63" s="1"/>
  <c r="N30" i="63"/>
  <c r="L30" i="63"/>
  <c r="B30" i="63"/>
  <c r="Z29" i="63"/>
  <c r="X29" i="63"/>
  <c r="N29" i="63"/>
  <c r="L29" i="63"/>
  <c r="B29" i="63"/>
  <c r="Z28" i="63"/>
  <c r="X28" i="63"/>
  <c r="N28" i="63"/>
  <c r="L28" i="63"/>
  <c r="B28" i="63"/>
  <c r="Z27" i="63"/>
  <c r="X27" i="63"/>
  <c r="N27" i="63"/>
  <c r="L27" i="63"/>
  <c r="B27" i="63"/>
  <c r="Z26" i="63"/>
  <c r="X26" i="63"/>
  <c r="L26" i="63"/>
  <c r="N26" i="63" s="1"/>
  <c r="J26" i="63"/>
  <c r="B26" i="63"/>
  <c r="Z25" i="63"/>
  <c r="X25" i="63"/>
  <c r="N25" i="63"/>
  <c r="L25" i="63"/>
  <c r="B25" i="63"/>
  <c r="Z24" i="63"/>
  <c r="X24" i="63"/>
  <c r="N24" i="63"/>
  <c r="L24" i="63"/>
  <c r="B24" i="63"/>
  <c r="Z23" i="63"/>
  <c r="X23" i="63"/>
  <c r="R23" i="63"/>
  <c r="N23" i="63"/>
  <c r="L23" i="63"/>
  <c r="B23" i="63"/>
  <c r="V22" i="63"/>
  <c r="T22" i="63"/>
  <c r="Z22" i="63" s="1"/>
  <c r="P22" i="63"/>
  <c r="X22" i="63" s="1"/>
  <c r="H22" i="63"/>
  <c r="D22" i="63"/>
  <c r="L22" i="63" s="1"/>
  <c r="N22" i="63" s="1"/>
  <c r="B22" i="63"/>
  <c r="T21" i="63"/>
  <c r="P21" i="63"/>
  <c r="X21" i="63" s="1"/>
  <c r="H21" i="63"/>
  <c r="D21" i="63"/>
  <c r="P19" i="63"/>
  <c r="H19" i="63"/>
  <c r="X17" i="63"/>
  <c r="Z17" i="63" s="1"/>
  <c r="L17" i="63"/>
  <c r="N17" i="63" s="1"/>
  <c r="B17" i="63"/>
  <c r="T16" i="63"/>
  <c r="R16" i="63"/>
  <c r="P16" i="63"/>
  <c r="X16" i="63" s="1"/>
  <c r="Z16" i="63" s="1"/>
  <c r="H16" i="63"/>
  <c r="L16" i="63" s="1"/>
  <c r="N16" i="63" s="1"/>
  <c r="D16" i="63"/>
  <c r="Z14" i="63"/>
  <c r="X14" i="63"/>
  <c r="P14" i="63"/>
  <c r="L14" i="63"/>
  <c r="N14" i="63" s="1"/>
  <c r="D14" i="63"/>
  <c r="B14" i="63"/>
  <c r="X13" i="63"/>
  <c r="Z13" i="63" s="1"/>
  <c r="P13" i="63"/>
  <c r="D13" i="63"/>
  <c r="L13" i="63" s="1"/>
  <c r="N13" i="63" s="1"/>
  <c r="B13" i="63"/>
  <c r="T12" i="63"/>
  <c r="V58" i="63" s="1"/>
  <c r="P12" i="63"/>
  <c r="R70" i="63" s="1"/>
  <c r="H12" i="63"/>
  <c r="D6" i="63"/>
  <c r="D4" i="63"/>
  <c r="Z89" i="62"/>
  <c r="X89" i="62"/>
  <c r="N89" i="62"/>
  <c r="L89" i="62"/>
  <c r="P85" i="62"/>
  <c r="N85" i="62"/>
  <c r="L85" i="62"/>
  <c r="D85" i="62"/>
  <c r="B85" i="62"/>
  <c r="T84" i="62"/>
  <c r="H84" i="62"/>
  <c r="D84" i="62"/>
  <c r="X82" i="62"/>
  <c r="Z82" i="62" s="1"/>
  <c r="L82" i="62"/>
  <c r="N82" i="62" s="1"/>
  <c r="B82" i="62"/>
  <c r="T81" i="62"/>
  <c r="P81" i="62"/>
  <c r="X81" i="62" s="1"/>
  <c r="Z81" i="62" s="1"/>
  <c r="H81" i="62"/>
  <c r="D81" i="62"/>
  <c r="L81" i="62" s="1"/>
  <c r="N81" i="62" s="1"/>
  <c r="B81" i="62"/>
  <c r="Z80" i="62"/>
  <c r="X80" i="62"/>
  <c r="L80" i="62"/>
  <c r="N80" i="62" s="1"/>
  <c r="B80" i="62"/>
  <c r="T79" i="62"/>
  <c r="P79" i="62"/>
  <c r="X79" i="62" s="1"/>
  <c r="Z79" i="62" s="1"/>
  <c r="N79" i="62"/>
  <c r="L79" i="62"/>
  <c r="H79" i="62"/>
  <c r="D79" i="62"/>
  <c r="B79" i="62"/>
  <c r="X78" i="62"/>
  <c r="Z78" i="62" s="1"/>
  <c r="L78" i="62"/>
  <c r="N78" i="62" s="1"/>
  <c r="B78" i="62"/>
  <c r="Z77" i="62"/>
  <c r="X77" i="62"/>
  <c r="T77" i="62"/>
  <c r="P77" i="62"/>
  <c r="H77" i="62"/>
  <c r="D77" i="62"/>
  <c r="L77" i="62" s="1"/>
  <c r="B77" i="62"/>
  <c r="X76" i="62"/>
  <c r="Z76" i="62" s="1"/>
  <c r="R76" i="62"/>
  <c r="N76" i="62"/>
  <c r="L76" i="62"/>
  <c r="B76" i="62"/>
  <c r="Z75" i="62"/>
  <c r="X75" i="62"/>
  <c r="N75" i="62"/>
  <c r="L75" i="62"/>
  <c r="B75" i="62"/>
  <c r="Z74" i="62"/>
  <c r="X74" i="62"/>
  <c r="N74" i="62"/>
  <c r="L74" i="62"/>
  <c r="B74" i="62"/>
  <c r="Z73" i="62"/>
  <c r="X73" i="62"/>
  <c r="N73" i="62"/>
  <c r="L73" i="62"/>
  <c r="B73" i="62"/>
  <c r="T72" i="62"/>
  <c r="Z72" i="62" s="1"/>
  <c r="P72" i="62"/>
  <c r="X72" i="62" s="1"/>
  <c r="L72" i="62"/>
  <c r="H72" i="62"/>
  <c r="D72" i="62"/>
  <c r="B72" i="62"/>
  <c r="Z71" i="62"/>
  <c r="X71" i="62"/>
  <c r="V71" i="62"/>
  <c r="R71" i="62"/>
  <c r="N71" i="62"/>
  <c r="L71" i="62"/>
  <c r="B71" i="62"/>
  <c r="X70" i="62"/>
  <c r="Z70" i="62" s="1"/>
  <c r="L70" i="62"/>
  <c r="N70" i="62" s="1"/>
  <c r="B70" i="62"/>
  <c r="X69" i="62"/>
  <c r="Z69" i="62" s="1"/>
  <c r="T69" i="62"/>
  <c r="P69" i="62"/>
  <c r="H69" i="62"/>
  <c r="D69" i="62"/>
  <c r="B69" i="62"/>
  <c r="Z68" i="62"/>
  <c r="X68" i="62"/>
  <c r="N68" i="62"/>
  <c r="L68" i="62"/>
  <c r="F68" i="62"/>
  <c r="B68" i="62"/>
  <c r="Z67" i="62"/>
  <c r="X67" i="62"/>
  <c r="L67" i="62"/>
  <c r="N67" i="62" s="1"/>
  <c r="B67" i="62"/>
  <c r="X66" i="62"/>
  <c r="Z66" i="62" s="1"/>
  <c r="L66" i="62"/>
  <c r="N66" i="62" s="1"/>
  <c r="B66" i="62"/>
  <c r="Z65" i="62"/>
  <c r="X65" i="62"/>
  <c r="N65" i="62"/>
  <c r="L65" i="62"/>
  <c r="B65" i="62"/>
  <c r="T64" i="62"/>
  <c r="P64" i="62"/>
  <c r="H64" i="62"/>
  <c r="D64" i="62"/>
  <c r="L64" i="62" s="1"/>
  <c r="N64" i="62" s="1"/>
  <c r="B64" i="62"/>
  <c r="Z63" i="62"/>
  <c r="X63" i="62"/>
  <c r="N63" i="62"/>
  <c r="L63" i="62"/>
  <c r="J63" i="62"/>
  <c r="B63" i="62"/>
  <c r="V62" i="62"/>
  <c r="T62" i="62"/>
  <c r="P62" i="62"/>
  <c r="X62" i="62" s="1"/>
  <c r="H62" i="62"/>
  <c r="D62" i="62"/>
  <c r="B62" i="62"/>
  <c r="Z61" i="62"/>
  <c r="X61" i="62"/>
  <c r="L61" i="62"/>
  <c r="N61" i="62" s="1"/>
  <c r="B61" i="62"/>
  <c r="T60" i="62"/>
  <c r="R60" i="62"/>
  <c r="P60" i="62"/>
  <c r="H60" i="62"/>
  <c r="D60" i="62"/>
  <c r="L60" i="62" s="1"/>
  <c r="B60" i="62"/>
  <c r="Z59" i="62"/>
  <c r="X59" i="62"/>
  <c r="V59" i="62"/>
  <c r="N59" i="62"/>
  <c r="L59" i="62"/>
  <c r="J59" i="62"/>
  <c r="B59" i="62"/>
  <c r="T58" i="62"/>
  <c r="P58" i="62"/>
  <c r="X58" i="62" s="1"/>
  <c r="N58" i="62"/>
  <c r="H58" i="62"/>
  <c r="D58" i="62"/>
  <c r="L58" i="62" s="1"/>
  <c r="B58" i="62"/>
  <c r="Z57" i="62"/>
  <c r="X57" i="62"/>
  <c r="N57" i="62"/>
  <c r="L57" i="62"/>
  <c r="J57" i="62"/>
  <c r="B57" i="62"/>
  <c r="Z56" i="62"/>
  <c r="T56" i="62"/>
  <c r="P56" i="62"/>
  <c r="X56" i="62" s="1"/>
  <c r="H56" i="62"/>
  <c r="N56" i="62" s="1"/>
  <c r="D56" i="62"/>
  <c r="L56" i="62" s="1"/>
  <c r="B56" i="62"/>
  <c r="Z55" i="62"/>
  <c r="X55" i="62"/>
  <c r="N55" i="62"/>
  <c r="L55" i="62"/>
  <c r="J55" i="62"/>
  <c r="B55" i="62"/>
  <c r="T54" i="62"/>
  <c r="P54" i="62"/>
  <c r="X54" i="62" s="1"/>
  <c r="L54" i="62"/>
  <c r="N54" i="62" s="1"/>
  <c r="H54" i="62"/>
  <c r="D54" i="62"/>
  <c r="B54" i="62"/>
  <c r="X53" i="62"/>
  <c r="Z53" i="62" s="1"/>
  <c r="V53" i="62"/>
  <c r="N53" i="62"/>
  <c r="L53" i="62"/>
  <c r="J53" i="62"/>
  <c r="B53" i="62"/>
  <c r="V52" i="62"/>
  <c r="T52" i="62"/>
  <c r="P52" i="62"/>
  <c r="H52" i="62"/>
  <c r="F52" i="62"/>
  <c r="D52" i="62"/>
  <c r="L52" i="62" s="1"/>
  <c r="B52" i="62"/>
  <c r="Z51" i="62"/>
  <c r="X51" i="62"/>
  <c r="V51" i="62"/>
  <c r="L51" i="62"/>
  <c r="N51" i="62" s="1"/>
  <c r="J51" i="62"/>
  <c r="B51" i="62"/>
  <c r="T50" i="62"/>
  <c r="R50" i="62"/>
  <c r="P50" i="62"/>
  <c r="X50" i="62" s="1"/>
  <c r="L50" i="62"/>
  <c r="H50" i="62"/>
  <c r="N50" i="62" s="1"/>
  <c r="D50" i="62"/>
  <c r="B50" i="62"/>
  <c r="Z49" i="62"/>
  <c r="X49" i="62"/>
  <c r="V49" i="62"/>
  <c r="N49" i="62"/>
  <c r="L49" i="62"/>
  <c r="F49" i="62"/>
  <c r="B49" i="62"/>
  <c r="X48" i="62"/>
  <c r="T48" i="62"/>
  <c r="Z48" i="62" s="1"/>
  <c r="P48" i="62"/>
  <c r="N48" i="62"/>
  <c r="L48" i="62"/>
  <c r="H48" i="62"/>
  <c r="D48" i="62"/>
  <c r="B48" i="62"/>
  <c r="X47" i="62"/>
  <c r="Z47" i="62" s="1"/>
  <c r="V47" i="62"/>
  <c r="N47" i="62"/>
  <c r="L47" i="62"/>
  <c r="J47" i="62"/>
  <c r="B47" i="62"/>
  <c r="Z46" i="62"/>
  <c r="X46" i="62"/>
  <c r="R46" i="62"/>
  <c r="N46" i="62"/>
  <c r="L46" i="62"/>
  <c r="B46" i="62"/>
  <c r="V45" i="62"/>
  <c r="T45" i="62"/>
  <c r="P45" i="62"/>
  <c r="X45" i="62" s="1"/>
  <c r="Z45" i="62" s="1"/>
  <c r="L45" i="62"/>
  <c r="N45" i="62" s="1"/>
  <c r="J45" i="62"/>
  <c r="H45" i="62"/>
  <c r="D45" i="62"/>
  <c r="B45" i="62"/>
  <c r="X44" i="62"/>
  <c r="Z44" i="62" s="1"/>
  <c r="V44" i="62"/>
  <c r="R44" i="62"/>
  <c r="L44" i="62"/>
  <c r="N44" i="62" s="1"/>
  <c r="B44" i="62"/>
  <c r="X43" i="62"/>
  <c r="Z43" i="62" s="1"/>
  <c r="V43" i="62"/>
  <c r="T43" i="62"/>
  <c r="R43" i="62"/>
  <c r="P43" i="62"/>
  <c r="H43" i="62"/>
  <c r="F43" i="62"/>
  <c r="D43" i="62"/>
  <c r="B43" i="62"/>
  <c r="X42" i="62"/>
  <c r="Z42" i="62" s="1"/>
  <c r="N42" i="62"/>
  <c r="L42" i="62"/>
  <c r="B42" i="62"/>
  <c r="T41" i="62"/>
  <c r="R41" i="62"/>
  <c r="P41" i="62"/>
  <c r="J41" i="62"/>
  <c r="H41" i="62"/>
  <c r="D41" i="62"/>
  <c r="L41" i="62" s="1"/>
  <c r="N41" i="62" s="1"/>
  <c r="B41" i="62"/>
  <c r="Z40" i="62"/>
  <c r="X40" i="62"/>
  <c r="R40" i="62"/>
  <c r="N40" i="62"/>
  <c r="L40" i="62"/>
  <c r="J40" i="62"/>
  <c r="F40" i="62"/>
  <c r="B40" i="62"/>
  <c r="Z39" i="62"/>
  <c r="X39" i="62"/>
  <c r="V39" i="62"/>
  <c r="N39" i="62"/>
  <c r="L39" i="62"/>
  <c r="J39" i="62"/>
  <c r="B39" i="62"/>
  <c r="Z38" i="62"/>
  <c r="X38" i="62"/>
  <c r="N38" i="62"/>
  <c r="L38" i="62"/>
  <c r="B38" i="62"/>
  <c r="Z37" i="62"/>
  <c r="X37" i="62"/>
  <c r="R37" i="62"/>
  <c r="N37" i="62"/>
  <c r="L37" i="62"/>
  <c r="J37" i="62"/>
  <c r="B37" i="62"/>
  <c r="Z36" i="62"/>
  <c r="X36" i="62"/>
  <c r="V36" i="62"/>
  <c r="R36" i="62"/>
  <c r="N36" i="62"/>
  <c r="L36" i="62"/>
  <c r="B36" i="62"/>
  <c r="Z35" i="62"/>
  <c r="X35" i="62"/>
  <c r="V35" i="62"/>
  <c r="N35" i="62"/>
  <c r="L35" i="62"/>
  <c r="J35" i="62"/>
  <c r="B35" i="62"/>
  <c r="Z34" i="62"/>
  <c r="X34" i="62"/>
  <c r="R34" i="62"/>
  <c r="L34" i="62"/>
  <c r="N34" i="62" s="1"/>
  <c r="B34" i="62"/>
  <c r="Z33" i="62"/>
  <c r="X33" i="62"/>
  <c r="V33" i="62"/>
  <c r="N33" i="62"/>
  <c r="L33" i="62"/>
  <c r="F33" i="62"/>
  <c r="B33" i="62"/>
  <c r="Z32" i="62"/>
  <c r="X32" i="62"/>
  <c r="R32" i="62"/>
  <c r="N32" i="62"/>
  <c r="L32" i="62"/>
  <c r="J32" i="62"/>
  <c r="F32" i="62"/>
  <c r="B32" i="62"/>
  <c r="Z31" i="62"/>
  <c r="X31" i="62"/>
  <c r="V31" i="62"/>
  <c r="L31" i="62"/>
  <c r="N31" i="62" s="1"/>
  <c r="J31" i="62"/>
  <c r="B31" i="62"/>
  <c r="T30" i="62"/>
  <c r="R30" i="62"/>
  <c r="P30" i="62"/>
  <c r="X30" i="62" s="1"/>
  <c r="L30" i="62"/>
  <c r="H30" i="62"/>
  <c r="N30" i="62" s="1"/>
  <c r="D30" i="62"/>
  <c r="B30" i="62"/>
  <c r="Z29" i="62"/>
  <c r="X29" i="62"/>
  <c r="V29" i="62"/>
  <c r="N29" i="62"/>
  <c r="L29" i="62"/>
  <c r="J29" i="62"/>
  <c r="F29" i="62"/>
  <c r="B29" i="62"/>
  <c r="X28" i="62"/>
  <c r="Z28" i="62" s="1"/>
  <c r="R28" i="62"/>
  <c r="L28" i="62"/>
  <c r="N28" i="62" s="1"/>
  <c r="J28" i="62"/>
  <c r="F28" i="62"/>
  <c r="B28" i="62"/>
  <c r="Z27" i="62"/>
  <c r="X27" i="62"/>
  <c r="V27" i="62"/>
  <c r="L27" i="62"/>
  <c r="N27" i="62" s="1"/>
  <c r="J27" i="62"/>
  <c r="B27" i="62"/>
  <c r="Z26" i="62"/>
  <c r="X26" i="62"/>
  <c r="N26" i="62"/>
  <c r="L26" i="62"/>
  <c r="B26" i="62"/>
  <c r="Z25" i="62"/>
  <c r="X25" i="62"/>
  <c r="V25" i="62"/>
  <c r="R25" i="62"/>
  <c r="N25" i="62"/>
  <c r="L25" i="62"/>
  <c r="J25" i="62"/>
  <c r="B25" i="62"/>
  <c r="X24" i="62"/>
  <c r="Z24" i="62" s="1"/>
  <c r="V24" i="62"/>
  <c r="R24" i="62"/>
  <c r="L24" i="62"/>
  <c r="N24" i="62" s="1"/>
  <c r="J24" i="62"/>
  <c r="B24" i="62"/>
  <c r="X23" i="62"/>
  <c r="Z23" i="62" s="1"/>
  <c r="V23" i="62"/>
  <c r="N23" i="62"/>
  <c r="L23" i="62"/>
  <c r="J23" i="62"/>
  <c r="B23" i="62"/>
  <c r="X22" i="62"/>
  <c r="Z22" i="62" s="1"/>
  <c r="R22" i="62"/>
  <c r="L22" i="62"/>
  <c r="N22" i="62" s="1"/>
  <c r="B22" i="62"/>
  <c r="Z21" i="62"/>
  <c r="X21" i="62"/>
  <c r="V21" i="62"/>
  <c r="N21" i="62"/>
  <c r="L21" i="62"/>
  <c r="J21" i="62"/>
  <c r="F21" i="62"/>
  <c r="B21" i="62"/>
  <c r="X20" i="62"/>
  <c r="Z20" i="62" s="1"/>
  <c r="V20" i="62"/>
  <c r="R20" i="62"/>
  <c r="L20" i="62"/>
  <c r="N20" i="62" s="1"/>
  <c r="J20" i="62"/>
  <c r="F20" i="62"/>
  <c r="B20" i="62"/>
  <c r="V19" i="62"/>
  <c r="T19" i="62"/>
  <c r="P19" i="62"/>
  <c r="X19" i="62" s="1"/>
  <c r="Z19" i="62" s="1"/>
  <c r="J19" i="62"/>
  <c r="H19" i="62"/>
  <c r="D19" i="62"/>
  <c r="L19" i="62" s="1"/>
  <c r="N19" i="62" s="1"/>
  <c r="B19" i="62"/>
  <c r="T18" i="62"/>
  <c r="P18" i="62"/>
  <c r="X18" i="62" s="1"/>
  <c r="J18" i="62"/>
  <c r="H18" i="62"/>
  <c r="D18" i="62"/>
  <c r="R16" i="62"/>
  <c r="P16" i="62"/>
  <c r="J16" i="62"/>
  <c r="Z14" i="62"/>
  <c r="X14" i="62"/>
  <c r="T14" i="62"/>
  <c r="T16" i="62" s="1"/>
  <c r="P14" i="62"/>
  <c r="J14" i="62"/>
  <c r="H14" i="62"/>
  <c r="D14" i="62"/>
  <c r="L14" i="62" s="1"/>
  <c r="Z12" i="62"/>
  <c r="X12" i="62"/>
  <c r="T12" i="62"/>
  <c r="V75" i="62" s="1"/>
  <c r="P12" i="62"/>
  <c r="N12" i="62"/>
  <c r="L12" i="62"/>
  <c r="H12" i="62"/>
  <c r="J77" i="62" s="1"/>
  <c r="D12" i="62"/>
  <c r="F59" i="62" s="1"/>
  <c r="D6" i="62"/>
  <c r="D4" i="62"/>
  <c r="V63" i="61"/>
  <c r="F63" i="61"/>
  <c r="Z58" i="61"/>
  <c r="X58" i="61"/>
  <c r="V58" i="61"/>
  <c r="R58" i="61"/>
  <c r="N58" i="61"/>
  <c r="L58" i="61"/>
  <c r="V56" i="61"/>
  <c r="F56" i="61"/>
  <c r="X54" i="61"/>
  <c r="T54" i="61"/>
  <c r="Z54" i="61" s="1"/>
  <c r="P54" i="61"/>
  <c r="N54" i="61"/>
  <c r="L54" i="61"/>
  <c r="H54" i="61"/>
  <c r="D54" i="61"/>
  <c r="X52" i="61"/>
  <c r="Z52" i="61" s="1"/>
  <c r="V52" i="61"/>
  <c r="R52" i="61"/>
  <c r="L52" i="61"/>
  <c r="N52" i="61" s="1"/>
  <c r="B52" i="61"/>
  <c r="X51" i="61"/>
  <c r="Z51" i="61" s="1"/>
  <c r="V51" i="61"/>
  <c r="T51" i="61"/>
  <c r="R51" i="61"/>
  <c r="P51" i="61"/>
  <c r="H51" i="61"/>
  <c r="F51" i="61"/>
  <c r="D51" i="61"/>
  <c r="L51" i="61" s="1"/>
  <c r="B51" i="61"/>
  <c r="X50" i="61"/>
  <c r="Z50" i="61" s="1"/>
  <c r="L50" i="61"/>
  <c r="N50" i="61" s="1"/>
  <c r="B50" i="61"/>
  <c r="Z49" i="61"/>
  <c r="X49" i="61"/>
  <c r="R49" i="61"/>
  <c r="N49" i="61"/>
  <c r="L49" i="61"/>
  <c r="J49" i="61"/>
  <c r="B49" i="61"/>
  <c r="V48" i="61"/>
  <c r="T48" i="61"/>
  <c r="P48" i="61"/>
  <c r="X48" i="61" s="1"/>
  <c r="H48" i="61"/>
  <c r="N48" i="61" s="1"/>
  <c r="F48" i="61"/>
  <c r="D48" i="61"/>
  <c r="L48" i="61" s="1"/>
  <c r="B48" i="61"/>
  <c r="Z47" i="61"/>
  <c r="X47" i="61"/>
  <c r="V47" i="61"/>
  <c r="L47" i="61"/>
  <c r="N47" i="61" s="1"/>
  <c r="J47" i="61"/>
  <c r="B47" i="61"/>
  <c r="T46" i="61"/>
  <c r="Z46" i="61" s="1"/>
  <c r="R46" i="61"/>
  <c r="P46" i="61"/>
  <c r="X46" i="61" s="1"/>
  <c r="L46" i="61"/>
  <c r="H46" i="61"/>
  <c r="N46" i="61" s="1"/>
  <c r="D46" i="61"/>
  <c r="B46" i="61"/>
  <c r="Z45" i="61"/>
  <c r="X45" i="61"/>
  <c r="V45" i="61"/>
  <c r="N45" i="61"/>
  <c r="L45" i="61"/>
  <c r="F45" i="61"/>
  <c r="B45" i="61"/>
  <c r="X44" i="61"/>
  <c r="T44" i="61"/>
  <c r="Z44" i="61" s="1"/>
  <c r="P44" i="61"/>
  <c r="L44" i="61"/>
  <c r="N44" i="61" s="1"/>
  <c r="H44" i="61"/>
  <c r="D44" i="61"/>
  <c r="B44" i="61"/>
  <c r="X43" i="61"/>
  <c r="Z43" i="61" s="1"/>
  <c r="V43" i="61"/>
  <c r="N43" i="61"/>
  <c r="L43" i="61"/>
  <c r="J43" i="61"/>
  <c r="B43" i="61"/>
  <c r="X42" i="61"/>
  <c r="Z42" i="61" s="1"/>
  <c r="T42" i="61"/>
  <c r="P42" i="61"/>
  <c r="J42" i="61"/>
  <c r="H42" i="61"/>
  <c r="D42" i="61"/>
  <c r="L42" i="61" s="1"/>
  <c r="B42" i="61"/>
  <c r="Z41" i="61"/>
  <c r="X41" i="61"/>
  <c r="R41" i="61"/>
  <c r="N41" i="61"/>
  <c r="L41" i="61"/>
  <c r="J41" i="61"/>
  <c r="B41" i="61"/>
  <c r="V40" i="61"/>
  <c r="T40" i="61"/>
  <c r="P40" i="61"/>
  <c r="X40" i="61" s="1"/>
  <c r="H40" i="61"/>
  <c r="N40" i="61" s="1"/>
  <c r="F40" i="61"/>
  <c r="D40" i="61"/>
  <c r="L40" i="61" s="1"/>
  <c r="B40" i="61"/>
  <c r="Z39" i="61"/>
  <c r="X39" i="61"/>
  <c r="V39" i="61"/>
  <c r="N39" i="61"/>
  <c r="L39" i="61"/>
  <c r="J39" i="61"/>
  <c r="B39" i="61"/>
  <c r="Z38" i="61"/>
  <c r="X38" i="61"/>
  <c r="N38" i="61"/>
  <c r="L38" i="61"/>
  <c r="B38" i="61"/>
  <c r="Z37" i="61"/>
  <c r="X37" i="61"/>
  <c r="R37" i="61"/>
  <c r="N37" i="61"/>
  <c r="L37" i="61"/>
  <c r="J37" i="61"/>
  <c r="B37" i="61"/>
  <c r="X36" i="61"/>
  <c r="Z36" i="61" s="1"/>
  <c r="V36" i="61"/>
  <c r="R36" i="61"/>
  <c r="L36" i="61"/>
  <c r="N36" i="61" s="1"/>
  <c r="B36" i="61"/>
  <c r="Z35" i="61"/>
  <c r="X35" i="61"/>
  <c r="V35" i="61"/>
  <c r="N35" i="61"/>
  <c r="L35" i="61"/>
  <c r="J35" i="61"/>
  <c r="B35" i="61"/>
  <c r="Z34" i="61"/>
  <c r="X34" i="61"/>
  <c r="R34" i="61"/>
  <c r="N34" i="61"/>
  <c r="L34" i="61"/>
  <c r="B34" i="61"/>
  <c r="Z33" i="61"/>
  <c r="X33" i="61"/>
  <c r="V33" i="61"/>
  <c r="N33" i="61"/>
  <c r="L33" i="61"/>
  <c r="F33" i="61"/>
  <c r="B33" i="61"/>
  <c r="Z32" i="61"/>
  <c r="X32" i="61"/>
  <c r="R32" i="61"/>
  <c r="N32" i="61"/>
  <c r="L32" i="61"/>
  <c r="J32" i="61"/>
  <c r="F32" i="61"/>
  <c r="B32" i="61"/>
  <c r="Z31" i="61"/>
  <c r="X31" i="61"/>
  <c r="V31" i="61"/>
  <c r="N31" i="61"/>
  <c r="L31" i="61"/>
  <c r="J31" i="61"/>
  <c r="B31" i="61"/>
  <c r="Z30" i="61"/>
  <c r="X30" i="61"/>
  <c r="N30" i="61"/>
  <c r="L30" i="61"/>
  <c r="B30" i="61"/>
  <c r="T29" i="61"/>
  <c r="R29" i="61"/>
  <c r="P29" i="61"/>
  <c r="X29" i="61" s="1"/>
  <c r="J29" i="61"/>
  <c r="H29" i="61"/>
  <c r="D29" i="61"/>
  <c r="L29" i="61" s="1"/>
  <c r="N29" i="61" s="1"/>
  <c r="B29" i="61"/>
  <c r="X28" i="61"/>
  <c r="Z28" i="61" s="1"/>
  <c r="R28" i="61"/>
  <c r="L28" i="61"/>
  <c r="N28" i="61" s="1"/>
  <c r="J28" i="61"/>
  <c r="F28" i="61"/>
  <c r="B28" i="61"/>
  <c r="Z27" i="61"/>
  <c r="X27" i="61"/>
  <c r="V27" i="61"/>
  <c r="L27" i="61"/>
  <c r="N27" i="61" s="1"/>
  <c r="J27" i="61"/>
  <c r="B27" i="61"/>
  <c r="X26" i="61"/>
  <c r="Z26" i="61" s="1"/>
  <c r="N26" i="61"/>
  <c r="L26" i="61"/>
  <c r="B26" i="61"/>
  <c r="Z25" i="61"/>
  <c r="X25" i="61"/>
  <c r="V25" i="61"/>
  <c r="R25" i="61"/>
  <c r="N25" i="61"/>
  <c r="L25" i="61"/>
  <c r="J25" i="61"/>
  <c r="B25" i="61"/>
  <c r="Z24" i="61"/>
  <c r="X24" i="61"/>
  <c r="V24" i="61"/>
  <c r="R24" i="61"/>
  <c r="N24" i="61"/>
  <c r="L24" i="61"/>
  <c r="J24" i="61"/>
  <c r="B24" i="61"/>
  <c r="X23" i="61"/>
  <c r="Z23" i="61" s="1"/>
  <c r="V23" i="61"/>
  <c r="N23" i="61"/>
  <c r="L23" i="61"/>
  <c r="J23" i="61"/>
  <c r="B23" i="61"/>
  <c r="X22" i="61"/>
  <c r="Z22" i="61" s="1"/>
  <c r="R22" i="61"/>
  <c r="L22" i="61"/>
  <c r="N22" i="61" s="1"/>
  <c r="B22" i="61"/>
  <c r="Z21" i="61"/>
  <c r="X21" i="61"/>
  <c r="V21" i="61"/>
  <c r="N21" i="61"/>
  <c r="L21" i="61"/>
  <c r="J21" i="61"/>
  <c r="F21" i="61"/>
  <c r="B21" i="61"/>
  <c r="X20" i="61"/>
  <c r="Z20" i="61" s="1"/>
  <c r="V20" i="61"/>
  <c r="R20" i="61"/>
  <c r="L20" i="61"/>
  <c r="N20" i="61" s="1"/>
  <c r="J20" i="61"/>
  <c r="F20" i="61"/>
  <c r="B20" i="61"/>
  <c r="V19" i="61"/>
  <c r="T19" i="61"/>
  <c r="P19" i="61"/>
  <c r="X19" i="61" s="1"/>
  <c r="Z19" i="61" s="1"/>
  <c r="N19" i="61"/>
  <c r="J19" i="61"/>
  <c r="H19" i="61"/>
  <c r="D19" i="61"/>
  <c r="L19" i="61" s="1"/>
  <c r="B19" i="61"/>
  <c r="T18" i="61"/>
  <c r="P18" i="61"/>
  <c r="X18" i="61" s="1"/>
  <c r="Z18" i="61" s="1"/>
  <c r="J18" i="61"/>
  <c r="H18" i="61"/>
  <c r="D18" i="61"/>
  <c r="R16" i="61"/>
  <c r="P16" i="61"/>
  <c r="J16" i="61"/>
  <c r="Z14" i="61"/>
  <c r="X14" i="61"/>
  <c r="T14" i="61"/>
  <c r="T16" i="61" s="1"/>
  <c r="Z16" i="61" s="1"/>
  <c r="P14" i="61"/>
  <c r="J14" i="61"/>
  <c r="H14" i="61"/>
  <c r="D14" i="61"/>
  <c r="Z12" i="61"/>
  <c r="X12" i="61"/>
  <c r="T12" i="61"/>
  <c r="V42" i="61" s="1"/>
  <c r="P12" i="61"/>
  <c r="R63" i="61" s="1"/>
  <c r="N12" i="61"/>
  <c r="L12" i="61"/>
  <c r="H12" i="61"/>
  <c r="J60" i="61" s="1"/>
  <c r="D12" i="61"/>
  <c r="F47" i="61" s="1"/>
  <c r="D6" i="61"/>
  <c r="D4" i="61"/>
  <c r="V64" i="60"/>
  <c r="F64" i="60"/>
  <c r="Z59" i="60"/>
  <c r="X59" i="60"/>
  <c r="V59" i="60"/>
  <c r="N59" i="60"/>
  <c r="L59" i="60"/>
  <c r="V57" i="60"/>
  <c r="F57" i="60"/>
  <c r="D57" i="60"/>
  <c r="X55" i="60"/>
  <c r="T55" i="60"/>
  <c r="Z55" i="60" s="1"/>
  <c r="P55" i="60"/>
  <c r="N55" i="60"/>
  <c r="L55" i="60"/>
  <c r="H55" i="60"/>
  <c r="D55" i="60"/>
  <c r="X53" i="60"/>
  <c r="Z53" i="60" s="1"/>
  <c r="V53" i="60"/>
  <c r="L53" i="60"/>
  <c r="N53" i="60" s="1"/>
  <c r="F53" i="60"/>
  <c r="B53" i="60"/>
  <c r="X52" i="60"/>
  <c r="Z52" i="60" s="1"/>
  <c r="V52" i="60"/>
  <c r="T52" i="60"/>
  <c r="P52" i="60"/>
  <c r="H52" i="60"/>
  <c r="F52" i="60"/>
  <c r="D52" i="60"/>
  <c r="B52" i="60"/>
  <c r="X51" i="60"/>
  <c r="Z51" i="60" s="1"/>
  <c r="L51" i="60"/>
  <c r="N51" i="60" s="1"/>
  <c r="F51" i="60"/>
  <c r="B51" i="60"/>
  <c r="Z50" i="60"/>
  <c r="X50" i="60"/>
  <c r="N50" i="60"/>
  <c r="L50" i="60"/>
  <c r="B50" i="60"/>
  <c r="V49" i="60"/>
  <c r="T49" i="60"/>
  <c r="P49" i="60"/>
  <c r="X49" i="60" s="1"/>
  <c r="H49" i="60"/>
  <c r="F49" i="60"/>
  <c r="D49" i="60"/>
  <c r="L49" i="60" s="1"/>
  <c r="N49" i="60" s="1"/>
  <c r="B49" i="60"/>
  <c r="Z48" i="60"/>
  <c r="X48" i="60"/>
  <c r="V48" i="60"/>
  <c r="L48" i="60"/>
  <c r="N48" i="60" s="1"/>
  <c r="J48" i="60"/>
  <c r="B48" i="60"/>
  <c r="T47" i="60"/>
  <c r="P47" i="60"/>
  <c r="X47" i="60" s="1"/>
  <c r="Z47" i="60" s="1"/>
  <c r="L47" i="60"/>
  <c r="H47" i="60"/>
  <c r="N47" i="60" s="1"/>
  <c r="D47" i="60"/>
  <c r="B47" i="60"/>
  <c r="Z46" i="60"/>
  <c r="X46" i="60"/>
  <c r="V46" i="60"/>
  <c r="N46" i="60"/>
  <c r="L46" i="60"/>
  <c r="F46" i="60"/>
  <c r="B46" i="60"/>
  <c r="X45" i="60"/>
  <c r="Z45" i="60" s="1"/>
  <c r="L45" i="60"/>
  <c r="N45" i="60" s="1"/>
  <c r="J45" i="60"/>
  <c r="F45" i="60"/>
  <c r="B45" i="60"/>
  <c r="V44" i="60"/>
  <c r="T44" i="60"/>
  <c r="P44" i="60"/>
  <c r="X44" i="60" s="1"/>
  <c r="Z44" i="60" s="1"/>
  <c r="H44" i="60"/>
  <c r="L44" i="60" s="1"/>
  <c r="N44" i="60" s="1"/>
  <c r="F44" i="60"/>
  <c r="D44" i="60"/>
  <c r="B44" i="60"/>
  <c r="Z43" i="60"/>
  <c r="X43" i="60"/>
  <c r="L43" i="60"/>
  <c r="N43" i="60" s="1"/>
  <c r="B43" i="60"/>
  <c r="V42" i="60"/>
  <c r="T42" i="60"/>
  <c r="P42" i="60"/>
  <c r="X42" i="60" s="1"/>
  <c r="Z42" i="60" s="1"/>
  <c r="L42" i="60"/>
  <c r="N42" i="60" s="1"/>
  <c r="J42" i="60"/>
  <c r="H42" i="60"/>
  <c r="F42" i="60"/>
  <c r="D42" i="60"/>
  <c r="B42" i="60"/>
  <c r="Z41" i="60"/>
  <c r="X41" i="60"/>
  <c r="V41" i="60"/>
  <c r="N41" i="60"/>
  <c r="L41" i="60"/>
  <c r="F41" i="60"/>
  <c r="B41" i="60"/>
  <c r="Z40" i="60"/>
  <c r="X40" i="60"/>
  <c r="V40" i="60"/>
  <c r="T40" i="60"/>
  <c r="P40" i="60"/>
  <c r="H40" i="60"/>
  <c r="F40" i="60"/>
  <c r="D40" i="60"/>
  <c r="B40" i="60"/>
  <c r="Z39" i="60"/>
  <c r="X39" i="60"/>
  <c r="N39" i="60"/>
  <c r="L39" i="60"/>
  <c r="F39" i="60"/>
  <c r="B39" i="60"/>
  <c r="Z38" i="60"/>
  <c r="X38" i="60"/>
  <c r="N38" i="60"/>
  <c r="L38" i="60"/>
  <c r="B38" i="60"/>
  <c r="Z37" i="60"/>
  <c r="X37" i="60"/>
  <c r="V37" i="60"/>
  <c r="N37" i="60"/>
  <c r="L37" i="60"/>
  <c r="F37" i="60"/>
  <c r="B37" i="60"/>
  <c r="Z36" i="60"/>
  <c r="X36" i="60"/>
  <c r="V36" i="60"/>
  <c r="N36" i="60"/>
  <c r="L36" i="60"/>
  <c r="B36" i="60"/>
  <c r="Z35" i="60"/>
  <c r="X35" i="60"/>
  <c r="N35" i="60"/>
  <c r="L35" i="60"/>
  <c r="B35" i="60"/>
  <c r="Z34" i="60"/>
  <c r="X34" i="60"/>
  <c r="V34" i="60"/>
  <c r="N34" i="60"/>
  <c r="L34" i="60"/>
  <c r="F34" i="60"/>
  <c r="B34" i="60"/>
  <c r="X33" i="60"/>
  <c r="Z33" i="60" s="1"/>
  <c r="L33" i="60"/>
  <c r="N33" i="60" s="1"/>
  <c r="J33" i="60"/>
  <c r="F33" i="60"/>
  <c r="B33" i="60"/>
  <c r="Z32" i="60"/>
  <c r="X32" i="60"/>
  <c r="V32" i="60"/>
  <c r="N32" i="60"/>
  <c r="L32" i="60"/>
  <c r="J32" i="60"/>
  <c r="B32" i="60"/>
  <c r="Z31" i="60"/>
  <c r="X31" i="60"/>
  <c r="N31" i="60"/>
  <c r="L31" i="60"/>
  <c r="F31" i="60"/>
  <c r="B31" i="60"/>
  <c r="Z30" i="60"/>
  <c r="X30" i="60"/>
  <c r="N30" i="60"/>
  <c r="L30" i="60"/>
  <c r="B30" i="60"/>
  <c r="V29" i="60"/>
  <c r="T29" i="60"/>
  <c r="P29" i="60"/>
  <c r="X29" i="60" s="1"/>
  <c r="H29" i="60"/>
  <c r="F29" i="60"/>
  <c r="D29" i="60"/>
  <c r="L29" i="60" s="1"/>
  <c r="N29" i="60" s="1"/>
  <c r="B29" i="60"/>
  <c r="Z28" i="60"/>
  <c r="X28" i="60"/>
  <c r="V28" i="60"/>
  <c r="L28" i="60"/>
  <c r="N28" i="60" s="1"/>
  <c r="J28" i="60"/>
  <c r="B28" i="60"/>
  <c r="X27" i="60"/>
  <c r="Z27" i="60" s="1"/>
  <c r="L27" i="60"/>
  <c r="N27" i="60" s="1"/>
  <c r="F27" i="60"/>
  <c r="B27" i="60"/>
  <c r="Z26" i="60"/>
  <c r="X26" i="60"/>
  <c r="N26" i="60"/>
  <c r="L26" i="60"/>
  <c r="B26" i="60"/>
  <c r="Z25" i="60"/>
  <c r="X25" i="60"/>
  <c r="V25" i="60"/>
  <c r="N25" i="60"/>
  <c r="L25" i="60"/>
  <c r="F25" i="60"/>
  <c r="B25" i="60"/>
  <c r="Z24" i="60"/>
  <c r="X24" i="60"/>
  <c r="V24" i="60"/>
  <c r="N24" i="60"/>
  <c r="L24" i="60"/>
  <c r="B24" i="60"/>
  <c r="X23" i="60"/>
  <c r="Z23" i="60" s="1"/>
  <c r="L23" i="60"/>
  <c r="N23" i="60" s="1"/>
  <c r="B23" i="60"/>
  <c r="Z22" i="60"/>
  <c r="X22" i="60"/>
  <c r="V22" i="60"/>
  <c r="N22" i="60"/>
  <c r="L22" i="60"/>
  <c r="F22" i="60"/>
  <c r="B22" i="60"/>
  <c r="X21" i="60"/>
  <c r="Z21" i="60" s="1"/>
  <c r="L21" i="60"/>
  <c r="N21" i="60" s="1"/>
  <c r="J21" i="60"/>
  <c r="F21" i="60"/>
  <c r="B21" i="60"/>
  <c r="Z20" i="60"/>
  <c r="X20" i="60"/>
  <c r="V20" i="60"/>
  <c r="L20" i="60"/>
  <c r="N20" i="60" s="1"/>
  <c r="J20" i="60"/>
  <c r="B20" i="60"/>
  <c r="T19" i="60"/>
  <c r="Z19" i="60" s="1"/>
  <c r="P19" i="60"/>
  <c r="X19" i="60" s="1"/>
  <c r="L19" i="60"/>
  <c r="H19" i="60"/>
  <c r="N19" i="60" s="1"/>
  <c r="D19" i="60"/>
  <c r="B19" i="60"/>
  <c r="V18" i="60"/>
  <c r="T18" i="60"/>
  <c r="Z18" i="60" s="1"/>
  <c r="P18" i="60"/>
  <c r="X18" i="60" s="1"/>
  <c r="J18" i="60"/>
  <c r="H18" i="60"/>
  <c r="F18" i="60"/>
  <c r="D18" i="60"/>
  <c r="L18" i="60" s="1"/>
  <c r="T16" i="60"/>
  <c r="Z16" i="60" s="1"/>
  <c r="D16" i="60"/>
  <c r="Z14" i="60"/>
  <c r="V14" i="60"/>
  <c r="T14" i="60"/>
  <c r="P14" i="60"/>
  <c r="X14" i="60" s="1"/>
  <c r="L14" i="60"/>
  <c r="J14" i="60"/>
  <c r="H14" i="60"/>
  <c r="N14" i="60" s="1"/>
  <c r="F14" i="60"/>
  <c r="D14" i="60"/>
  <c r="Z12" i="60"/>
  <c r="T12" i="60"/>
  <c r="V43" i="60" s="1"/>
  <c r="P12" i="60"/>
  <c r="N12" i="60"/>
  <c r="H12" i="60"/>
  <c r="J61" i="60" s="1"/>
  <c r="D12" i="60"/>
  <c r="F48" i="60" s="1"/>
  <c r="D6" i="60"/>
  <c r="D4" i="60"/>
  <c r="V66" i="59"/>
  <c r="F66" i="59"/>
  <c r="V63" i="59"/>
  <c r="J63" i="59"/>
  <c r="Z61" i="59"/>
  <c r="X61" i="59"/>
  <c r="V61" i="59"/>
  <c r="N61" i="59"/>
  <c r="L61" i="59"/>
  <c r="J61" i="59"/>
  <c r="V59" i="59"/>
  <c r="H59" i="59"/>
  <c r="F59" i="59"/>
  <c r="Z57" i="59"/>
  <c r="V57" i="59"/>
  <c r="T57" i="59"/>
  <c r="P57" i="59"/>
  <c r="X57" i="59" s="1"/>
  <c r="N57" i="59"/>
  <c r="J57" i="59"/>
  <c r="H57" i="59"/>
  <c r="D57" i="59"/>
  <c r="L57" i="59" s="1"/>
  <c r="X55" i="59"/>
  <c r="Z55" i="59" s="1"/>
  <c r="V55" i="59"/>
  <c r="N55" i="59"/>
  <c r="L55" i="59"/>
  <c r="J55" i="59"/>
  <c r="B55" i="59"/>
  <c r="Z54" i="59"/>
  <c r="X54" i="59"/>
  <c r="L54" i="59"/>
  <c r="N54" i="59" s="1"/>
  <c r="B54" i="59"/>
  <c r="V53" i="59"/>
  <c r="T53" i="59"/>
  <c r="P53" i="59"/>
  <c r="X53" i="59" s="1"/>
  <c r="Z53" i="59" s="1"/>
  <c r="L53" i="59"/>
  <c r="N53" i="59" s="1"/>
  <c r="J53" i="59"/>
  <c r="H53" i="59"/>
  <c r="F53" i="59"/>
  <c r="D53" i="59"/>
  <c r="B53" i="59"/>
  <c r="Z52" i="59"/>
  <c r="X52" i="59"/>
  <c r="V52" i="59"/>
  <c r="L52" i="59"/>
  <c r="N52" i="59" s="1"/>
  <c r="F52" i="59"/>
  <c r="B52" i="59"/>
  <c r="X51" i="59"/>
  <c r="V51" i="59"/>
  <c r="T51" i="59"/>
  <c r="Z51" i="59" s="1"/>
  <c r="R51" i="59"/>
  <c r="P51" i="59"/>
  <c r="H51" i="59"/>
  <c r="F51" i="59"/>
  <c r="D51" i="59"/>
  <c r="B51" i="59"/>
  <c r="X50" i="59"/>
  <c r="Z50" i="59" s="1"/>
  <c r="N50" i="59"/>
  <c r="L50" i="59"/>
  <c r="F50" i="59"/>
  <c r="B50" i="59"/>
  <c r="Z49" i="59"/>
  <c r="X49" i="59"/>
  <c r="N49" i="59"/>
  <c r="L49" i="59"/>
  <c r="J49" i="59"/>
  <c r="B49" i="59"/>
  <c r="Z48" i="59"/>
  <c r="X48" i="59"/>
  <c r="V48" i="59"/>
  <c r="L48" i="59"/>
  <c r="N48" i="59" s="1"/>
  <c r="F48" i="59"/>
  <c r="B48" i="59"/>
  <c r="X47" i="59"/>
  <c r="V47" i="59"/>
  <c r="T47" i="59"/>
  <c r="P47" i="59"/>
  <c r="H47" i="59"/>
  <c r="F47" i="59"/>
  <c r="D47" i="59"/>
  <c r="B47" i="59"/>
  <c r="X46" i="59"/>
  <c r="Z46" i="59" s="1"/>
  <c r="L46" i="59"/>
  <c r="N46" i="59" s="1"/>
  <c r="F46" i="59"/>
  <c r="B46" i="59"/>
  <c r="Z45" i="59"/>
  <c r="T45" i="59"/>
  <c r="X45" i="59" s="1"/>
  <c r="R45" i="59"/>
  <c r="P45" i="59"/>
  <c r="J45" i="59"/>
  <c r="H45" i="59"/>
  <c r="D45" i="59"/>
  <c r="L45" i="59" s="1"/>
  <c r="N45" i="59" s="1"/>
  <c r="B45" i="59"/>
  <c r="X44" i="59"/>
  <c r="Z44" i="59" s="1"/>
  <c r="R44" i="59"/>
  <c r="N44" i="59"/>
  <c r="L44" i="59"/>
  <c r="J44" i="59"/>
  <c r="F44" i="59"/>
  <c r="B44" i="59"/>
  <c r="Z43" i="59"/>
  <c r="X43" i="59"/>
  <c r="V43" i="59"/>
  <c r="L43" i="59"/>
  <c r="N43" i="59" s="1"/>
  <c r="J43" i="59"/>
  <c r="B43" i="59"/>
  <c r="T42" i="59"/>
  <c r="R42" i="59"/>
  <c r="P42" i="59"/>
  <c r="X42" i="59" s="1"/>
  <c r="Z42" i="59" s="1"/>
  <c r="L42" i="59"/>
  <c r="H42" i="59"/>
  <c r="D42" i="59"/>
  <c r="B42" i="59"/>
  <c r="Z41" i="59"/>
  <c r="X41" i="59"/>
  <c r="V41" i="59"/>
  <c r="N41" i="59"/>
  <c r="L41" i="59"/>
  <c r="F41" i="59"/>
  <c r="B41" i="59"/>
  <c r="X40" i="59"/>
  <c r="T40" i="59"/>
  <c r="Z40" i="59" s="1"/>
  <c r="P40" i="59"/>
  <c r="N40" i="59"/>
  <c r="H40" i="59"/>
  <c r="L40" i="59" s="1"/>
  <c r="D40" i="59"/>
  <c r="B40" i="59"/>
  <c r="Z39" i="59"/>
  <c r="X39" i="59"/>
  <c r="V39" i="59"/>
  <c r="N39" i="59"/>
  <c r="L39" i="59"/>
  <c r="J39" i="59"/>
  <c r="B39" i="59"/>
  <c r="Z38" i="59"/>
  <c r="X38" i="59"/>
  <c r="N38" i="59"/>
  <c r="L38" i="59"/>
  <c r="B38" i="59"/>
  <c r="Z37" i="59"/>
  <c r="X37" i="59"/>
  <c r="V37" i="59"/>
  <c r="N37" i="59"/>
  <c r="L37" i="59"/>
  <c r="F37" i="59"/>
  <c r="B37" i="59"/>
  <c r="Z36" i="59"/>
  <c r="X36" i="59"/>
  <c r="N36" i="59"/>
  <c r="L36" i="59"/>
  <c r="J36" i="59"/>
  <c r="F36" i="59"/>
  <c r="B36" i="59"/>
  <c r="Z35" i="59"/>
  <c r="X35" i="59"/>
  <c r="V35" i="59"/>
  <c r="N35" i="59"/>
  <c r="L35" i="59"/>
  <c r="J35" i="59"/>
  <c r="B35" i="59"/>
  <c r="Z34" i="59"/>
  <c r="X34" i="59"/>
  <c r="N34" i="59"/>
  <c r="L34" i="59"/>
  <c r="F34" i="59"/>
  <c r="B34" i="59"/>
  <c r="Z33" i="59"/>
  <c r="X33" i="59"/>
  <c r="R33" i="59"/>
  <c r="N33" i="59"/>
  <c r="L33" i="59"/>
  <c r="J33" i="59"/>
  <c r="B33" i="59"/>
  <c r="Z32" i="59"/>
  <c r="X32" i="59"/>
  <c r="V32" i="59"/>
  <c r="R32" i="59"/>
  <c r="N32" i="59"/>
  <c r="L32" i="59"/>
  <c r="F32" i="59"/>
  <c r="B32" i="59"/>
  <c r="X31" i="59"/>
  <c r="Z31" i="59" s="1"/>
  <c r="V31" i="59"/>
  <c r="N31" i="59"/>
  <c r="L31" i="59"/>
  <c r="J31" i="59"/>
  <c r="B31" i="59"/>
  <c r="Z30" i="59"/>
  <c r="X30" i="59"/>
  <c r="N30" i="59"/>
  <c r="L30" i="59"/>
  <c r="B30" i="59"/>
  <c r="Z29" i="59"/>
  <c r="V29" i="59"/>
  <c r="T29" i="59"/>
  <c r="P29" i="59"/>
  <c r="X29" i="59" s="1"/>
  <c r="L29" i="59"/>
  <c r="J29" i="59"/>
  <c r="H29" i="59"/>
  <c r="N29" i="59" s="1"/>
  <c r="F29" i="59"/>
  <c r="D29" i="59"/>
  <c r="B29" i="59"/>
  <c r="X28" i="59"/>
  <c r="Z28" i="59" s="1"/>
  <c r="V28" i="59"/>
  <c r="L28" i="59"/>
  <c r="N28" i="59" s="1"/>
  <c r="F28" i="59"/>
  <c r="B28" i="59"/>
  <c r="X27" i="59"/>
  <c r="Z27" i="59" s="1"/>
  <c r="V27" i="59"/>
  <c r="N27" i="59"/>
  <c r="L27" i="59"/>
  <c r="J27" i="59"/>
  <c r="B27" i="59"/>
  <c r="Z26" i="59"/>
  <c r="X26" i="59"/>
  <c r="R26" i="59"/>
  <c r="L26" i="59"/>
  <c r="N26" i="59" s="1"/>
  <c r="B26" i="59"/>
  <c r="Z25" i="59"/>
  <c r="X25" i="59"/>
  <c r="V25" i="59"/>
  <c r="N25" i="59"/>
  <c r="L25" i="59"/>
  <c r="F25" i="59"/>
  <c r="B25" i="59"/>
  <c r="X24" i="59"/>
  <c r="Z24" i="59" s="1"/>
  <c r="V24" i="59"/>
  <c r="N24" i="59"/>
  <c r="L24" i="59"/>
  <c r="J24" i="59"/>
  <c r="F24" i="59"/>
  <c r="B24" i="59"/>
  <c r="Z23" i="59"/>
  <c r="X23" i="59"/>
  <c r="V23" i="59"/>
  <c r="L23" i="59"/>
  <c r="N23" i="59" s="1"/>
  <c r="J23" i="59"/>
  <c r="B23" i="59"/>
  <c r="X22" i="59"/>
  <c r="Z22" i="59" s="1"/>
  <c r="L22" i="59"/>
  <c r="N22" i="59" s="1"/>
  <c r="F22" i="59"/>
  <c r="B22" i="59"/>
  <c r="Z21" i="59"/>
  <c r="X21" i="59"/>
  <c r="R21" i="59"/>
  <c r="N21" i="59"/>
  <c r="L21" i="59"/>
  <c r="J21" i="59"/>
  <c r="B21" i="59"/>
  <c r="Z20" i="59"/>
  <c r="X20" i="59"/>
  <c r="V20" i="59"/>
  <c r="R20" i="59"/>
  <c r="L20" i="59"/>
  <c r="N20" i="59" s="1"/>
  <c r="J20" i="59"/>
  <c r="F20" i="59"/>
  <c r="B20" i="59"/>
  <c r="X19" i="59"/>
  <c r="V19" i="59"/>
  <c r="T19" i="59"/>
  <c r="Z19" i="59" s="1"/>
  <c r="R19" i="59"/>
  <c r="P19" i="59"/>
  <c r="H19" i="59"/>
  <c r="F19" i="59"/>
  <c r="D19" i="59"/>
  <c r="B19" i="59"/>
  <c r="T18" i="59"/>
  <c r="R18" i="59"/>
  <c r="P18" i="59"/>
  <c r="X18" i="59" s="1"/>
  <c r="Z18" i="59" s="1"/>
  <c r="J18" i="59"/>
  <c r="H18" i="59"/>
  <c r="D18" i="59"/>
  <c r="L18" i="59" s="1"/>
  <c r="Z16" i="59"/>
  <c r="T16" i="59"/>
  <c r="T59" i="59" s="1"/>
  <c r="J16" i="59"/>
  <c r="H16" i="59"/>
  <c r="N16" i="59" s="1"/>
  <c r="D16" i="59"/>
  <c r="Z14" i="59"/>
  <c r="X14" i="59"/>
  <c r="T14" i="59"/>
  <c r="R14" i="59"/>
  <c r="P14" i="59"/>
  <c r="L14" i="59"/>
  <c r="J14" i="59"/>
  <c r="H14" i="59"/>
  <c r="N14" i="59" s="1"/>
  <c r="D14" i="59"/>
  <c r="Z12" i="59"/>
  <c r="X12" i="59"/>
  <c r="T12" i="59"/>
  <c r="V54" i="59" s="1"/>
  <c r="P12" i="59"/>
  <c r="R47" i="59" s="1"/>
  <c r="N12" i="59"/>
  <c r="L12" i="59"/>
  <c r="H12" i="59"/>
  <c r="J50" i="59" s="1"/>
  <c r="D12" i="59"/>
  <c r="F43" i="59" s="1"/>
  <c r="D6" i="59"/>
  <c r="D4" i="59"/>
  <c r="Z75" i="58"/>
  <c r="X75" i="58"/>
  <c r="N75" i="58"/>
  <c r="L75" i="58"/>
  <c r="T71" i="58"/>
  <c r="Z71" i="58" s="1"/>
  <c r="P71" i="58"/>
  <c r="X71" i="58" s="1"/>
  <c r="L71" i="58"/>
  <c r="H71" i="58"/>
  <c r="N71" i="58" s="1"/>
  <c r="D71" i="58"/>
  <c r="X69" i="58"/>
  <c r="Z69" i="58" s="1"/>
  <c r="L69" i="58"/>
  <c r="N69" i="58" s="1"/>
  <c r="F69" i="58"/>
  <c r="B69" i="58"/>
  <c r="Z68" i="58"/>
  <c r="T68" i="58"/>
  <c r="P68" i="58"/>
  <c r="X68" i="58" s="1"/>
  <c r="J68" i="58"/>
  <c r="H68" i="58"/>
  <c r="L68" i="58" s="1"/>
  <c r="D68" i="58"/>
  <c r="B68" i="58"/>
  <c r="Z67" i="58"/>
  <c r="X67" i="58"/>
  <c r="N67" i="58"/>
  <c r="L67" i="58"/>
  <c r="B67" i="58"/>
  <c r="T66" i="58"/>
  <c r="P66" i="58"/>
  <c r="X66" i="58" s="1"/>
  <c r="N66" i="58"/>
  <c r="L66" i="58"/>
  <c r="H66" i="58"/>
  <c r="D66" i="58"/>
  <c r="B66" i="58"/>
  <c r="Z65" i="58"/>
  <c r="X65" i="58"/>
  <c r="N65" i="58"/>
  <c r="L65" i="58"/>
  <c r="B65" i="58"/>
  <c r="Z64" i="58"/>
  <c r="X64" i="58"/>
  <c r="L64" i="58"/>
  <c r="N64" i="58" s="1"/>
  <c r="B64" i="58"/>
  <c r="Z63" i="58"/>
  <c r="X63" i="58"/>
  <c r="L63" i="58"/>
  <c r="N63" i="58" s="1"/>
  <c r="B63" i="58"/>
  <c r="Z62" i="58"/>
  <c r="X62" i="58"/>
  <c r="N62" i="58"/>
  <c r="L62" i="58"/>
  <c r="B62" i="58"/>
  <c r="X61" i="58"/>
  <c r="Z61" i="58" s="1"/>
  <c r="T61" i="58"/>
  <c r="P61" i="58"/>
  <c r="N61" i="58"/>
  <c r="L61" i="58"/>
  <c r="H61" i="58"/>
  <c r="D61" i="58"/>
  <c r="B61" i="58"/>
  <c r="Z60" i="58"/>
  <c r="X60" i="58"/>
  <c r="N60" i="58"/>
  <c r="L60" i="58"/>
  <c r="B60" i="58"/>
  <c r="Z59" i="58"/>
  <c r="X59" i="58"/>
  <c r="T59" i="58"/>
  <c r="P59" i="58"/>
  <c r="J59" i="58"/>
  <c r="H59" i="58"/>
  <c r="N59" i="58" s="1"/>
  <c r="D59" i="58"/>
  <c r="L59" i="58" s="1"/>
  <c r="B59" i="58"/>
  <c r="Z58" i="58"/>
  <c r="X58" i="58"/>
  <c r="R58" i="58"/>
  <c r="N58" i="58"/>
  <c r="L58" i="58"/>
  <c r="B58" i="58"/>
  <c r="V57" i="58"/>
  <c r="T57" i="58"/>
  <c r="P57" i="58"/>
  <c r="X57" i="58" s="1"/>
  <c r="H57" i="58"/>
  <c r="D57" i="58"/>
  <c r="L57" i="58" s="1"/>
  <c r="B57" i="58"/>
  <c r="Z56" i="58"/>
  <c r="X56" i="58"/>
  <c r="L56" i="58"/>
  <c r="N56" i="58" s="1"/>
  <c r="J56" i="58"/>
  <c r="B56" i="58"/>
  <c r="X55" i="58"/>
  <c r="Z55" i="58" s="1"/>
  <c r="N55" i="58"/>
  <c r="L55" i="58"/>
  <c r="B55" i="58"/>
  <c r="Z54" i="58"/>
  <c r="X54" i="58"/>
  <c r="R54" i="58"/>
  <c r="N54" i="58"/>
  <c r="L54" i="58"/>
  <c r="B54" i="58"/>
  <c r="V53" i="58"/>
  <c r="T53" i="58"/>
  <c r="Z53" i="58" s="1"/>
  <c r="P53" i="58"/>
  <c r="X53" i="58" s="1"/>
  <c r="H53" i="58"/>
  <c r="D53" i="58"/>
  <c r="L53" i="58" s="1"/>
  <c r="N53" i="58" s="1"/>
  <c r="B53" i="58"/>
  <c r="Z52" i="58"/>
  <c r="X52" i="58"/>
  <c r="L52" i="58"/>
  <c r="N52" i="58" s="1"/>
  <c r="J52" i="58"/>
  <c r="B52" i="58"/>
  <c r="T51" i="58"/>
  <c r="R51" i="58"/>
  <c r="P51" i="58"/>
  <c r="X51" i="58" s="1"/>
  <c r="Z51" i="58" s="1"/>
  <c r="L51" i="58"/>
  <c r="N51" i="58" s="1"/>
  <c r="H51" i="58"/>
  <c r="D51" i="58"/>
  <c r="B51" i="58"/>
  <c r="Z50" i="58"/>
  <c r="X50" i="58"/>
  <c r="N50" i="58"/>
  <c r="L50" i="58"/>
  <c r="F50" i="58"/>
  <c r="B50" i="58"/>
  <c r="Z49" i="58"/>
  <c r="X49" i="58"/>
  <c r="T49" i="58"/>
  <c r="P49" i="58"/>
  <c r="N49" i="58"/>
  <c r="L49" i="58"/>
  <c r="H49" i="58"/>
  <c r="D49" i="58"/>
  <c r="B49" i="58"/>
  <c r="Z48" i="58"/>
  <c r="X48" i="58"/>
  <c r="N48" i="58"/>
  <c r="L48" i="58"/>
  <c r="B48" i="58"/>
  <c r="Z47" i="58"/>
  <c r="X47" i="58"/>
  <c r="T47" i="58"/>
  <c r="P47" i="58"/>
  <c r="J47" i="58"/>
  <c r="H47" i="58"/>
  <c r="N47" i="58" s="1"/>
  <c r="D47" i="58"/>
  <c r="L47" i="58" s="1"/>
  <c r="B47" i="58"/>
  <c r="Z46" i="58"/>
  <c r="X46" i="58"/>
  <c r="R46" i="58"/>
  <c r="N46" i="58"/>
  <c r="L46" i="58"/>
  <c r="J46" i="58"/>
  <c r="B46" i="58"/>
  <c r="V45" i="58"/>
  <c r="T45" i="58"/>
  <c r="P45" i="58"/>
  <c r="X45" i="58" s="1"/>
  <c r="H45" i="58"/>
  <c r="N45" i="58" s="1"/>
  <c r="D45" i="58"/>
  <c r="L45" i="58" s="1"/>
  <c r="B45" i="58"/>
  <c r="Z44" i="58"/>
  <c r="X44" i="58"/>
  <c r="L44" i="58"/>
  <c r="N44" i="58" s="1"/>
  <c r="J44" i="58"/>
  <c r="B44" i="58"/>
  <c r="T43" i="58"/>
  <c r="R43" i="58"/>
  <c r="P43" i="58"/>
  <c r="X43" i="58" s="1"/>
  <c r="L43" i="58"/>
  <c r="N43" i="58" s="1"/>
  <c r="H43" i="58"/>
  <c r="D43" i="58"/>
  <c r="B43" i="58"/>
  <c r="Z42" i="58"/>
  <c r="X42" i="58"/>
  <c r="N42" i="58"/>
  <c r="L42" i="58"/>
  <c r="B42" i="58"/>
  <c r="X41" i="58"/>
  <c r="Z41" i="58" s="1"/>
  <c r="T41" i="58"/>
  <c r="P41" i="58"/>
  <c r="N41" i="58"/>
  <c r="L41" i="58"/>
  <c r="H41" i="58"/>
  <c r="D41" i="58"/>
  <c r="B41" i="58"/>
  <c r="Z40" i="58"/>
  <c r="X40" i="58"/>
  <c r="N40" i="58"/>
  <c r="L40" i="58"/>
  <c r="B40" i="58"/>
  <c r="Z39" i="58"/>
  <c r="X39" i="58"/>
  <c r="R39" i="58"/>
  <c r="N39" i="58"/>
  <c r="L39" i="58"/>
  <c r="B39" i="58"/>
  <c r="Z38" i="58"/>
  <c r="X38" i="58"/>
  <c r="N38" i="58"/>
  <c r="L38" i="58"/>
  <c r="B38" i="58"/>
  <c r="Z37" i="58"/>
  <c r="X37" i="58"/>
  <c r="N37" i="58"/>
  <c r="L37" i="58"/>
  <c r="J37" i="58"/>
  <c r="B37" i="58"/>
  <c r="Z36" i="58"/>
  <c r="X36" i="58"/>
  <c r="N36" i="58"/>
  <c r="L36" i="58"/>
  <c r="J36" i="58"/>
  <c r="B36" i="58"/>
  <c r="X35" i="58"/>
  <c r="Z35" i="58" s="1"/>
  <c r="N35" i="58"/>
  <c r="L35" i="58"/>
  <c r="B35" i="58"/>
  <c r="Z34" i="58"/>
  <c r="X34" i="58"/>
  <c r="R34" i="58"/>
  <c r="N34" i="58"/>
  <c r="L34" i="58"/>
  <c r="J34" i="58"/>
  <c r="B34" i="58"/>
  <c r="Z33" i="58"/>
  <c r="X33" i="58"/>
  <c r="V33" i="58"/>
  <c r="R33" i="58"/>
  <c r="N33" i="58"/>
  <c r="L33" i="58"/>
  <c r="B33" i="58"/>
  <c r="Z32" i="58"/>
  <c r="X32" i="58"/>
  <c r="V32" i="58"/>
  <c r="N32" i="58"/>
  <c r="L32" i="58"/>
  <c r="B32" i="58"/>
  <c r="Z31" i="58"/>
  <c r="X31" i="58"/>
  <c r="R31" i="58"/>
  <c r="L31" i="58"/>
  <c r="N31" i="58" s="1"/>
  <c r="B31" i="58"/>
  <c r="Z30" i="58"/>
  <c r="X30" i="58"/>
  <c r="T30" i="58"/>
  <c r="P30" i="58"/>
  <c r="L30" i="58"/>
  <c r="J30" i="58"/>
  <c r="H30" i="58"/>
  <c r="N30" i="58" s="1"/>
  <c r="D30" i="58"/>
  <c r="B30" i="58"/>
  <c r="X29" i="58"/>
  <c r="Z29" i="58" s="1"/>
  <c r="V29" i="58"/>
  <c r="R29" i="58"/>
  <c r="L29" i="58"/>
  <c r="N29" i="58" s="1"/>
  <c r="B29" i="58"/>
  <c r="X28" i="58"/>
  <c r="Z28" i="58" s="1"/>
  <c r="V28" i="58"/>
  <c r="N28" i="58"/>
  <c r="L28" i="58"/>
  <c r="B28" i="58"/>
  <c r="Z27" i="58"/>
  <c r="X27" i="58"/>
  <c r="R27" i="58"/>
  <c r="L27" i="58"/>
  <c r="N27" i="58" s="1"/>
  <c r="B27" i="58"/>
  <c r="Z26" i="58"/>
  <c r="X26" i="58"/>
  <c r="N26" i="58"/>
  <c r="L26" i="58"/>
  <c r="B26" i="58"/>
  <c r="X25" i="58"/>
  <c r="Z25" i="58" s="1"/>
  <c r="L25" i="58"/>
  <c r="N25" i="58" s="1"/>
  <c r="J25" i="58"/>
  <c r="B25" i="58"/>
  <c r="Z24" i="58"/>
  <c r="X24" i="58"/>
  <c r="L24" i="58"/>
  <c r="N24" i="58" s="1"/>
  <c r="J24" i="58"/>
  <c r="B24" i="58"/>
  <c r="X23" i="58"/>
  <c r="Z23" i="58" s="1"/>
  <c r="N23" i="58"/>
  <c r="L23" i="58"/>
  <c r="J23" i="58"/>
  <c r="B23" i="58"/>
  <c r="Z22" i="58"/>
  <c r="X22" i="58"/>
  <c r="R22" i="58"/>
  <c r="N22" i="58"/>
  <c r="L22" i="58"/>
  <c r="J22" i="58"/>
  <c r="B22" i="58"/>
  <c r="X21" i="58"/>
  <c r="Z21" i="58" s="1"/>
  <c r="V21" i="58"/>
  <c r="R21" i="58"/>
  <c r="L21" i="58"/>
  <c r="N21" i="58" s="1"/>
  <c r="B21" i="58"/>
  <c r="X20" i="58"/>
  <c r="Z20" i="58" s="1"/>
  <c r="V20" i="58"/>
  <c r="R20" i="58"/>
  <c r="N20" i="58"/>
  <c r="L20" i="58"/>
  <c r="J20" i="58"/>
  <c r="B20" i="58"/>
  <c r="Z19" i="58"/>
  <c r="X19" i="58"/>
  <c r="T19" i="58"/>
  <c r="P19" i="58"/>
  <c r="J19" i="58"/>
  <c r="H19" i="58"/>
  <c r="D19" i="58"/>
  <c r="L19" i="58" s="1"/>
  <c r="B19" i="58"/>
  <c r="T18" i="58"/>
  <c r="R18" i="58"/>
  <c r="P18" i="58"/>
  <c r="J18" i="58"/>
  <c r="H18" i="58"/>
  <c r="D18" i="58"/>
  <c r="L18" i="58" s="1"/>
  <c r="N18" i="58" s="1"/>
  <c r="R16" i="58"/>
  <c r="J16" i="58"/>
  <c r="H16" i="58"/>
  <c r="T14" i="58"/>
  <c r="Z14" i="58" s="1"/>
  <c r="R14" i="58"/>
  <c r="P14" i="58"/>
  <c r="P16" i="58" s="1"/>
  <c r="N14" i="58"/>
  <c r="J14" i="58"/>
  <c r="H14" i="58"/>
  <c r="D14" i="58"/>
  <c r="L14" i="58" s="1"/>
  <c r="Z12" i="58"/>
  <c r="T12" i="58"/>
  <c r="V61" i="58" s="1"/>
  <c r="P12" i="58"/>
  <c r="R69" i="58" s="1"/>
  <c r="N12" i="58"/>
  <c r="H12" i="58"/>
  <c r="D12" i="58"/>
  <c r="D6" i="58"/>
  <c r="D4" i="58"/>
  <c r="Z65" i="57"/>
  <c r="X65" i="57"/>
  <c r="N65" i="57"/>
  <c r="L65" i="57"/>
  <c r="X61" i="57"/>
  <c r="T61" i="57"/>
  <c r="Z61" i="57" s="1"/>
  <c r="P61" i="57"/>
  <c r="H61" i="57"/>
  <c r="N61" i="57" s="1"/>
  <c r="D61" i="57"/>
  <c r="Z59" i="57"/>
  <c r="X59" i="57"/>
  <c r="N59" i="57"/>
  <c r="L59" i="57"/>
  <c r="B59" i="57"/>
  <c r="Z58" i="57"/>
  <c r="T58" i="57"/>
  <c r="R58" i="57"/>
  <c r="P58" i="57"/>
  <c r="X58" i="57" s="1"/>
  <c r="N58" i="57"/>
  <c r="L58" i="57"/>
  <c r="H58" i="57"/>
  <c r="D58" i="57"/>
  <c r="B58" i="57"/>
  <c r="Z57" i="57"/>
  <c r="X57" i="57"/>
  <c r="L57" i="57"/>
  <c r="N57" i="57" s="1"/>
  <c r="F57" i="57"/>
  <c r="B57" i="57"/>
  <c r="X56" i="57"/>
  <c r="Z56" i="57" s="1"/>
  <c r="T56" i="57"/>
  <c r="P56" i="57"/>
  <c r="N56" i="57"/>
  <c r="L56" i="57"/>
  <c r="H56" i="57"/>
  <c r="D56" i="57"/>
  <c r="B56" i="57"/>
  <c r="X55" i="57"/>
  <c r="Z55" i="57" s="1"/>
  <c r="V55" i="57"/>
  <c r="N55" i="57"/>
  <c r="L55" i="57"/>
  <c r="B55" i="57"/>
  <c r="Z54" i="57"/>
  <c r="X54" i="57"/>
  <c r="T54" i="57"/>
  <c r="P54" i="57"/>
  <c r="J54" i="57"/>
  <c r="H54" i="57"/>
  <c r="D54" i="57"/>
  <c r="L54" i="57" s="1"/>
  <c r="B54" i="57"/>
  <c r="X53" i="57"/>
  <c r="Z53" i="57" s="1"/>
  <c r="R53" i="57"/>
  <c r="N53" i="57"/>
  <c r="L53" i="57"/>
  <c r="B53" i="57"/>
  <c r="V52" i="57"/>
  <c r="T52" i="57"/>
  <c r="Z52" i="57" s="1"/>
  <c r="P52" i="57"/>
  <c r="X52" i="57" s="1"/>
  <c r="H52" i="57"/>
  <c r="F52" i="57"/>
  <c r="D52" i="57"/>
  <c r="L52" i="57" s="1"/>
  <c r="B52" i="57"/>
  <c r="Z51" i="57"/>
  <c r="X51" i="57"/>
  <c r="L51" i="57"/>
  <c r="N51" i="57" s="1"/>
  <c r="B51" i="57"/>
  <c r="X50" i="57"/>
  <c r="Z50" i="57" s="1"/>
  <c r="N50" i="57"/>
  <c r="L50" i="57"/>
  <c r="B50" i="57"/>
  <c r="Z49" i="57"/>
  <c r="X49" i="57"/>
  <c r="R49" i="57"/>
  <c r="N49" i="57"/>
  <c r="L49" i="57"/>
  <c r="B49" i="57"/>
  <c r="V48" i="57"/>
  <c r="T48" i="57"/>
  <c r="Z48" i="57" s="1"/>
  <c r="P48" i="57"/>
  <c r="X48" i="57" s="1"/>
  <c r="H48" i="57"/>
  <c r="N48" i="57" s="1"/>
  <c r="F48" i="57"/>
  <c r="D48" i="57"/>
  <c r="L48" i="57" s="1"/>
  <c r="B48" i="57"/>
  <c r="Z47" i="57"/>
  <c r="X47" i="57"/>
  <c r="L47" i="57"/>
  <c r="N47" i="57" s="1"/>
  <c r="J47" i="57"/>
  <c r="B47" i="57"/>
  <c r="T46" i="57"/>
  <c r="Z46" i="57" s="1"/>
  <c r="R46" i="57"/>
  <c r="P46" i="57"/>
  <c r="X46" i="57" s="1"/>
  <c r="L46" i="57"/>
  <c r="N46" i="57" s="1"/>
  <c r="H46" i="57"/>
  <c r="D46" i="57"/>
  <c r="B46" i="57"/>
  <c r="Z45" i="57"/>
  <c r="X45" i="57"/>
  <c r="N45" i="57"/>
  <c r="L45" i="57"/>
  <c r="F45" i="57"/>
  <c r="B45" i="57"/>
  <c r="X44" i="57"/>
  <c r="Z44" i="57" s="1"/>
  <c r="T44" i="57"/>
  <c r="P44" i="57"/>
  <c r="N44" i="57"/>
  <c r="L44" i="57"/>
  <c r="H44" i="57"/>
  <c r="D44" i="57"/>
  <c r="B44" i="57"/>
  <c r="X43" i="57"/>
  <c r="Z43" i="57" s="1"/>
  <c r="V43" i="57"/>
  <c r="N43" i="57"/>
  <c r="L43" i="57"/>
  <c r="B43" i="57"/>
  <c r="Z42" i="57"/>
  <c r="X42" i="57"/>
  <c r="T42" i="57"/>
  <c r="P42" i="57"/>
  <c r="J42" i="57"/>
  <c r="H42" i="57"/>
  <c r="D42" i="57"/>
  <c r="L42" i="57" s="1"/>
  <c r="B42" i="57"/>
  <c r="Z41" i="57"/>
  <c r="X41" i="57"/>
  <c r="R41" i="57"/>
  <c r="N41" i="57"/>
  <c r="L41" i="57"/>
  <c r="B41" i="57"/>
  <c r="V40" i="57"/>
  <c r="T40" i="57"/>
  <c r="P40" i="57"/>
  <c r="X40" i="57" s="1"/>
  <c r="H40" i="57"/>
  <c r="F40" i="57"/>
  <c r="D40" i="57"/>
  <c r="L40" i="57" s="1"/>
  <c r="B40" i="57"/>
  <c r="Z39" i="57"/>
  <c r="X39" i="57"/>
  <c r="N39" i="57"/>
  <c r="L39" i="57"/>
  <c r="J39" i="57"/>
  <c r="B39" i="57"/>
  <c r="Z38" i="57"/>
  <c r="X38" i="57"/>
  <c r="N38" i="57"/>
  <c r="L38" i="57"/>
  <c r="B38" i="57"/>
  <c r="Z37" i="57"/>
  <c r="X37" i="57"/>
  <c r="R37" i="57"/>
  <c r="N37" i="57"/>
  <c r="L37" i="57"/>
  <c r="B37" i="57"/>
  <c r="Z36" i="57"/>
  <c r="X36" i="57"/>
  <c r="V36" i="57"/>
  <c r="R36" i="57"/>
  <c r="N36" i="57"/>
  <c r="L36" i="57"/>
  <c r="B36" i="57"/>
  <c r="Z35" i="57"/>
  <c r="X35" i="57"/>
  <c r="V35" i="57"/>
  <c r="N35" i="57"/>
  <c r="L35" i="57"/>
  <c r="B35" i="57"/>
  <c r="Z34" i="57"/>
  <c r="X34" i="57"/>
  <c r="R34" i="57"/>
  <c r="N34" i="57"/>
  <c r="L34" i="57"/>
  <c r="B34" i="57"/>
  <c r="Z33" i="57"/>
  <c r="X33" i="57"/>
  <c r="V33" i="57"/>
  <c r="N33" i="57"/>
  <c r="L33" i="57"/>
  <c r="F33" i="57"/>
  <c r="B33" i="57"/>
  <c r="Z32" i="57"/>
  <c r="X32" i="57"/>
  <c r="N32" i="57"/>
  <c r="L32" i="57"/>
  <c r="J32" i="57"/>
  <c r="B32" i="57"/>
  <c r="Z31" i="57"/>
  <c r="X31" i="57"/>
  <c r="L31" i="57"/>
  <c r="N31" i="57" s="1"/>
  <c r="J31" i="57"/>
  <c r="B31" i="57"/>
  <c r="X30" i="57"/>
  <c r="Z30" i="57" s="1"/>
  <c r="N30" i="57"/>
  <c r="L30" i="57"/>
  <c r="B30" i="57"/>
  <c r="T29" i="57"/>
  <c r="R29" i="57"/>
  <c r="P29" i="57"/>
  <c r="X29" i="57" s="1"/>
  <c r="H29" i="57"/>
  <c r="D29" i="57"/>
  <c r="L29" i="57" s="1"/>
  <c r="N29" i="57" s="1"/>
  <c r="B29" i="57"/>
  <c r="X28" i="57"/>
  <c r="Z28" i="57" s="1"/>
  <c r="L28" i="57"/>
  <c r="N28" i="57" s="1"/>
  <c r="J28" i="57"/>
  <c r="B28" i="57"/>
  <c r="Z27" i="57"/>
  <c r="X27" i="57"/>
  <c r="L27" i="57"/>
  <c r="N27" i="57" s="1"/>
  <c r="J27" i="57"/>
  <c r="B27" i="57"/>
  <c r="X26" i="57"/>
  <c r="Z26" i="57" s="1"/>
  <c r="N26" i="57"/>
  <c r="L26" i="57"/>
  <c r="B26" i="57"/>
  <c r="Z25" i="57"/>
  <c r="X25" i="57"/>
  <c r="R25" i="57"/>
  <c r="N25" i="57"/>
  <c r="L25" i="57"/>
  <c r="J25" i="57"/>
  <c r="B25" i="57"/>
  <c r="X24" i="57"/>
  <c r="Z24" i="57" s="1"/>
  <c r="V24" i="57"/>
  <c r="R24" i="57"/>
  <c r="L24" i="57"/>
  <c r="N24" i="57" s="1"/>
  <c r="B24" i="57"/>
  <c r="X23" i="57"/>
  <c r="Z23" i="57" s="1"/>
  <c r="V23" i="57"/>
  <c r="R23" i="57"/>
  <c r="N23" i="57"/>
  <c r="L23" i="57"/>
  <c r="B23" i="57"/>
  <c r="Z22" i="57"/>
  <c r="X22" i="57"/>
  <c r="V22" i="57"/>
  <c r="R22" i="57"/>
  <c r="L22" i="57"/>
  <c r="N22" i="57" s="1"/>
  <c r="B22" i="57"/>
  <c r="Z21" i="57"/>
  <c r="X21" i="57"/>
  <c r="V21" i="57"/>
  <c r="N21" i="57"/>
  <c r="L21" i="57"/>
  <c r="F21" i="57"/>
  <c r="B21" i="57"/>
  <c r="X20" i="57"/>
  <c r="Z20" i="57" s="1"/>
  <c r="N20" i="57"/>
  <c r="L20" i="57"/>
  <c r="J20" i="57"/>
  <c r="B20" i="57"/>
  <c r="T19" i="57"/>
  <c r="P19" i="57"/>
  <c r="X19" i="57" s="1"/>
  <c r="Z19" i="57" s="1"/>
  <c r="N19" i="57"/>
  <c r="L19" i="57"/>
  <c r="J19" i="57"/>
  <c r="H19" i="57"/>
  <c r="D19" i="57"/>
  <c r="B19" i="57"/>
  <c r="V18" i="57"/>
  <c r="T18" i="57"/>
  <c r="P18" i="57"/>
  <c r="X18" i="57" s="1"/>
  <c r="J18" i="57"/>
  <c r="H18" i="57"/>
  <c r="D18" i="57"/>
  <c r="L18" i="57" s="1"/>
  <c r="R16" i="57"/>
  <c r="P16" i="57"/>
  <c r="Z14" i="57"/>
  <c r="X14" i="57"/>
  <c r="V14" i="57"/>
  <c r="T14" i="57"/>
  <c r="P14" i="57"/>
  <c r="J14" i="57"/>
  <c r="H14" i="57"/>
  <c r="N14" i="57" s="1"/>
  <c r="D14" i="57"/>
  <c r="L14" i="57" s="1"/>
  <c r="X12" i="57"/>
  <c r="T12" i="57"/>
  <c r="V67" i="57" s="1"/>
  <c r="P12" i="57"/>
  <c r="R55" i="57" s="1"/>
  <c r="N12" i="57"/>
  <c r="L12" i="57"/>
  <c r="H12" i="57"/>
  <c r="J65" i="57" s="1"/>
  <c r="D12" i="57"/>
  <c r="F67" i="57" s="1"/>
  <c r="D6" i="57"/>
  <c r="D4" i="57"/>
  <c r="F69" i="56"/>
  <c r="Z64" i="56"/>
  <c r="X64" i="56"/>
  <c r="N64" i="56"/>
  <c r="L64" i="56"/>
  <c r="F62" i="56"/>
  <c r="X60" i="56"/>
  <c r="T60" i="56"/>
  <c r="Z60" i="56" s="1"/>
  <c r="P60" i="56"/>
  <c r="N60" i="56"/>
  <c r="L60" i="56"/>
  <c r="H60" i="56"/>
  <c r="D60" i="56"/>
  <c r="X58" i="56"/>
  <c r="Z58" i="56" s="1"/>
  <c r="L58" i="56"/>
  <c r="N58" i="56" s="1"/>
  <c r="B58" i="56"/>
  <c r="X57" i="56"/>
  <c r="T57" i="56"/>
  <c r="P57" i="56"/>
  <c r="H57" i="56"/>
  <c r="D57" i="56"/>
  <c r="L57" i="56" s="1"/>
  <c r="B57" i="56"/>
  <c r="Z56" i="56"/>
  <c r="X56" i="56"/>
  <c r="N56" i="56"/>
  <c r="L56" i="56"/>
  <c r="B56" i="56"/>
  <c r="Z55" i="56"/>
  <c r="X55" i="56"/>
  <c r="N55" i="56"/>
  <c r="L55" i="56"/>
  <c r="B55" i="56"/>
  <c r="T54" i="56"/>
  <c r="P54" i="56"/>
  <c r="X54" i="56" s="1"/>
  <c r="H54" i="56"/>
  <c r="F54" i="56"/>
  <c r="D54" i="56"/>
  <c r="L54" i="56" s="1"/>
  <c r="N54" i="56" s="1"/>
  <c r="B54" i="56"/>
  <c r="Z53" i="56"/>
  <c r="X53" i="56"/>
  <c r="L53" i="56"/>
  <c r="N53" i="56" s="1"/>
  <c r="J53" i="56"/>
  <c r="B53" i="56"/>
  <c r="T52" i="56"/>
  <c r="P52" i="56"/>
  <c r="X52" i="56" s="1"/>
  <c r="Z52" i="56" s="1"/>
  <c r="L52" i="56"/>
  <c r="H52" i="56"/>
  <c r="N52" i="56" s="1"/>
  <c r="D52" i="56"/>
  <c r="B52" i="56"/>
  <c r="Z51" i="56"/>
  <c r="X51" i="56"/>
  <c r="N51" i="56"/>
  <c r="L51" i="56"/>
  <c r="F51" i="56"/>
  <c r="B51" i="56"/>
  <c r="X50" i="56"/>
  <c r="T50" i="56"/>
  <c r="Z50" i="56" s="1"/>
  <c r="P50" i="56"/>
  <c r="N50" i="56"/>
  <c r="L50" i="56"/>
  <c r="H50" i="56"/>
  <c r="D50" i="56"/>
  <c r="B50" i="56"/>
  <c r="X49" i="56"/>
  <c r="Z49" i="56" s="1"/>
  <c r="N49" i="56"/>
  <c r="L49" i="56"/>
  <c r="B49" i="56"/>
  <c r="Z48" i="56"/>
  <c r="X48" i="56"/>
  <c r="T48" i="56"/>
  <c r="P48" i="56"/>
  <c r="J48" i="56"/>
  <c r="H48" i="56"/>
  <c r="D48" i="56"/>
  <c r="L48" i="56" s="1"/>
  <c r="B48" i="56"/>
  <c r="Z47" i="56"/>
  <c r="X47" i="56"/>
  <c r="N47" i="56"/>
  <c r="L47" i="56"/>
  <c r="J47" i="56"/>
  <c r="B47" i="56"/>
  <c r="T46" i="56"/>
  <c r="P46" i="56"/>
  <c r="X46" i="56" s="1"/>
  <c r="H46" i="56"/>
  <c r="F46" i="56"/>
  <c r="D46" i="56"/>
  <c r="L46" i="56" s="1"/>
  <c r="B46" i="56"/>
  <c r="Z45" i="56"/>
  <c r="X45" i="56"/>
  <c r="L45" i="56"/>
  <c r="N45" i="56" s="1"/>
  <c r="J45" i="56"/>
  <c r="B45" i="56"/>
  <c r="T44" i="56"/>
  <c r="P44" i="56"/>
  <c r="X44" i="56" s="1"/>
  <c r="L44" i="56"/>
  <c r="H44" i="56"/>
  <c r="N44" i="56" s="1"/>
  <c r="D44" i="56"/>
  <c r="B44" i="56"/>
  <c r="Z43" i="56"/>
  <c r="X43" i="56"/>
  <c r="N43" i="56"/>
  <c r="L43" i="56"/>
  <c r="F43" i="56"/>
  <c r="B43" i="56"/>
  <c r="X42" i="56"/>
  <c r="T42" i="56"/>
  <c r="Z42" i="56" s="1"/>
  <c r="P42" i="56"/>
  <c r="N42" i="56"/>
  <c r="L42" i="56"/>
  <c r="H42" i="56"/>
  <c r="D42" i="56"/>
  <c r="B42" i="56"/>
  <c r="X41" i="56"/>
  <c r="Z41" i="56" s="1"/>
  <c r="N41" i="56"/>
  <c r="L41" i="56"/>
  <c r="B41" i="56"/>
  <c r="Z40" i="56"/>
  <c r="X40" i="56"/>
  <c r="T40" i="56"/>
  <c r="P40" i="56"/>
  <c r="J40" i="56"/>
  <c r="H40" i="56"/>
  <c r="D40" i="56"/>
  <c r="L40" i="56" s="1"/>
  <c r="B40" i="56"/>
  <c r="Z39" i="56"/>
  <c r="X39" i="56"/>
  <c r="R39" i="56"/>
  <c r="N39" i="56"/>
  <c r="L39" i="56"/>
  <c r="J39" i="56"/>
  <c r="B39" i="56"/>
  <c r="Z38" i="56"/>
  <c r="X38" i="56"/>
  <c r="N38" i="56"/>
  <c r="L38" i="56"/>
  <c r="B38" i="56"/>
  <c r="Z37" i="56"/>
  <c r="X37" i="56"/>
  <c r="N37" i="56"/>
  <c r="L37" i="56"/>
  <c r="B37" i="56"/>
  <c r="Z36" i="56"/>
  <c r="X36" i="56"/>
  <c r="N36" i="56"/>
  <c r="L36" i="56"/>
  <c r="B36" i="56"/>
  <c r="Z35" i="56"/>
  <c r="X35" i="56"/>
  <c r="N35" i="56"/>
  <c r="L35" i="56"/>
  <c r="F35" i="56"/>
  <c r="B35" i="56"/>
  <c r="Z34" i="56"/>
  <c r="X34" i="56"/>
  <c r="N34" i="56"/>
  <c r="L34" i="56"/>
  <c r="J34" i="56"/>
  <c r="F34" i="56"/>
  <c r="B34" i="56"/>
  <c r="Z33" i="56"/>
  <c r="X33" i="56"/>
  <c r="N33" i="56"/>
  <c r="L33" i="56"/>
  <c r="J33" i="56"/>
  <c r="B33" i="56"/>
  <c r="Z32" i="56"/>
  <c r="X32" i="56"/>
  <c r="N32" i="56"/>
  <c r="L32" i="56"/>
  <c r="F32" i="56"/>
  <c r="B32" i="56"/>
  <c r="Z31" i="56"/>
  <c r="X31" i="56"/>
  <c r="R31" i="56"/>
  <c r="N31" i="56"/>
  <c r="L31" i="56"/>
  <c r="J31" i="56"/>
  <c r="B31" i="56"/>
  <c r="X30" i="56"/>
  <c r="Z30" i="56" s="1"/>
  <c r="L30" i="56"/>
  <c r="N30" i="56" s="1"/>
  <c r="B30" i="56"/>
  <c r="X29" i="56"/>
  <c r="T29" i="56"/>
  <c r="Z29" i="56" s="1"/>
  <c r="P29" i="56"/>
  <c r="H29" i="56"/>
  <c r="F29" i="56"/>
  <c r="D29" i="56"/>
  <c r="L29" i="56" s="1"/>
  <c r="B29" i="56"/>
  <c r="X28" i="56"/>
  <c r="Z28" i="56" s="1"/>
  <c r="L28" i="56"/>
  <c r="N28" i="56" s="1"/>
  <c r="F28" i="56"/>
  <c r="B28" i="56"/>
  <c r="Z27" i="56"/>
  <c r="X27" i="56"/>
  <c r="R27" i="56"/>
  <c r="N27" i="56"/>
  <c r="L27" i="56"/>
  <c r="J27" i="56"/>
  <c r="B27" i="56"/>
  <c r="Z26" i="56"/>
  <c r="X26" i="56"/>
  <c r="R26" i="56"/>
  <c r="L26" i="56"/>
  <c r="N26" i="56" s="1"/>
  <c r="B26" i="56"/>
  <c r="Z25" i="56"/>
  <c r="X25" i="56"/>
  <c r="N25" i="56"/>
  <c r="L25" i="56"/>
  <c r="B25" i="56"/>
  <c r="X24" i="56"/>
  <c r="Z24" i="56" s="1"/>
  <c r="L24" i="56"/>
  <c r="N24" i="56" s="1"/>
  <c r="B24" i="56"/>
  <c r="Z23" i="56"/>
  <c r="X23" i="56"/>
  <c r="N23" i="56"/>
  <c r="L23" i="56"/>
  <c r="F23" i="56"/>
  <c r="B23" i="56"/>
  <c r="X22" i="56"/>
  <c r="Z22" i="56" s="1"/>
  <c r="N22" i="56"/>
  <c r="L22" i="56"/>
  <c r="J22" i="56"/>
  <c r="F22" i="56"/>
  <c r="B22" i="56"/>
  <c r="Z21" i="56"/>
  <c r="X21" i="56"/>
  <c r="L21" i="56"/>
  <c r="N21" i="56" s="1"/>
  <c r="J21" i="56"/>
  <c r="B21" i="56"/>
  <c r="X20" i="56"/>
  <c r="Z20" i="56" s="1"/>
  <c r="L20" i="56"/>
  <c r="N20" i="56" s="1"/>
  <c r="F20" i="56"/>
  <c r="B20" i="56"/>
  <c r="T19" i="56"/>
  <c r="P19" i="56"/>
  <c r="X19" i="56" s="1"/>
  <c r="H19" i="56"/>
  <c r="D19" i="56"/>
  <c r="L19" i="56" s="1"/>
  <c r="N19" i="56" s="1"/>
  <c r="B19" i="56"/>
  <c r="T18" i="56"/>
  <c r="P18" i="56"/>
  <c r="X18" i="56" s="1"/>
  <c r="J18" i="56"/>
  <c r="H18" i="56"/>
  <c r="D18" i="56"/>
  <c r="F16" i="56"/>
  <c r="D16" i="56"/>
  <c r="X14" i="56"/>
  <c r="T14" i="56"/>
  <c r="Z14" i="56" s="1"/>
  <c r="P14" i="56"/>
  <c r="J14" i="56"/>
  <c r="H14" i="56"/>
  <c r="H16" i="56" s="1"/>
  <c r="D14" i="56"/>
  <c r="T12" i="56"/>
  <c r="V46" i="56" s="1"/>
  <c r="P12" i="56"/>
  <c r="R55" i="56" s="1"/>
  <c r="N12" i="56"/>
  <c r="L12" i="56"/>
  <c r="H12" i="56"/>
  <c r="J66" i="56" s="1"/>
  <c r="D12" i="56"/>
  <c r="F57" i="56" s="1"/>
  <c r="D6" i="56"/>
  <c r="D4" i="56"/>
  <c r="Z33" i="55"/>
  <c r="X33" i="55"/>
  <c r="N33" i="55"/>
  <c r="L33" i="55"/>
  <c r="D31" i="55"/>
  <c r="T29" i="55"/>
  <c r="Z29" i="55" s="1"/>
  <c r="P29" i="55"/>
  <c r="X29" i="55" s="1"/>
  <c r="L29" i="55"/>
  <c r="H29" i="55"/>
  <c r="N29" i="55" s="1"/>
  <c r="D29" i="55"/>
  <c r="X27" i="55"/>
  <c r="Z27" i="55" s="1"/>
  <c r="L27" i="55"/>
  <c r="N27" i="55" s="1"/>
  <c r="B27" i="55"/>
  <c r="Z26" i="55"/>
  <c r="X26" i="55"/>
  <c r="V26" i="55"/>
  <c r="N26" i="55"/>
  <c r="L26" i="55"/>
  <c r="F26" i="55"/>
  <c r="B26" i="55"/>
  <c r="X25" i="55"/>
  <c r="T25" i="55"/>
  <c r="Z25" i="55" s="1"/>
  <c r="P25" i="55"/>
  <c r="N25" i="55"/>
  <c r="H25" i="55"/>
  <c r="L25" i="55" s="1"/>
  <c r="D25" i="55"/>
  <c r="B25" i="55"/>
  <c r="X24" i="55"/>
  <c r="Z24" i="55" s="1"/>
  <c r="V24" i="55"/>
  <c r="N24" i="55"/>
  <c r="L24" i="55"/>
  <c r="B24" i="55"/>
  <c r="Z23" i="55"/>
  <c r="X23" i="55"/>
  <c r="T23" i="55"/>
  <c r="P23" i="55"/>
  <c r="H23" i="55"/>
  <c r="D23" i="55"/>
  <c r="L23" i="55" s="1"/>
  <c r="B23" i="55"/>
  <c r="Z22" i="55"/>
  <c r="X22" i="55"/>
  <c r="N22" i="55"/>
  <c r="L22" i="55"/>
  <c r="B22" i="55"/>
  <c r="V21" i="55"/>
  <c r="T21" i="55"/>
  <c r="P21" i="55"/>
  <c r="H21" i="55"/>
  <c r="F21" i="55"/>
  <c r="D21" i="55"/>
  <c r="L21" i="55" s="1"/>
  <c r="B21" i="55"/>
  <c r="Z20" i="55"/>
  <c r="X20" i="55"/>
  <c r="L20" i="55"/>
  <c r="N20" i="55" s="1"/>
  <c r="B20" i="55"/>
  <c r="T19" i="55"/>
  <c r="P19" i="55"/>
  <c r="X19" i="55" s="1"/>
  <c r="L19" i="55"/>
  <c r="H19" i="55"/>
  <c r="D19" i="55"/>
  <c r="B19" i="55"/>
  <c r="V18" i="55"/>
  <c r="T18" i="55"/>
  <c r="T31" i="55" s="1"/>
  <c r="P18" i="55"/>
  <c r="H18" i="55"/>
  <c r="F18" i="55"/>
  <c r="D18" i="55"/>
  <c r="L18" i="55" s="1"/>
  <c r="T16" i="55"/>
  <c r="Z16" i="55" s="1"/>
  <c r="F16" i="55"/>
  <c r="D16" i="55"/>
  <c r="Z14" i="55"/>
  <c r="X14" i="55"/>
  <c r="V14" i="55"/>
  <c r="T14" i="55"/>
  <c r="P14" i="55"/>
  <c r="L14" i="55"/>
  <c r="H14" i="55"/>
  <c r="N14" i="55" s="1"/>
  <c r="F14" i="55"/>
  <c r="D14" i="55"/>
  <c r="Z12" i="55"/>
  <c r="T12" i="55"/>
  <c r="V38" i="55" s="1"/>
  <c r="P12" i="55"/>
  <c r="H12" i="55"/>
  <c r="D12" i="55"/>
  <c r="F38" i="55" s="1"/>
  <c r="D6" i="55"/>
  <c r="D4" i="55"/>
  <c r="V31" i="54"/>
  <c r="R31" i="54"/>
  <c r="T29" i="54"/>
  <c r="P29" i="54"/>
  <c r="X29" i="54" s="1"/>
  <c r="Z29" i="54" s="1"/>
  <c r="N29" i="54"/>
  <c r="L29" i="54"/>
  <c r="H29" i="54"/>
  <c r="D29" i="54"/>
  <c r="V28" i="54"/>
  <c r="T28" i="54"/>
  <c r="R28" i="54"/>
  <c r="P28" i="54"/>
  <c r="H28" i="54"/>
  <c r="N28" i="54" s="1"/>
  <c r="D28" i="54"/>
  <c r="L28" i="54" s="1"/>
  <c r="V26" i="54"/>
  <c r="Z24" i="54"/>
  <c r="X24" i="54"/>
  <c r="V24" i="54"/>
  <c r="R24" i="54"/>
  <c r="N24" i="54"/>
  <c r="L24" i="54"/>
  <c r="V22" i="54"/>
  <c r="R22" i="54"/>
  <c r="Z20" i="54"/>
  <c r="X20" i="54"/>
  <c r="T20" i="54"/>
  <c r="P20" i="54"/>
  <c r="J20" i="54"/>
  <c r="H20" i="54"/>
  <c r="D20" i="54"/>
  <c r="V18" i="54"/>
  <c r="T18" i="54"/>
  <c r="Z18" i="54" s="1"/>
  <c r="R18" i="54"/>
  <c r="P18" i="54"/>
  <c r="X18" i="54" s="1"/>
  <c r="H18" i="54"/>
  <c r="N18" i="54" s="1"/>
  <c r="D18" i="54"/>
  <c r="L18" i="54" s="1"/>
  <c r="Z16" i="54"/>
  <c r="J16" i="54"/>
  <c r="H16" i="54"/>
  <c r="V14" i="54"/>
  <c r="T14" i="54"/>
  <c r="T16" i="54" s="1"/>
  <c r="T22" i="54" s="1"/>
  <c r="R14" i="54"/>
  <c r="P14" i="54"/>
  <c r="X14" i="54" s="1"/>
  <c r="H14" i="54"/>
  <c r="N14" i="54" s="1"/>
  <c r="D14" i="54"/>
  <c r="L14" i="54" s="1"/>
  <c r="Z12" i="54"/>
  <c r="X12" i="54"/>
  <c r="T12" i="54"/>
  <c r="V20" i="54" s="1"/>
  <c r="P12" i="54"/>
  <c r="R20" i="54" s="1"/>
  <c r="H12" i="54"/>
  <c r="D12" i="54"/>
  <c r="F24" i="54" s="1"/>
  <c r="D6" i="54"/>
  <c r="D4" i="54"/>
  <c r="B39" i="53"/>
  <c r="B38" i="53"/>
  <c r="T34" i="53"/>
  <c r="Z34" i="53" s="1"/>
  <c r="P34" i="53"/>
  <c r="H34" i="53"/>
  <c r="D34" i="53"/>
  <c r="T33" i="53"/>
  <c r="Z33" i="53" s="1"/>
  <c r="P33" i="53"/>
  <c r="H33" i="53"/>
  <c r="N33" i="53" s="1"/>
  <c r="D33" i="53"/>
  <c r="T29" i="53"/>
  <c r="Z29" i="53" s="1"/>
  <c r="P29" i="53"/>
  <c r="H29" i="53"/>
  <c r="N29" i="53" s="1"/>
  <c r="D29" i="53"/>
  <c r="T25" i="53"/>
  <c r="Z25" i="53" s="1"/>
  <c r="P25" i="53"/>
  <c r="H25" i="53"/>
  <c r="N25" i="53" s="1"/>
  <c r="D25" i="53"/>
  <c r="B25" i="53"/>
  <c r="T24" i="53"/>
  <c r="Z24" i="53" s="1"/>
  <c r="P24" i="53"/>
  <c r="H24" i="53"/>
  <c r="N24" i="53" s="1"/>
  <c r="D24" i="53"/>
  <c r="T22" i="53"/>
  <c r="P22" i="53"/>
  <c r="H22" i="53"/>
  <c r="N22" i="53" s="1"/>
  <c r="D22" i="53"/>
  <c r="B22" i="53"/>
  <c r="T21" i="53"/>
  <c r="Z21" i="53" s="1"/>
  <c r="P21" i="53"/>
  <c r="H21" i="53"/>
  <c r="N21" i="53" s="1"/>
  <c r="D21" i="53"/>
  <c r="B21" i="53"/>
  <c r="T20" i="53"/>
  <c r="Z20" i="53" s="1"/>
  <c r="P20" i="53"/>
  <c r="H20" i="53"/>
  <c r="D20" i="53"/>
  <c r="T16" i="53"/>
  <c r="Z16" i="53" s="1"/>
  <c r="P16" i="53"/>
  <c r="H16" i="53"/>
  <c r="D16" i="53"/>
  <c r="B16" i="53"/>
  <c r="T15" i="53"/>
  <c r="Z15" i="53" s="1"/>
  <c r="P15" i="53"/>
  <c r="H15" i="53"/>
  <c r="N15" i="53" s="1"/>
  <c r="D15" i="53"/>
  <c r="T13" i="53"/>
  <c r="P13" i="53"/>
  <c r="H13" i="53"/>
  <c r="N13" i="53" s="1"/>
  <c r="D13" i="53"/>
  <c r="B13" i="53"/>
  <c r="T12" i="53"/>
  <c r="V34" i="53" s="1"/>
  <c r="P12" i="53"/>
  <c r="H12" i="53"/>
  <c r="D12" i="53"/>
  <c r="F20" i="53" s="1"/>
  <c r="D5" i="53"/>
  <c r="D4" i="53"/>
  <c r="B39" i="52"/>
  <c r="B38" i="52"/>
  <c r="T34" i="52"/>
  <c r="Z34" i="52" s="1"/>
  <c r="P34" i="52"/>
  <c r="H34" i="52"/>
  <c r="N34" i="52" s="1"/>
  <c r="D34" i="52"/>
  <c r="T33" i="52"/>
  <c r="P33" i="52"/>
  <c r="H33" i="52"/>
  <c r="N33" i="52" s="1"/>
  <c r="D33" i="52"/>
  <c r="T29" i="52"/>
  <c r="P29" i="52"/>
  <c r="H29" i="52"/>
  <c r="N29" i="52" s="1"/>
  <c r="D29" i="52"/>
  <c r="T25" i="52"/>
  <c r="P25" i="52"/>
  <c r="H25" i="52"/>
  <c r="N25" i="52" s="1"/>
  <c r="D25" i="52"/>
  <c r="B25" i="52"/>
  <c r="T24" i="52"/>
  <c r="Z24" i="52" s="1"/>
  <c r="P24" i="52"/>
  <c r="H24" i="52"/>
  <c r="D24" i="52"/>
  <c r="T22" i="52"/>
  <c r="P22" i="52"/>
  <c r="H22" i="52"/>
  <c r="N22" i="52" s="1"/>
  <c r="D22" i="52"/>
  <c r="B22" i="52"/>
  <c r="T21" i="52"/>
  <c r="Z21" i="52" s="1"/>
  <c r="P21" i="52"/>
  <c r="H21" i="52"/>
  <c r="N21" i="52" s="1"/>
  <c r="D21" i="52"/>
  <c r="B21" i="52"/>
  <c r="T20" i="52"/>
  <c r="P20" i="52"/>
  <c r="H20" i="52"/>
  <c r="D20" i="52"/>
  <c r="T16" i="52"/>
  <c r="Z16" i="52" s="1"/>
  <c r="P16" i="52"/>
  <c r="H16" i="52"/>
  <c r="D16" i="52"/>
  <c r="B16" i="52"/>
  <c r="T15" i="52"/>
  <c r="P15" i="52"/>
  <c r="H15" i="52"/>
  <c r="N15" i="52" s="1"/>
  <c r="D15" i="52"/>
  <c r="T13" i="52"/>
  <c r="Z13" i="52" s="1"/>
  <c r="P13" i="52"/>
  <c r="H13" i="52"/>
  <c r="N13" i="52" s="1"/>
  <c r="D13" i="52"/>
  <c r="B13" i="52"/>
  <c r="T12" i="52"/>
  <c r="V20" i="52" s="1"/>
  <c r="P12" i="52"/>
  <c r="R22" i="52" s="1"/>
  <c r="H12" i="52"/>
  <c r="J34" i="52" s="1"/>
  <c r="D12" i="52"/>
  <c r="F22" i="52" s="1"/>
  <c r="D5" i="52"/>
  <c r="D4" i="52"/>
  <c r="Z80" i="51"/>
  <c r="X80" i="51"/>
  <c r="L80" i="51"/>
  <c r="N80" i="51" s="1"/>
  <c r="X76" i="51"/>
  <c r="Z76" i="51" s="1"/>
  <c r="P76" i="51"/>
  <c r="F76" i="51"/>
  <c r="D76" i="51"/>
  <c r="L76" i="51" s="1"/>
  <c r="N76" i="51" s="1"/>
  <c r="B76" i="51"/>
  <c r="Z75" i="51"/>
  <c r="P75" i="51"/>
  <c r="X75" i="51" s="1"/>
  <c r="N75" i="51"/>
  <c r="L75" i="51"/>
  <c r="D75" i="51"/>
  <c r="B75" i="51"/>
  <c r="Z74" i="51"/>
  <c r="X74" i="51"/>
  <c r="P74" i="51"/>
  <c r="N74" i="51"/>
  <c r="D74" i="51"/>
  <c r="L74" i="51" s="1"/>
  <c r="B74" i="51"/>
  <c r="T73" i="51"/>
  <c r="J73" i="51"/>
  <c r="H73" i="51"/>
  <c r="X71" i="51"/>
  <c r="Z71" i="51" s="1"/>
  <c r="N71" i="51"/>
  <c r="L71" i="51"/>
  <c r="B71" i="51"/>
  <c r="T70" i="51"/>
  <c r="P70" i="51"/>
  <c r="H70" i="51"/>
  <c r="D70" i="51"/>
  <c r="L70" i="51" s="1"/>
  <c r="B70" i="51"/>
  <c r="Z69" i="51"/>
  <c r="X69" i="51"/>
  <c r="L69" i="51"/>
  <c r="N69" i="51" s="1"/>
  <c r="J69" i="51"/>
  <c r="B69" i="51"/>
  <c r="Z68" i="51"/>
  <c r="X68" i="51"/>
  <c r="L68" i="51"/>
  <c r="N68" i="51" s="1"/>
  <c r="B68" i="51"/>
  <c r="T67" i="51"/>
  <c r="P67" i="51"/>
  <c r="H67" i="51"/>
  <c r="D67" i="51"/>
  <c r="L67" i="51" s="1"/>
  <c r="N67" i="51" s="1"/>
  <c r="B67" i="51"/>
  <c r="X66" i="51"/>
  <c r="Z66" i="51" s="1"/>
  <c r="L66" i="51"/>
  <c r="N66" i="51" s="1"/>
  <c r="J66" i="51"/>
  <c r="B66" i="51"/>
  <c r="T65" i="51"/>
  <c r="P65" i="51"/>
  <c r="X65" i="51" s="1"/>
  <c r="H65" i="51"/>
  <c r="D65" i="51"/>
  <c r="L65" i="51" s="1"/>
  <c r="N65" i="51" s="1"/>
  <c r="B65" i="51"/>
  <c r="X64" i="51"/>
  <c r="Z64" i="51" s="1"/>
  <c r="N64" i="51"/>
  <c r="L64" i="51"/>
  <c r="B64" i="51"/>
  <c r="Z63" i="51"/>
  <c r="T63" i="51"/>
  <c r="P63" i="51"/>
  <c r="X63" i="51" s="1"/>
  <c r="L63" i="51"/>
  <c r="N63" i="51" s="1"/>
  <c r="J63" i="51"/>
  <c r="H63" i="51"/>
  <c r="D63" i="51"/>
  <c r="B63" i="51"/>
  <c r="X62" i="51"/>
  <c r="Z62" i="51" s="1"/>
  <c r="L62" i="51"/>
  <c r="N62" i="51" s="1"/>
  <c r="B62" i="51"/>
  <c r="X61" i="51"/>
  <c r="Z61" i="51" s="1"/>
  <c r="V61" i="51"/>
  <c r="T61" i="51"/>
  <c r="P61" i="51"/>
  <c r="H61" i="51"/>
  <c r="F61" i="51"/>
  <c r="D61" i="51"/>
  <c r="B61" i="51"/>
  <c r="Z60" i="51"/>
  <c r="X60" i="51"/>
  <c r="L60" i="51"/>
  <c r="N60" i="51" s="1"/>
  <c r="B60" i="51"/>
  <c r="T59" i="51"/>
  <c r="P59" i="51"/>
  <c r="H59" i="51"/>
  <c r="D59" i="51"/>
  <c r="L59" i="51" s="1"/>
  <c r="B59" i="51"/>
  <c r="Z58" i="51"/>
  <c r="X58" i="51"/>
  <c r="N58" i="51"/>
  <c r="L58" i="51"/>
  <c r="J58" i="51"/>
  <c r="F58" i="51"/>
  <c r="B58" i="51"/>
  <c r="T57" i="51"/>
  <c r="Z57" i="51" s="1"/>
  <c r="P57" i="51"/>
  <c r="X57" i="51" s="1"/>
  <c r="N57" i="51"/>
  <c r="H57" i="51"/>
  <c r="D57" i="51"/>
  <c r="L57" i="51" s="1"/>
  <c r="B57" i="51"/>
  <c r="X56" i="51"/>
  <c r="Z56" i="51" s="1"/>
  <c r="N56" i="51"/>
  <c r="L56" i="51"/>
  <c r="B56" i="51"/>
  <c r="Z55" i="51"/>
  <c r="T55" i="51"/>
  <c r="P55" i="51"/>
  <c r="X55" i="51" s="1"/>
  <c r="L55" i="51"/>
  <c r="N55" i="51" s="1"/>
  <c r="J55" i="51"/>
  <c r="H55" i="51"/>
  <c r="D55" i="51"/>
  <c r="B55" i="51"/>
  <c r="Z54" i="51"/>
  <c r="X54" i="51"/>
  <c r="N54" i="51"/>
  <c r="L54" i="51"/>
  <c r="B54" i="51"/>
  <c r="Z53" i="51"/>
  <c r="X53" i="51"/>
  <c r="N53" i="51"/>
  <c r="L53" i="51"/>
  <c r="B53" i="51"/>
  <c r="Z52" i="51"/>
  <c r="X52" i="51"/>
  <c r="N52" i="51"/>
  <c r="L52" i="51"/>
  <c r="B52" i="51"/>
  <c r="Z51" i="51"/>
  <c r="X51" i="51"/>
  <c r="L51" i="51"/>
  <c r="N51" i="51" s="1"/>
  <c r="B51" i="51"/>
  <c r="Z50" i="51"/>
  <c r="X50" i="51"/>
  <c r="N50" i="51"/>
  <c r="L50" i="51"/>
  <c r="J50" i="51"/>
  <c r="F50" i="51"/>
  <c r="B50" i="51"/>
  <c r="Z49" i="51"/>
  <c r="X49" i="51"/>
  <c r="N49" i="51"/>
  <c r="L49" i="51"/>
  <c r="J49" i="51"/>
  <c r="B49" i="51"/>
  <c r="Z48" i="51"/>
  <c r="X48" i="51"/>
  <c r="N48" i="51"/>
  <c r="L48" i="51"/>
  <c r="B48" i="51"/>
  <c r="Z47" i="51"/>
  <c r="X47" i="51"/>
  <c r="N47" i="51"/>
  <c r="L47" i="51"/>
  <c r="B47" i="51"/>
  <c r="X46" i="51"/>
  <c r="Z46" i="51" s="1"/>
  <c r="L46" i="51"/>
  <c r="N46" i="51" s="1"/>
  <c r="B46" i="51"/>
  <c r="Z45" i="51"/>
  <c r="X45" i="51"/>
  <c r="V45" i="51"/>
  <c r="N45" i="51"/>
  <c r="L45" i="51"/>
  <c r="B45" i="51"/>
  <c r="X44" i="51"/>
  <c r="Z44" i="51" s="1"/>
  <c r="T44" i="51"/>
  <c r="P44" i="51"/>
  <c r="J44" i="51"/>
  <c r="H44" i="51"/>
  <c r="D44" i="51"/>
  <c r="B44" i="51"/>
  <c r="X43" i="51"/>
  <c r="Z43" i="51" s="1"/>
  <c r="N43" i="51"/>
  <c r="L43" i="51"/>
  <c r="B43" i="51"/>
  <c r="X42" i="51"/>
  <c r="Z42" i="51" s="1"/>
  <c r="L42" i="51"/>
  <c r="N42" i="51" s="1"/>
  <c r="B42" i="51"/>
  <c r="X41" i="51"/>
  <c r="Z41" i="51" s="1"/>
  <c r="N41" i="51"/>
  <c r="L41" i="51"/>
  <c r="B41" i="51"/>
  <c r="Z40" i="51"/>
  <c r="X40" i="51"/>
  <c r="N40" i="51"/>
  <c r="L40" i="51"/>
  <c r="B40" i="51"/>
  <c r="Z39" i="51"/>
  <c r="X39" i="51"/>
  <c r="N39" i="51"/>
  <c r="L39" i="51"/>
  <c r="J39" i="51"/>
  <c r="F39" i="51"/>
  <c r="B39" i="51"/>
  <c r="X38" i="51"/>
  <c r="Z38" i="51" s="1"/>
  <c r="L38" i="51"/>
  <c r="N38" i="51" s="1"/>
  <c r="J38" i="51"/>
  <c r="F38" i="51"/>
  <c r="B38" i="51"/>
  <c r="Z37" i="51"/>
  <c r="X37" i="51"/>
  <c r="L37" i="51"/>
  <c r="N37" i="51" s="1"/>
  <c r="J37" i="51"/>
  <c r="B37" i="51"/>
  <c r="Z36" i="51"/>
  <c r="X36" i="51"/>
  <c r="L36" i="51"/>
  <c r="N36" i="51" s="1"/>
  <c r="B36" i="51"/>
  <c r="X35" i="51"/>
  <c r="Z35" i="51" s="1"/>
  <c r="N35" i="51"/>
  <c r="L35" i="51"/>
  <c r="B35" i="51"/>
  <c r="X34" i="51"/>
  <c r="Z34" i="51" s="1"/>
  <c r="L34" i="51"/>
  <c r="N34" i="51" s="1"/>
  <c r="B34" i="51"/>
  <c r="X33" i="51"/>
  <c r="Z33" i="51" s="1"/>
  <c r="T33" i="51"/>
  <c r="P33" i="51"/>
  <c r="H33" i="51"/>
  <c r="F33" i="51"/>
  <c r="D33" i="51"/>
  <c r="B33" i="51"/>
  <c r="T32" i="51"/>
  <c r="P32" i="51"/>
  <c r="X32" i="51" s="1"/>
  <c r="H32" i="51"/>
  <c r="D32" i="51"/>
  <c r="H30" i="51"/>
  <c r="Z28" i="51"/>
  <c r="X28" i="51"/>
  <c r="N28" i="51"/>
  <c r="L28" i="51"/>
  <c r="B28" i="51"/>
  <c r="Z27" i="51"/>
  <c r="X27" i="51"/>
  <c r="R27" i="51"/>
  <c r="N27" i="51"/>
  <c r="L27" i="51"/>
  <c r="B27" i="51"/>
  <c r="Z26" i="51"/>
  <c r="X26" i="51"/>
  <c r="V26" i="51"/>
  <c r="N26" i="51"/>
  <c r="L26" i="51"/>
  <c r="B26" i="51"/>
  <c r="Z25" i="51"/>
  <c r="X25" i="51"/>
  <c r="N25" i="51"/>
  <c r="L25" i="51"/>
  <c r="B25" i="51"/>
  <c r="Z24" i="51"/>
  <c r="X24" i="51"/>
  <c r="N24" i="51"/>
  <c r="L24" i="51"/>
  <c r="B24" i="51"/>
  <c r="Z23" i="51"/>
  <c r="X23" i="51"/>
  <c r="N23" i="51"/>
  <c r="L23" i="51"/>
  <c r="J23" i="51"/>
  <c r="B23" i="51"/>
  <c r="Z22" i="51"/>
  <c r="X22" i="51"/>
  <c r="N22" i="51"/>
  <c r="L22" i="51"/>
  <c r="J22" i="51"/>
  <c r="F22" i="51"/>
  <c r="B22" i="51"/>
  <c r="Z21" i="51"/>
  <c r="X21" i="51"/>
  <c r="N21" i="51"/>
  <c r="L21" i="51"/>
  <c r="J21" i="51"/>
  <c r="B21" i="51"/>
  <c r="Z20" i="51"/>
  <c r="X20" i="51"/>
  <c r="N20" i="51"/>
  <c r="L20" i="51"/>
  <c r="B20" i="51"/>
  <c r="X19" i="51"/>
  <c r="Z19" i="51" s="1"/>
  <c r="R19" i="51"/>
  <c r="N19" i="51"/>
  <c r="L19" i="51"/>
  <c r="B19" i="51"/>
  <c r="T18" i="51"/>
  <c r="P18" i="51"/>
  <c r="H18" i="51"/>
  <c r="F18" i="51"/>
  <c r="D18" i="51"/>
  <c r="L18" i="51" s="1"/>
  <c r="Z16" i="51"/>
  <c r="X16" i="51"/>
  <c r="P16" i="51"/>
  <c r="N16" i="51"/>
  <c r="D16" i="51"/>
  <c r="L16" i="51" s="1"/>
  <c r="B16" i="51"/>
  <c r="Z15" i="51"/>
  <c r="P15" i="51"/>
  <c r="X15" i="51" s="1"/>
  <c r="N15" i="51"/>
  <c r="D15" i="51"/>
  <c r="L15" i="51" s="1"/>
  <c r="B15" i="51"/>
  <c r="X14" i="51"/>
  <c r="Z14" i="51" s="1"/>
  <c r="P14" i="51"/>
  <c r="N14" i="51"/>
  <c r="L14" i="51"/>
  <c r="D14" i="51"/>
  <c r="B14" i="51"/>
  <c r="P13" i="51"/>
  <c r="X13" i="51" s="1"/>
  <c r="Z13" i="51" s="1"/>
  <c r="L13" i="51"/>
  <c r="N13" i="51" s="1"/>
  <c r="D13" i="51"/>
  <c r="D12" i="51" s="1"/>
  <c r="B13" i="51"/>
  <c r="T12" i="51"/>
  <c r="V46" i="51" s="1"/>
  <c r="P12" i="51"/>
  <c r="R67" i="51" s="1"/>
  <c r="H12" i="51"/>
  <c r="J80" i="51" s="1"/>
  <c r="D4" i="51"/>
  <c r="B39" i="50"/>
  <c r="B38" i="50"/>
  <c r="T34" i="50"/>
  <c r="P34" i="50"/>
  <c r="H34" i="50"/>
  <c r="N34" i="50" s="1"/>
  <c r="D34" i="50"/>
  <c r="T33" i="50"/>
  <c r="Z33" i="50" s="1"/>
  <c r="P33" i="50"/>
  <c r="H33" i="50"/>
  <c r="N33" i="50" s="1"/>
  <c r="D33" i="50"/>
  <c r="T29" i="50"/>
  <c r="Z29" i="50" s="1"/>
  <c r="P29" i="50"/>
  <c r="H29" i="50"/>
  <c r="N29" i="50" s="1"/>
  <c r="D29" i="50"/>
  <c r="T25" i="50"/>
  <c r="Z25" i="50" s="1"/>
  <c r="P25" i="50"/>
  <c r="H25" i="50"/>
  <c r="N25" i="50" s="1"/>
  <c r="D25" i="50"/>
  <c r="B25" i="50"/>
  <c r="T24" i="50"/>
  <c r="P24" i="50"/>
  <c r="H24" i="50"/>
  <c r="N24" i="50" s="1"/>
  <c r="D24" i="50"/>
  <c r="T22" i="50"/>
  <c r="Z22" i="50" s="1"/>
  <c r="P22" i="50"/>
  <c r="H22" i="50"/>
  <c r="N22" i="50" s="1"/>
  <c r="D22" i="50"/>
  <c r="B22" i="50"/>
  <c r="T21" i="50"/>
  <c r="P21" i="50"/>
  <c r="H21" i="50"/>
  <c r="D21" i="50"/>
  <c r="B21" i="50"/>
  <c r="T20" i="50"/>
  <c r="Z20" i="50" s="1"/>
  <c r="P20" i="50"/>
  <c r="H20" i="50"/>
  <c r="N20" i="50" s="1"/>
  <c r="D20" i="50"/>
  <c r="T16" i="50"/>
  <c r="Z16" i="50" s="1"/>
  <c r="P16" i="50"/>
  <c r="H16" i="50"/>
  <c r="N16" i="50" s="1"/>
  <c r="D16" i="50"/>
  <c r="B16" i="50"/>
  <c r="T15" i="50"/>
  <c r="Z15" i="50" s="1"/>
  <c r="P15" i="50"/>
  <c r="H15" i="50"/>
  <c r="N15" i="50" s="1"/>
  <c r="D15" i="50"/>
  <c r="T13" i="50"/>
  <c r="Z13" i="50" s="1"/>
  <c r="P13" i="50"/>
  <c r="H13" i="50"/>
  <c r="N13" i="50" s="1"/>
  <c r="D13" i="50"/>
  <c r="B13" i="50"/>
  <c r="T12" i="50"/>
  <c r="V21" i="50" s="1"/>
  <c r="P12" i="50"/>
  <c r="R34" i="50" s="1"/>
  <c r="H12" i="50"/>
  <c r="J22" i="50" s="1"/>
  <c r="D12" i="50"/>
  <c r="F18" i="50" s="1"/>
  <c r="D5" i="50"/>
  <c r="D4" i="50"/>
  <c r="B39" i="49"/>
  <c r="B38" i="49"/>
  <c r="T34" i="49"/>
  <c r="P34" i="49"/>
  <c r="H34" i="49"/>
  <c r="N34" i="49" s="1"/>
  <c r="D34" i="49"/>
  <c r="T33" i="49"/>
  <c r="Z33" i="49" s="1"/>
  <c r="P33" i="49"/>
  <c r="H33" i="49"/>
  <c r="N33" i="49" s="1"/>
  <c r="D33" i="49"/>
  <c r="T29" i="49"/>
  <c r="Z29" i="49" s="1"/>
  <c r="P29" i="49"/>
  <c r="H29" i="49"/>
  <c r="N29" i="49" s="1"/>
  <c r="D29" i="49"/>
  <c r="T25" i="49"/>
  <c r="Z25" i="49" s="1"/>
  <c r="P25" i="49"/>
  <c r="H25" i="49"/>
  <c r="N25" i="49" s="1"/>
  <c r="D25" i="49"/>
  <c r="B25" i="49"/>
  <c r="T24" i="49"/>
  <c r="Z24" i="49" s="1"/>
  <c r="P24" i="49"/>
  <c r="H24" i="49"/>
  <c r="D24" i="49"/>
  <c r="T22" i="49"/>
  <c r="Z22" i="49" s="1"/>
  <c r="P22" i="49"/>
  <c r="H22" i="49"/>
  <c r="N22" i="49" s="1"/>
  <c r="D22" i="49"/>
  <c r="B22" i="49"/>
  <c r="T21" i="49"/>
  <c r="Z21" i="49" s="1"/>
  <c r="P21" i="49"/>
  <c r="H21" i="49"/>
  <c r="D21" i="49"/>
  <c r="B21" i="49"/>
  <c r="T20" i="49"/>
  <c r="P20" i="49"/>
  <c r="H20" i="49"/>
  <c r="N20" i="49" s="1"/>
  <c r="D20" i="49"/>
  <c r="T16" i="49"/>
  <c r="P16" i="49"/>
  <c r="H16" i="49"/>
  <c r="N16" i="49" s="1"/>
  <c r="D16" i="49"/>
  <c r="B16" i="49"/>
  <c r="T15" i="49"/>
  <c r="Z15" i="49" s="1"/>
  <c r="P15" i="49"/>
  <c r="H15" i="49"/>
  <c r="N15" i="49" s="1"/>
  <c r="D15" i="49"/>
  <c r="T13" i="49"/>
  <c r="Z13" i="49" s="1"/>
  <c r="P13" i="49"/>
  <c r="H13" i="49"/>
  <c r="N13" i="49" s="1"/>
  <c r="D13" i="49"/>
  <c r="B13" i="49"/>
  <c r="T12" i="49"/>
  <c r="V34" i="49" s="1"/>
  <c r="P12" i="49"/>
  <c r="R34" i="49" s="1"/>
  <c r="H12" i="49"/>
  <c r="J36" i="49" s="1"/>
  <c r="D12" i="49"/>
  <c r="F21" i="49" s="1"/>
  <c r="D5" i="49"/>
  <c r="D4" i="49"/>
  <c r="Z71" i="48"/>
  <c r="X71" i="48"/>
  <c r="L71" i="48"/>
  <c r="N71" i="48" s="1"/>
  <c r="P67" i="48"/>
  <c r="D67" i="48"/>
  <c r="L67" i="48" s="1"/>
  <c r="N67" i="48" s="1"/>
  <c r="B67" i="48"/>
  <c r="T66" i="48"/>
  <c r="H66" i="48"/>
  <c r="X64" i="48"/>
  <c r="Z64" i="48" s="1"/>
  <c r="L64" i="48"/>
  <c r="N64" i="48" s="1"/>
  <c r="B64" i="48"/>
  <c r="T63" i="48"/>
  <c r="P63" i="48"/>
  <c r="H63" i="48"/>
  <c r="D63" i="48"/>
  <c r="L63" i="48" s="1"/>
  <c r="B63" i="48"/>
  <c r="Z62" i="48"/>
  <c r="X62" i="48"/>
  <c r="N62" i="48"/>
  <c r="L62" i="48"/>
  <c r="B62" i="48"/>
  <c r="X61" i="48"/>
  <c r="Z61" i="48" s="1"/>
  <c r="L61" i="48"/>
  <c r="N61" i="48" s="1"/>
  <c r="B61" i="48"/>
  <c r="T60" i="48"/>
  <c r="P60" i="48"/>
  <c r="X60" i="48" s="1"/>
  <c r="H60" i="48"/>
  <c r="N60" i="48" s="1"/>
  <c r="D60" i="48"/>
  <c r="L60" i="48" s="1"/>
  <c r="B60" i="48"/>
  <c r="Z59" i="48"/>
  <c r="X59" i="48"/>
  <c r="L59" i="48"/>
  <c r="N59" i="48" s="1"/>
  <c r="B59" i="48"/>
  <c r="T58" i="48"/>
  <c r="Z58" i="48" s="1"/>
  <c r="P58" i="48"/>
  <c r="X58" i="48" s="1"/>
  <c r="N58" i="48"/>
  <c r="L58" i="48"/>
  <c r="H58" i="48"/>
  <c r="D58" i="48"/>
  <c r="B58" i="48"/>
  <c r="Z57" i="48"/>
  <c r="X57" i="48"/>
  <c r="N57" i="48"/>
  <c r="L57" i="48"/>
  <c r="B57" i="48"/>
  <c r="X56" i="48"/>
  <c r="Z56" i="48" s="1"/>
  <c r="N56" i="48"/>
  <c r="L56" i="48"/>
  <c r="B56" i="48"/>
  <c r="Z55" i="48"/>
  <c r="T55" i="48"/>
  <c r="P55" i="48"/>
  <c r="X55" i="48" s="1"/>
  <c r="L55" i="48"/>
  <c r="N55" i="48" s="1"/>
  <c r="H55" i="48"/>
  <c r="D55" i="48"/>
  <c r="B55" i="48"/>
  <c r="X54" i="48"/>
  <c r="Z54" i="48" s="1"/>
  <c r="L54" i="48"/>
  <c r="N54" i="48" s="1"/>
  <c r="B54" i="48"/>
  <c r="X53" i="48"/>
  <c r="Z53" i="48" s="1"/>
  <c r="T53" i="48"/>
  <c r="P53" i="48"/>
  <c r="H53" i="48"/>
  <c r="D53" i="48"/>
  <c r="B53" i="48"/>
  <c r="Z52" i="48"/>
  <c r="X52" i="48"/>
  <c r="L52" i="48"/>
  <c r="N52" i="48" s="1"/>
  <c r="B52" i="48"/>
  <c r="T51" i="48"/>
  <c r="P51" i="48"/>
  <c r="H51" i="48"/>
  <c r="D51" i="48"/>
  <c r="L51" i="48" s="1"/>
  <c r="B51" i="48"/>
  <c r="X50" i="48"/>
  <c r="Z50" i="48" s="1"/>
  <c r="L50" i="48"/>
  <c r="N50" i="48" s="1"/>
  <c r="B50" i="48"/>
  <c r="T49" i="48"/>
  <c r="P49" i="48"/>
  <c r="X49" i="48" s="1"/>
  <c r="H49" i="48"/>
  <c r="D49" i="48"/>
  <c r="L49" i="48" s="1"/>
  <c r="N49" i="48" s="1"/>
  <c r="B49" i="48"/>
  <c r="X48" i="48"/>
  <c r="Z48" i="48" s="1"/>
  <c r="N48" i="48"/>
  <c r="L48" i="48"/>
  <c r="B48" i="48"/>
  <c r="Z47" i="48"/>
  <c r="T47" i="48"/>
  <c r="P47" i="48"/>
  <c r="X47" i="48" s="1"/>
  <c r="L47" i="48"/>
  <c r="N47" i="48" s="1"/>
  <c r="H47" i="48"/>
  <c r="D47" i="48"/>
  <c r="B47" i="48"/>
  <c r="X46" i="48"/>
  <c r="Z46" i="48" s="1"/>
  <c r="N46" i="48"/>
  <c r="L46" i="48"/>
  <c r="B46" i="48"/>
  <c r="Z45" i="48"/>
  <c r="X45" i="48"/>
  <c r="T45" i="48"/>
  <c r="P45" i="48"/>
  <c r="H45" i="48"/>
  <c r="D45" i="48"/>
  <c r="B45" i="48"/>
  <c r="Z44" i="48"/>
  <c r="X44" i="48"/>
  <c r="L44" i="48"/>
  <c r="N44" i="48" s="1"/>
  <c r="B44" i="48"/>
  <c r="V43" i="48"/>
  <c r="T43" i="48"/>
  <c r="P43" i="48"/>
  <c r="H43" i="48"/>
  <c r="D43" i="48"/>
  <c r="L43" i="48" s="1"/>
  <c r="B43" i="48"/>
  <c r="Z42" i="48"/>
  <c r="X42" i="48"/>
  <c r="L42" i="48"/>
  <c r="N42" i="48" s="1"/>
  <c r="B42" i="48"/>
  <c r="T41" i="48"/>
  <c r="P41" i="48"/>
  <c r="X41" i="48" s="1"/>
  <c r="N41" i="48"/>
  <c r="H41" i="48"/>
  <c r="D41" i="48"/>
  <c r="L41" i="48" s="1"/>
  <c r="B41" i="48"/>
  <c r="Z40" i="48"/>
  <c r="X40" i="48"/>
  <c r="N40" i="48"/>
  <c r="L40" i="48"/>
  <c r="B40" i="48"/>
  <c r="Z39" i="48"/>
  <c r="X39" i="48"/>
  <c r="N39" i="48"/>
  <c r="L39" i="48"/>
  <c r="F39" i="48"/>
  <c r="B39" i="48"/>
  <c r="Z38" i="48"/>
  <c r="X38" i="48"/>
  <c r="N38" i="48"/>
  <c r="L38" i="48"/>
  <c r="J38" i="48"/>
  <c r="B38" i="48"/>
  <c r="X37" i="48"/>
  <c r="Z37" i="48" s="1"/>
  <c r="N37" i="48"/>
  <c r="L37" i="48"/>
  <c r="B37" i="48"/>
  <c r="Z36" i="48"/>
  <c r="X36" i="48"/>
  <c r="R36" i="48"/>
  <c r="N36" i="48"/>
  <c r="L36" i="48"/>
  <c r="B36" i="48"/>
  <c r="Z35" i="48"/>
  <c r="X35" i="48"/>
  <c r="V35" i="48"/>
  <c r="N35" i="48"/>
  <c r="L35" i="48"/>
  <c r="B35" i="48"/>
  <c r="X34" i="48"/>
  <c r="Z34" i="48" s="1"/>
  <c r="N34" i="48"/>
  <c r="L34" i="48"/>
  <c r="B34" i="48"/>
  <c r="Z33" i="48"/>
  <c r="X33" i="48"/>
  <c r="N33" i="48"/>
  <c r="L33" i="48"/>
  <c r="B33" i="48"/>
  <c r="X32" i="48"/>
  <c r="Z32" i="48" s="1"/>
  <c r="N32" i="48"/>
  <c r="L32" i="48"/>
  <c r="B32" i="48"/>
  <c r="Z31" i="48"/>
  <c r="X31" i="48"/>
  <c r="L31" i="48"/>
  <c r="N31" i="48" s="1"/>
  <c r="J31" i="48"/>
  <c r="B31" i="48"/>
  <c r="T30" i="48"/>
  <c r="P30" i="48"/>
  <c r="X30" i="48" s="1"/>
  <c r="L30" i="48"/>
  <c r="N30" i="48" s="1"/>
  <c r="H30" i="48"/>
  <c r="D30" i="48"/>
  <c r="B30" i="48"/>
  <c r="Z29" i="48"/>
  <c r="X29" i="48"/>
  <c r="L29" i="48"/>
  <c r="N29" i="48" s="1"/>
  <c r="B29" i="48"/>
  <c r="Z28" i="48"/>
  <c r="X28" i="48"/>
  <c r="L28" i="48"/>
  <c r="N28" i="48" s="1"/>
  <c r="B28" i="48"/>
  <c r="Z27" i="48"/>
  <c r="X27" i="48"/>
  <c r="N27" i="48"/>
  <c r="L27" i="48"/>
  <c r="B27" i="48"/>
  <c r="Z26" i="48"/>
  <c r="X26" i="48"/>
  <c r="N26" i="48"/>
  <c r="L26" i="48"/>
  <c r="B26" i="48"/>
  <c r="X25" i="48"/>
  <c r="Z25" i="48" s="1"/>
  <c r="N25" i="48"/>
  <c r="L25" i="48"/>
  <c r="J25" i="48"/>
  <c r="B25" i="48"/>
  <c r="X24" i="48"/>
  <c r="Z24" i="48" s="1"/>
  <c r="L24" i="48"/>
  <c r="N24" i="48" s="1"/>
  <c r="B24" i="48"/>
  <c r="X23" i="48"/>
  <c r="Z23" i="48" s="1"/>
  <c r="N23" i="48"/>
  <c r="L23" i="48"/>
  <c r="B23" i="48"/>
  <c r="Z22" i="48"/>
  <c r="X22" i="48"/>
  <c r="V22" i="48"/>
  <c r="L22" i="48"/>
  <c r="N22" i="48" s="1"/>
  <c r="B22" i="48"/>
  <c r="X21" i="48"/>
  <c r="Z21" i="48" s="1"/>
  <c r="V21" i="48"/>
  <c r="L21" i="48"/>
  <c r="N21" i="48" s="1"/>
  <c r="F21" i="48"/>
  <c r="B21" i="48"/>
  <c r="Z20" i="48"/>
  <c r="X20" i="48"/>
  <c r="T20" i="48"/>
  <c r="P20" i="48"/>
  <c r="J20" i="48"/>
  <c r="H20" i="48"/>
  <c r="D20" i="48"/>
  <c r="L20" i="48" s="1"/>
  <c r="N20" i="48" s="1"/>
  <c r="B20" i="48"/>
  <c r="X19" i="48"/>
  <c r="Z19" i="48" s="1"/>
  <c r="T19" i="48"/>
  <c r="V19" i="48" s="1"/>
  <c r="P19" i="48"/>
  <c r="R19" i="48" s="1"/>
  <c r="H19" i="48"/>
  <c r="D19" i="48"/>
  <c r="L19" i="48" s="1"/>
  <c r="Z15" i="48"/>
  <c r="X15" i="48"/>
  <c r="V15" i="48"/>
  <c r="T15" i="48"/>
  <c r="R15" i="48"/>
  <c r="P15" i="48"/>
  <c r="H15" i="48"/>
  <c r="N15" i="48" s="1"/>
  <c r="D15" i="48"/>
  <c r="L15" i="48" s="1"/>
  <c r="Z13" i="48"/>
  <c r="X13" i="48"/>
  <c r="P13" i="48"/>
  <c r="D13" i="48"/>
  <c r="L13" i="48" s="1"/>
  <c r="N13" i="48" s="1"/>
  <c r="B13" i="48"/>
  <c r="X12" i="48"/>
  <c r="T12" i="48"/>
  <c r="V45" i="48" s="1"/>
  <c r="P12" i="48"/>
  <c r="R63" i="48" s="1"/>
  <c r="H12" i="48"/>
  <c r="J55" i="48" s="1"/>
  <c r="D12" i="48"/>
  <c r="F56" i="48" s="1"/>
  <c r="D4" i="48"/>
  <c r="B39" i="47"/>
  <c r="B38" i="47"/>
  <c r="T34" i="47"/>
  <c r="P34" i="47"/>
  <c r="H34" i="47"/>
  <c r="N34" i="47" s="1"/>
  <c r="D34" i="47"/>
  <c r="T33" i="47"/>
  <c r="Z33" i="47" s="1"/>
  <c r="P33" i="47"/>
  <c r="H33" i="47"/>
  <c r="N33" i="47" s="1"/>
  <c r="D33" i="47"/>
  <c r="T29" i="47"/>
  <c r="Z29" i="47" s="1"/>
  <c r="P29" i="47"/>
  <c r="H29" i="47"/>
  <c r="N29" i="47" s="1"/>
  <c r="D29" i="47"/>
  <c r="T25" i="47"/>
  <c r="Z25" i="47" s="1"/>
  <c r="P25" i="47"/>
  <c r="H25" i="47"/>
  <c r="N25" i="47" s="1"/>
  <c r="D25" i="47"/>
  <c r="B25" i="47"/>
  <c r="T24" i="47"/>
  <c r="Z24" i="47" s="1"/>
  <c r="P24" i="47"/>
  <c r="H24" i="47"/>
  <c r="D24" i="47"/>
  <c r="T22" i="47"/>
  <c r="Z22" i="47" s="1"/>
  <c r="P22" i="47"/>
  <c r="H22" i="47"/>
  <c r="N22" i="47" s="1"/>
  <c r="D22" i="47"/>
  <c r="B22" i="47"/>
  <c r="T21" i="47"/>
  <c r="Z21" i="47" s="1"/>
  <c r="P21" i="47"/>
  <c r="H21" i="47"/>
  <c r="N21" i="47" s="1"/>
  <c r="D21" i="47"/>
  <c r="B21" i="47"/>
  <c r="T20" i="47"/>
  <c r="P20" i="47"/>
  <c r="H20" i="47"/>
  <c r="N20" i="47" s="1"/>
  <c r="D20" i="47"/>
  <c r="T16" i="47"/>
  <c r="P16" i="47"/>
  <c r="H16" i="47"/>
  <c r="N16" i="47" s="1"/>
  <c r="D16" i="47"/>
  <c r="B16" i="47"/>
  <c r="T15" i="47"/>
  <c r="Z15" i="47" s="1"/>
  <c r="P15" i="47"/>
  <c r="H15" i="47"/>
  <c r="N15" i="47" s="1"/>
  <c r="D15" i="47"/>
  <c r="T13" i="47"/>
  <c r="Z13" i="47" s="1"/>
  <c r="P13" i="47"/>
  <c r="H13" i="47"/>
  <c r="N13" i="47" s="1"/>
  <c r="D13" i="47"/>
  <c r="B13" i="47"/>
  <c r="T12" i="47"/>
  <c r="P12" i="47"/>
  <c r="R20" i="47" s="1"/>
  <c r="H12" i="47"/>
  <c r="J18" i="47" s="1"/>
  <c r="D12" i="47"/>
  <c r="F24" i="47" s="1"/>
  <c r="D5" i="47"/>
  <c r="D4" i="47"/>
  <c r="B39" i="46"/>
  <c r="B38" i="46"/>
  <c r="T34" i="46"/>
  <c r="Z34" i="46" s="1"/>
  <c r="P34" i="46"/>
  <c r="H34" i="46"/>
  <c r="D34" i="46"/>
  <c r="T33" i="46"/>
  <c r="Z33" i="46" s="1"/>
  <c r="P33" i="46"/>
  <c r="H33" i="46"/>
  <c r="N33" i="46" s="1"/>
  <c r="D33" i="46"/>
  <c r="T29" i="46"/>
  <c r="Z29" i="46" s="1"/>
  <c r="P29" i="46"/>
  <c r="H29" i="46"/>
  <c r="N29" i="46" s="1"/>
  <c r="D29" i="46"/>
  <c r="T25" i="46"/>
  <c r="Z25" i="46" s="1"/>
  <c r="P25" i="46"/>
  <c r="H25" i="46"/>
  <c r="N25" i="46" s="1"/>
  <c r="D25" i="46"/>
  <c r="B25" i="46"/>
  <c r="T24" i="46"/>
  <c r="Z24" i="46" s="1"/>
  <c r="P24" i="46"/>
  <c r="H24" i="46"/>
  <c r="D24" i="46"/>
  <c r="T22" i="46"/>
  <c r="Z22" i="46" s="1"/>
  <c r="P22" i="46"/>
  <c r="H22" i="46"/>
  <c r="N22" i="46" s="1"/>
  <c r="D22" i="46"/>
  <c r="B22" i="46"/>
  <c r="T21" i="46"/>
  <c r="Z21" i="46" s="1"/>
  <c r="P21" i="46"/>
  <c r="H21" i="46"/>
  <c r="N21" i="46" s="1"/>
  <c r="D21" i="46"/>
  <c r="B21" i="46"/>
  <c r="T20" i="46"/>
  <c r="P20" i="46"/>
  <c r="H20" i="46"/>
  <c r="N20" i="46" s="1"/>
  <c r="D20" i="46"/>
  <c r="T16" i="46"/>
  <c r="Z16" i="46" s="1"/>
  <c r="P16" i="46"/>
  <c r="H16" i="46"/>
  <c r="N16" i="46" s="1"/>
  <c r="D16" i="46"/>
  <c r="B16" i="46"/>
  <c r="T15" i="46"/>
  <c r="Z15" i="46" s="1"/>
  <c r="P15" i="46"/>
  <c r="H15" i="46"/>
  <c r="N15" i="46" s="1"/>
  <c r="D15" i="46"/>
  <c r="T13" i="46"/>
  <c r="Z13" i="46" s="1"/>
  <c r="P13" i="46"/>
  <c r="H13" i="46"/>
  <c r="N13" i="46" s="1"/>
  <c r="D13" i="46"/>
  <c r="B13" i="46"/>
  <c r="T12" i="46"/>
  <c r="V34" i="46" s="1"/>
  <c r="P12" i="46"/>
  <c r="R34" i="46" s="1"/>
  <c r="H12" i="46"/>
  <c r="J21" i="46" s="1"/>
  <c r="D12" i="46"/>
  <c r="F21" i="46" s="1"/>
  <c r="D5" i="46"/>
  <c r="D4" i="46"/>
  <c r="V93" i="45"/>
  <c r="Z91" i="45"/>
  <c r="X91" i="45"/>
  <c r="N91" i="45"/>
  <c r="L91" i="45"/>
  <c r="J91" i="45"/>
  <c r="Z87" i="45"/>
  <c r="V87" i="45"/>
  <c r="T87" i="45"/>
  <c r="X87" i="45" s="1"/>
  <c r="P87" i="45"/>
  <c r="N87" i="45"/>
  <c r="H87" i="45"/>
  <c r="F87" i="45"/>
  <c r="D87" i="45"/>
  <c r="L87" i="45" s="1"/>
  <c r="Z85" i="45"/>
  <c r="X85" i="45"/>
  <c r="N85" i="45"/>
  <c r="L85" i="45"/>
  <c r="J85" i="45"/>
  <c r="B85" i="45"/>
  <c r="T84" i="45"/>
  <c r="P84" i="45"/>
  <c r="X84" i="45" s="1"/>
  <c r="H84" i="45"/>
  <c r="D84" i="45"/>
  <c r="L84" i="45" s="1"/>
  <c r="N84" i="45" s="1"/>
  <c r="B84" i="45"/>
  <c r="Z83" i="45"/>
  <c r="X83" i="45"/>
  <c r="L83" i="45"/>
  <c r="N83" i="45" s="1"/>
  <c r="B83" i="45"/>
  <c r="Z82" i="45"/>
  <c r="X82" i="45"/>
  <c r="L82" i="45"/>
  <c r="N82" i="45" s="1"/>
  <c r="B82" i="45"/>
  <c r="T81" i="45"/>
  <c r="P81" i="45"/>
  <c r="X81" i="45" s="1"/>
  <c r="N81" i="45"/>
  <c r="L81" i="45"/>
  <c r="H81" i="45"/>
  <c r="D81" i="45"/>
  <c r="B81" i="45"/>
  <c r="X80" i="45"/>
  <c r="Z80" i="45" s="1"/>
  <c r="L80" i="45"/>
  <c r="N80" i="45" s="1"/>
  <c r="B80" i="45"/>
  <c r="Z79" i="45"/>
  <c r="X79" i="45"/>
  <c r="L79" i="45"/>
  <c r="N79" i="45" s="1"/>
  <c r="B79" i="45"/>
  <c r="Z78" i="45"/>
  <c r="X78" i="45"/>
  <c r="L78" i="45"/>
  <c r="N78" i="45" s="1"/>
  <c r="F78" i="45"/>
  <c r="B78" i="45"/>
  <c r="Z77" i="45"/>
  <c r="X77" i="45"/>
  <c r="N77" i="45"/>
  <c r="L77" i="45"/>
  <c r="J77" i="45"/>
  <c r="B77" i="45"/>
  <c r="X76" i="45"/>
  <c r="Z76" i="45" s="1"/>
  <c r="L76" i="45"/>
  <c r="N76" i="45" s="1"/>
  <c r="B76" i="45"/>
  <c r="X75" i="45"/>
  <c r="Z75" i="45" s="1"/>
  <c r="N75" i="45"/>
  <c r="L75" i="45"/>
  <c r="B75" i="45"/>
  <c r="X74" i="45"/>
  <c r="Z74" i="45" s="1"/>
  <c r="N74" i="45"/>
  <c r="L74" i="45"/>
  <c r="B74" i="45"/>
  <c r="V73" i="45"/>
  <c r="T73" i="45"/>
  <c r="X73" i="45" s="1"/>
  <c r="Z73" i="45" s="1"/>
  <c r="P73" i="45"/>
  <c r="H73" i="45"/>
  <c r="F73" i="45"/>
  <c r="D73" i="45"/>
  <c r="L73" i="45" s="1"/>
  <c r="N73" i="45" s="1"/>
  <c r="B73" i="45"/>
  <c r="X72" i="45"/>
  <c r="Z72" i="45" s="1"/>
  <c r="L72" i="45"/>
  <c r="N72" i="45" s="1"/>
  <c r="B72" i="45"/>
  <c r="X71" i="45"/>
  <c r="Z71" i="45" s="1"/>
  <c r="N71" i="45"/>
  <c r="L71" i="45"/>
  <c r="B71" i="45"/>
  <c r="X70" i="45"/>
  <c r="Z70" i="45" s="1"/>
  <c r="N70" i="45"/>
  <c r="L70" i="45"/>
  <c r="B70" i="45"/>
  <c r="Z69" i="45"/>
  <c r="X69" i="45"/>
  <c r="V69" i="45"/>
  <c r="N69" i="45"/>
  <c r="L69" i="45"/>
  <c r="B69" i="45"/>
  <c r="X68" i="45"/>
  <c r="T68" i="45"/>
  <c r="Z68" i="45" s="1"/>
  <c r="P68" i="45"/>
  <c r="H68" i="45"/>
  <c r="D68" i="45"/>
  <c r="B68" i="45"/>
  <c r="X67" i="45"/>
  <c r="Z67" i="45" s="1"/>
  <c r="N67" i="45"/>
  <c r="L67" i="45"/>
  <c r="B67" i="45"/>
  <c r="Z66" i="45"/>
  <c r="X66" i="45"/>
  <c r="N66" i="45"/>
  <c r="L66" i="45"/>
  <c r="B66" i="45"/>
  <c r="Z65" i="45"/>
  <c r="X65" i="45"/>
  <c r="V65" i="45"/>
  <c r="N65" i="45"/>
  <c r="L65" i="45"/>
  <c r="B65" i="45"/>
  <c r="X64" i="45"/>
  <c r="T64" i="45"/>
  <c r="P64" i="45"/>
  <c r="H64" i="45"/>
  <c r="D64" i="45"/>
  <c r="B64" i="45"/>
  <c r="Z63" i="45"/>
  <c r="X63" i="45"/>
  <c r="N63" i="45"/>
  <c r="L63" i="45"/>
  <c r="B63" i="45"/>
  <c r="T62" i="45"/>
  <c r="P62" i="45"/>
  <c r="H62" i="45"/>
  <c r="N62" i="45" s="1"/>
  <c r="D62" i="45"/>
  <c r="L62" i="45" s="1"/>
  <c r="B62" i="45"/>
  <c r="Z61" i="45"/>
  <c r="X61" i="45"/>
  <c r="N61" i="45"/>
  <c r="L61" i="45"/>
  <c r="J61" i="45"/>
  <c r="B61" i="45"/>
  <c r="T60" i="45"/>
  <c r="P60" i="45"/>
  <c r="X60" i="45" s="1"/>
  <c r="H60" i="45"/>
  <c r="D60" i="45"/>
  <c r="L60" i="45" s="1"/>
  <c r="N60" i="45" s="1"/>
  <c r="B60" i="45"/>
  <c r="Z59" i="45"/>
  <c r="X59" i="45"/>
  <c r="L59" i="45"/>
  <c r="N59" i="45" s="1"/>
  <c r="B59" i="45"/>
  <c r="T58" i="45"/>
  <c r="P58" i="45"/>
  <c r="X58" i="45" s="1"/>
  <c r="Z58" i="45" s="1"/>
  <c r="L58" i="45"/>
  <c r="H58" i="45"/>
  <c r="D58" i="45"/>
  <c r="B58" i="45"/>
  <c r="Z57" i="45"/>
  <c r="X57" i="45"/>
  <c r="V57" i="45"/>
  <c r="N57" i="45"/>
  <c r="L57" i="45"/>
  <c r="B57" i="45"/>
  <c r="X56" i="45"/>
  <c r="T56" i="45"/>
  <c r="P56" i="45"/>
  <c r="H56" i="45"/>
  <c r="D56" i="45"/>
  <c r="B56" i="45"/>
  <c r="X55" i="45"/>
  <c r="Z55" i="45" s="1"/>
  <c r="N55" i="45"/>
  <c r="L55" i="45"/>
  <c r="B55" i="45"/>
  <c r="T54" i="45"/>
  <c r="P54" i="45"/>
  <c r="H54" i="45"/>
  <c r="N54" i="45" s="1"/>
  <c r="D54" i="45"/>
  <c r="L54" i="45" s="1"/>
  <c r="B54" i="45"/>
  <c r="Z53" i="45"/>
  <c r="X53" i="45"/>
  <c r="N53" i="45"/>
  <c r="L53" i="45"/>
  <c r="J53" i="45"/>
  <c r="B53" i="45"/>
  <c r="T52" i="45"/>
  <c r="Z52" i="45" s="1"/>
  <c r="P52" i="45"/>
  <c r="X52" i="45" s="1"/>
  <c r="H52" i="45"/>
  <c r="D52" i="45"/>
  <c r="L52" i="45" s="1"/>
  <c r="N52" i="45" s="1"/>
  <c r="B52" i="45"/>
  <c r="Z51" i="45"/>
  <c r="X51" i="45"/>
  <c r="L51" i="45"/>
  <c r="N51" i="45" s="1"/>
  <c r="B51" i="45"/>
  <c r="T50" i="45"/>
  <c r="P50" i="45"/>
  <c r="X50" i="45" s="1"/>
  <c r="Z50" i="45" s="1"/>
  <c r="L50" i="45"/>
  <c r="H50" i="45"/>
  <c r="D50" i="45"/>
  <c r="B50" i="45"/>
  <c r="Z49" i="45"/>
  <c r="X49" i="45"/>
  <c r="V49" i="45"/>
  <c r="N49" i="45"/>
  <c r="L49" i="45"/>
  <c r="B49" i="45"/>
  <c r="X48" i="45"/>
  <c r="T48" i="45"/>
  <c r="P48" i="45"/>
  <c r="H48" i="45"/>
  <c r="D48" i="45"/>
  <c r="B48" i="45"/>
  <c r="X47" i="45"/>
  <c r="Z47" i="45" s="1"/>
  <c r="V47" i="45"/>
  <c r="N47" i="45"/>
  <c r="L47" i="45"/>
  <c r="B47" i="45"/>
  <c r="T46" i="45"/>
  <c r="P46" i="45"/>
  <c r="H46" i="45"/>
  <c r="D46" i="45"/>
  <c r="L46" i="45" s="1"/>
  <c r="B46" i="45"/>
  <c r="Z45" i="45"/>
  <c r="X45" i="45"/>
  <c r="N45" i="45"/>
  <c r="L45" i="45"/>
  <c r="J45" i="45"/>
  <c r="B45" i="45"/>
  <c r="Z44" i="45"/>
  <c r="X44" i="45"/>
  <c r="N44" i="45"/>
  <c r="L44" i="45"/>
  <c r="B44" i="45"/>
  <c r="Z43" i="45"/>
  <c r="X43" i="45"/>
  <c r="V43" i="45"/>
  <c r="N43" i="45"/>
  <c r="L43" i="45"/>
  <c r="B43" i="45"/>
  <c r="Z42" i="45"/>
  <c r="X42" i="45"/>
  <c r="N42" i="45"/>
  <c r="L42" i="45"/>
  <c r="B42" i="45"/>
  <c r="Z41" i="45"/>
  <c r="X41" i="45"/>
  <c r="V41" i="45"/>
  <c r="N41" i="45"/>
  <c r="L41" i="45"/>
  <c r="B41" i="45"/>
  <c r="Z40" i="45"/>
  <c r="X40" i="45"/>
  <c r="N40" i="45"/>
  <c r="L40" i="45"/>
  <c r="B40" i="45"/>
  <c r="Z39" i="45"/>
  <c r="X39" i="45"/>
  <c r="N39" i="45"/>
  <c r="L39" i="45"/>
  <c r="B39" i="45"/>
  <c r="Z38" i="45"/>
  <c r="X38" i="45"/>
  <c r="N38" i="45"/>
  <c r="L38" i="45"/>
  <c r="F38" i="45"/>
  <c r="B38" i="45"/>
  <c r="Z37" i="45"/>
  <c r="X37" i="45"/>
  <c r="N37" i="45"/>
  <c r="L37" i="45"/>
  <c r="J37" i="45"/>
  <c r="B37" i="45"/>
  <c r="Z36" i="45"/>
  <c r="X36" i="45"/>
  <c r="N36" i="45"/>
  <c r="L36" i="45"/>
  <c r="B36" i="45"/>
  <c r="V35" i="45"/>
  <c r="T35" i="45"/>
  <c r="P35" i="45"/>
  <c r="X35" i="45" s="1"/>
  <c r="Z35" i="45" s="1"/>
  <c r="H35" i="45"/>
  <c r="D35" i="45"/>
  <c r="L35" i="45" s="1"/>
  <c r="N35" i="45" s="1"/>
  <c r="B35" i="45"/>
  <c r="Z34" i="45"/>
  <c r="X34" i="45"/>
  <c r="L34" i="45"/>
  <c r="N34" i="45" s="1"/>
  <c r="F34" i="45"/>
  <c r="B34" i="45"/>
  <c r="Z33" i="45"/>
  <c r="X33" i="45"/>
  <c r="N33" i="45"/>
  <c r="L33" i="45"/>
  <c r="J33" i="45"/>
  <c r="B33" i="45"/>
  <c r="X32" i="45"/>
  <c r="Z32" i="45" s="1"/>
  <c r="L32" i="45"/>
  <c r="N32" i="45" s="1"/>
  <c r="B32" i="45"/>
  <c r="Z31" i="45"/>
  <c r="X31" i="45"/>
  <c r="V31" i="45"/>
  <c r="N31" i="45"/>
  <c r="L31" i="45"/>
  <c r="B31" i="45"/>
  <c r="Z30" i="45"/>
  <c r="X30" i="45"/>
  <c r="N30" i="45"/>
  <c r="L30" i="45"/>
  <c r="B30" i="45"/>
  <c r="Z29" i="45"/>
  <c r="X29" i="45"/>
  <c r="V29" i="45"/>
  <c r="N29" i="45"/>
  <c r="L29" i="45"/>
  <c r="B29" i="45"/>
  <c r="X28" i="45"/>
  <c r="Z28" i="45" s="1"/>
  <c r="L28" i="45"/>
  <c r="N28" i="45" s="1"/>
  <c r="B28" i="45"/>
  <c r="Z27" i="45"/>
  <c r="X27" i="45"/>
  <c r="N27" i="45"/>
  <c r="L27" i="45"/>
  <c r="J27" i="45"/>
  <c r="B27" i="45"/>
  <c r="Z26" i="45"/>
  <c r="X26" i="45"/>
  <c r="L26" i="45"/>
  <c r="N26" i="45" s="1"/>
  <c r="F26" i="45"/>
  <c r="B26" i="45"/>
  <c r="Z25" i="45"/>
  <c r="X25" i="45"/>
  <c r="N25" i="45"/>
  <c r="L25" i="45"/>
  <c r="J25" i="45"/>
  <c r="B25" i="45"/>
  <c r="T24" i="45"/>
  <c r="Z24" i="45" s="1"/>
  <c r="P24" i="45"/>
  <c r="X24" i="45" s="1"/>
  <c r="H24" i="45"/>
  <c r="D24" i="45"/>
  <c r="L24" i="45" s="1"/>
  <c r="N24" i="45" s="1"/>
  <c r="B24" i="45"/>
  <c r="T23" i="45"/>
  <c r="P23" i="45"/>
  <c r="X23" i="45" s="1"/>
  <c r="Z23" i="45" s="1"/>
  <c r="J23" i="45"/>
  <c r="H23" i="45"/>
  <c r="D23" i="45"/>
  <c r="L23" i="45" s="1"/>
  <c r="N23" i="45" s="1"/>
  <c r="V21" i="45"/>
  <c r="Z19" i="45"/>
  <c r="X19" i="45"/>
  <c r="N19" i="45"/>
  <c r="L19" i="45"/>
  <c r="J19" i="45"/>
  <c r="B19" i="45"/>
  <c r="Z18" i="45"/>
  <c r="X18" i="45"/>
  <c r="N18" i="45"/>
  <c r="L18" i="45"/>
  <c r="F18" i="45"/>
  <c r="B18" i="45"/>
  <c r="Z17" i="45"/>
  <c r="T17" i="45"/>
  <c r="X17" i="45" s="1"/>
  <c r="P17" i="45"/>
  <c r="N17" i="45"/>
  <c r="L17" i="45"/>
  <c r="H17" i="45"/>
  <c r="D17" i="45"/>
  <c r="Z15" i="45"/>
  <c r="P15" i="45"/>
  <c r="N15" i="45"/>
  <c r="L15" i="45"/>
  <c r="D15" i="45"/>
  <c r="B15" i="45"/>
  <c r="Z14" i="45"/>
  <c r="X14" i="45"/>
  <c r="P14" i="45"/>
  <c r="N14" i="45"/>
  <c r="L14" i="45"/>
  <c r="D14" i="45"/>
  <c r="B14" i="45"/>
  <c r="Z13" i="45"/>
  <c r="P13" i="45"/>
  <c r="X13" i="45" s="1"/>
  <c r="N13" i="45"/>
  <c r="L13" i="45"/>
  <c r="D13" i="45"/>
  <c r="D12" i="45" s="1"/>
  <c r="B13" i="45"/>
  <c r="T12" i="45"/>
  <c r="V80" i="45" s="1"/>
  <c r="L12" i="45"/>
  <c r="H12" i="45"/>
  <c r="J76" i="45" s="1"/>
  <c r="D4" i="45"/>
  <c r="B39" i="44"/>
  <c r="B38" i="44"/>
  <c r="T34" i="44"/>
  <c r="Z34" i="44" s="1"/>
  <c r="P34" i="44"/>
  <c r="H34" i="44"/>
  <c r="N34" i="44" s="1"/>
  <c r="D34" i="44"/>
  <c r="T33" i="44"/>
  <c r="Z33" i="44" s="1"/>
  <c r="P33" i="44"/>
  <c r="H33" i="44"/>
  <c r="N33" i="44" s="1"/>
  <c r="D33" i="44"/>
  <c r="T29" i="44"/>
  <c r="Z29" i="44" s="1"/>
  <c r="P29" i="44"/>
  <c r="H29" i="44"/>
  <c r="N29" i="44" s="1"/>
  <c r="D29" i="44"/>
  <c r="T25" i="44"/>
  <c r="Z25" i="44" s="1"/>
  <c r="P25" i="44"/>
  <c r="H25" i="44"/>
  <c r="N25" i="44" s="1"/>
  <c r="D25" i="44"/>
  <c r="B25" i="44"/>
  <c r="T24" i="44"/>
  <c r="Z24" i="44" s="1"/>
  <c r="P24" i="44"/>
  <c r="H24" i="44"/>
  <c r="N24" i="44" s="1"/>
  <c r="D24" i="44"/>
  <c r="T22" i="44"/>
  <c r="Z22" i="44" s="1"/>
  <c r="P22" i="44"/>
  <c r="H22" i="44"/>
  <c r="D22" i="44"/>
  <c r="B22" i="44"/>
  <c r="T21" i="44"/>
  <c r="Z21" i="44" s="1"/>
  <c r="P21" i="44"/>
  <c r="H21" i="44"/>
  <c r="N21" i="44" s="1"/>
  <c r="D21" i="44"/>
  <c r="B21" i="44"/>
  <c r="T20" i="44"/>
  <c r="Z20" i="44" s="1"/>
  <c r="P20" i="44"/>
  <c r="H20" i="44"/>
  <c r="N20" i="44" s="1"/>
  <c r="D20" i="44"/>
  <c r="T16" i="44"/>
  <c r="Z16" i="44" s="1"/>
  <c r="P16" i="44"/>
  <c r="H16" i="44"/>
  <c r="N16" i="44" s="1"/>
  <c r="D16" i="44"/>
  <c r="B16" i="44"/>
  <c r="T15" i="44"/>
  <c r="Z15" i="44" s="1"/>
  <c r="P15" i="44"/>
  <c r="H15" i="44"/>
  <c r="N15" i="44" s="1"/>
  <c r="D15" i="44"/>
  <c r="T13" i="44"/>
  <c r="Z13" i="44" s="1"/>
  <c r="P13" i="44"/>
  <c r="H13" i="44"/>
  <c r="N13" i="44" s="1"/>
  <c r="D13" i="44"/>
  <c r="B13" i="44"/>
  <c r="T12" i="44"/>
  <c r="V20" i="44" s="1"/>
  <c r="P12" i="44"/>
  <c r="R18" i="44" s="1"/>
  <c r="H12" i="44"/>
  <c r="J20" i="44" s="1"/>
  <c r="D12" i="44"/>
  <c r="F20" i="44" s="1"/>
  <c r="D5" i="44"/>
  <c r="D4" i="44"/>
  <c r="B39" i="43"/>
  <c r="B38" i="43"/>
  <c r="T34" i="43"/>
  <c r="Z34" i="43" s="1"/>
  <c r="P34" i="43"/>
  <c r="H34" i="43"/>
  <c r="N34" i="43" s="1"/>
  <c r="D34" i="43"/>
  <c r="T33" i="43"/>
  <c r="Z33" i="43" s="1"/>
  <c r="P33" i="43"/>
  <c r="H33" i="43"/>
  <c r="D33" i="43"/>
  <c r="T29" i="43"/>
  <c r="Z29" i="43" s="1"/>
  <c r="P29" i="43"/>
  <c r="H29" i="43"/>
  <c r="D29" i="43"/>
  <c r="T25" i="43"/>
  <c r="Z25" i="43" s="1"/>
  <c r="P25" i="43"/>
  <c r="H25" i="43"/>
  <c r="D25" i="43"/>
  <c r="B25" i="43"/>
  <c r="T24" i="43"/>
  <c r="Z24" i="43" s="1"/>
  <c r="P24" i="43"/>
  <c r="H24" i="43"/>
  <c r="D24" i="43"/>
  <c r="T22" i="43"/>
  <c r="Z22" i="43" s="1"/>
  <c r="P22" i="43"/>
  <c r="H22" i="43"/>
  <c r="N22" i="43" s="1"/>
  <c r="D22" i="43"/>
  <c r="B22" i="43"/>
  <c r="T21" i="43"/>
  <c r="P21" i="43"/>
  <c r="H21" i="43"/>
  <c r="N21" i="43" s="1"/>
  <c r="D21" i="43"/>
  <c r="B21" i="43"/>
  <c r="T20" i="43"/>
  <c r="P20" i="43"/>
  <c r="H20" i="43"/>
  <c r="N20" i="43" s="1"/>
  <c r="D20" i="43"/>
  <c r="T16" i="43"/>
  <c r="Z16" i="43" s="1"/>
  <c r="P16" i="43"/>
  <c r="H16" i="43"/>
  <c r="N16" i="43" s="1"/>
  <c r="D16" i="43"/>
  <c r="B16" i="43"/>
  <c r="T15" i="43"/>
  <c r="Z15" i="43" s="1"/>
  <c r="P15" i="43"/>
  <c r="H15" i="43"/>
  <c r="D15" i="43"/>
  <c r="T13" i="43"/>
  <c r="Z13" i="43" s="1"/>
  <c r="P13" i="43"/>
  <c r="H13" i="43"/>
  <c r="N13" i="43" s="1"/>
  <c r="D13" i="43"/>
  <c r="B13" i="43"/>
  <c r="T12" i="43"/>
  <c r="V36" i="43" s="1"/>
  <c r="P12" i="43"/>
  <c r="H12" i="43"/>
  <c r="J20" i="43" s="1"/>
  <c r="D12" i="43"/>
  <c r="F21" i="43" s="1"/>
  <c r="D5" i="43"/>
  <c r="D4" i="43"/>
  <c r="Z100" i="42"/>
  <c r="X100" i="42"/>
  <c r="V100" i="42"/>
  <c r="N100" i="42"/>
  <c r="L100" i="42"/>
  <c r="Z96" i="42"/>
  <c r="P96" i="42"/>
  <c r="X96" i="42" s="1"/>
  <c r="N96" i="42"/>
  <c r="L96" i="42"/>
  <c r="D96" i="42"/>
  <c r="B96" i="42"/>
  <c r="Z95" i="42"/>
  <c r="P95" i="42"/>
  <c r="P94" i="42" s="1"/>
  <c r="X94" i="42" s="1"/>
  <c r="N95" i="42"/>
  <c r="D95" i="42"/>
  <c r="L95" i="42" s="1"/>
  <c r="B95" i="42"/>
  <c r="Z94" i="42"/>
  <c r="T94" i="42"/>
  <c r="H94" i="42"/>
  <c r="N94" i="42" s="1"/>
  <c r="Z92" i="42"/>
  <c r="X92" i="42"/>
  <c r="N92" i="42"/>
  <c r="L92" i="42"/>
  <c r="B92" i="42"/>
  <c r="T91" i="42"/>
  <c r="P91" i="42"/>
  <c r="H91" i="42"/>
  <c r="N91" i="42" s="1"/>
  <c r="D91" i="42"/>
  <c r="L91" i="42" s="1"/>
  <c r="B91" i="42"/>
  <c r="Z90" i="42"/>
  <c r="X90" i="42"/>
  <c r="N90" i="42"/>
  <c r="L90" i="42"/>
  <c r="B90" i="42"/>
  <c r="T89" i="42"/>
  <c r="Z89" i="42" s="1"/>
  <c r="P89" i="42"/>
  <c r="X89" i="42" s="1"/>
  <c r="H89" i="42"/>
  <c r="D89" i="42"/>
  <c r="L89" i="42" s="1"/>
  <c r="N89" i="42" s="1"/>
  <c r="B89" i="42"/>
  <c r="Z88" i="42"/>
  <c r="X88" i="42"/>
  <c r="N88" i="42"/>
  <c r="L88" i="42"/>
  <c r="B88" i="42"/>
  <c r="Z87" i="42"/>
  <c r="X87" i="42"/>
  <c r="L87" i="42"/>
  <c r="N87" i="42" s="1"/>
  <c r="B87" i="42"/>
  <c r="T86" i="42"/>
  <c r="P86" i="42"/>
  <c r="X86" i="42" s="1"/>
  <c r="Z86" i="42" s="1"/>
  <c r="N86" i="42"/>
  <c r="L86" i="42"/>
  <c r="H86" i="42"/>
  <c r="D86" i="42"/>
  <c r="B86" i="42"/>
  <c r="X85" i="42"/>
  <c r="Z85" i="42" s="1"/>
  <c r="L85" i="42"/>
  <c r="N85" i="42" s="1"/>
  <c r="B85" i="42"/>
  <c r="Z84" i="42"/>
  <c r="X84" i="42"/>
  <c r="N84" i="42"/>
  <c r="L84" i="42"/>
  <c r="B84" i="42"/>
  <c r="Z83" i="42"/>
  <c r="X83" i="42"/>
  <c r="L83" i="42"/>
  <c r="N83" i="42" s="1"/>
  <c r="B83" i="42"/>
  <c r="Z82" i="42"/>
  <c r="X82" i="42"/>
  <c r="N82" i="42"/>
  <c r="L82" i="42"/>
  <c r="J82" i="42"/>
  <c r="B82" i="42"/>
  <c r="X81" i="42"/>
  <c r="Z81" i="42" s="1"/>
  <c r="L81" i="42"/>
  <c r="N81" i="42" s="1"/>
  <c r="B81" i="42"/>
  <c r="Z80" i="42"/>
  <c r="X80" i="42"/>
  <c r="N80" i="42"/>
  <c r="L80" i="42"/>
  <c r="B80" i="42"/>
  <c r="X79" i="42"/>
  <c r="Z79" i="42" s="1"/>
  <c r="N79" i="42"/>
  <c r="L79" i="42"/>
  <c r="B79" i="42"/>
  <c r="Z78" i="42"/>
  <c r="X78" i="42"/>
  <c r="V78" i="42"/>
  <c r="N78" i="42"/>
  <c r="L78" i="42"/>
  <c r="B78" i="42"/>
  <c r="X77" i="42"/>
  <c r="T77" i="42"/>
  <c r="Z77" i="42" s="1"/>
  <c r="P77" i="42"/>
  <c r="H77" i="42"/>
  <c r="D77" i="42"/>
  <c r="B77" i="42"/>
  <c r="Z76" i="42"/>
  <c r="X76" i="42"/>
  <c r="N76" i="42"/>
  <c r="L76" i="42"/>
  <c r="B76" i="42"/>
  <c r="T75" i="42"/>
  <c r="P75" i="42"/>
  <c r="H75" i="42"/>
  <c r="N75" i="42" s="1"/>
  <c r="D75" i="42"/>
  <c r="L75" i="42" s="1"/>
  <c r="B75" i="42"/>
  <c r="Z74" i="42"/>
  <c r="X74" i="42"/>
  <c r="N74" i="42"/>
  <c r="L74" i="42"/>
  <c r="J74" i="42"/>
  <c r="B74" i="42"/>
  <c r="X73" i="42"/>
  <c r="Z73" i="42" s="1"/>
  <c r="L73" i="42"/>
  <c r="N73" i="42" s="1"/>
  <c r="B73" i="42"/>
  <c r="Z72" i="42"/>
  <c r="X72" i="42"/>
  <c r="N72" i="42"/>
  <c r="L72" i="42"/>
  <c r="B72" i="42"/>
  <c r="X71" i="42"/>
  <c r="Z71" i="42" s="1"/>
  <c r="N71" i="42"/>
  <c r="L71" i="42"/>
  <c r="B71" i="42"/>
  <c r="Z70" i="42"/>
  <c r="X70" i="42"/>
  <c r="V70" i="42"/>
  <c r="N70" i="42"/>
  <c r="L70" i="42"/>
  <c r="B70" i="42"/>
  <c r="X69" i="42"/>
  <c r="T69" i="42"/>
  <c r="Z69" i="42" s="1"/>
  <c r="P69" i="42"/>
  <c r="H69" i="42"/>
  <c r="D69" i="42"/>
  <c r="B69" i="42"/>
  <c r="Z68" i="42"/>
  <c r="X68" i="42"/>
  <c r="N68" i="42"/>
  <c r="L68" i="42"/>
  <c r="B68" i="42"/>
  <c r="X67" i="42"/>
  <c r="Z67" i="42" s="1"/>
  <c r="N67" i="42"/>
  <c r="L67" i="42"/>
  <c r="B67" i="42"/>
  <c r="V66" i="42"/>
  <c r="T66" i="42"/>
  <c r="P66" i="42"/>
  <c r="X66" i="42" s="1"/>
  <c r="H66" i="42"/>
  <c r="D66" i="42"/>
  <c r="L66" i="42" s="1"/>
  <c r="N66" i="42" s="1"/>
  <c r="B66" i="42"/>
  <c r="X65" i="42"/>
  <c r="Z65" i="42" s="1"/>
  <c r="L65" i="42"/>
  <c r="N65" i="42" s="1"/>
  <c r="B65" i="42"/>
  <c r="T64" i="42"/>
  <c r="P64" i="42"/>
  <c r="X64" i="42" s="1"/>
  <c r="Z64" i="42" s="1"/>
  <c r="H64" i="42"/>
  <c r="L64" i="42" s="1"/>
  <c r="N64" i="42" s="1"/>
  <c r="D64" i="42"/>
  <c r="B64" i="42"/>
  <c r="Z63" i="42"/>
  <c r="X63" i="42"/>
  <c r="L63" i="42"/>
  <c r="N63" i="42" s="1"/>
  <c r="B63" i="42"/>
  <c r="T62" i="42"/>
  <c r="X62" i="42" s="1"/>
  <c r="Z62" i="42" s="1"/>
  <c r="P62" i="42"/>
  <c r="N62" i="42"/>
  <c r="L62" i="42"/>
  <c r="H62" i="42"/>
  <c r="D62" i="42"/>
  <c r="B62" i="42"/>
  <c r="X61" i="42"/>
  <c r="Z61" i="42" s="1"/>
  <c r="L61" i="42"/>
  <c r="N61" i="42" s="1"/>
  <c r="B61" i="42"/>
  <c r="Z60" i="42"/>
  <c r="X60" i="42"/>
  <c r="T60" i="42"/>
  <c r="P60" i="42"/>
  <c r="J60" i="42"/>
  <c r="H60" i="42"/>
  <c r="D60" i="42"/>
  <c r="L60" i="42" s="1"/>
  <c r="B60" i="42"/>
  <c r="X59" i="42"/>
  <c r="Z59" i="42" s="1"/>
  <c r="N59" i="42"/>
  <c r="L59" i="42"/>
  <c r="B59" i="42"/>
  <c r="V58" i="42"/>
  <c r="T58" i="42"/>
  <c r="P58" i="42"/>
  <c r="X58" i="42" s="1"/>
  <c r="H58" i="42"/>
  <c r="D58" i="42"/>
  <c r="L58" i="42" s="1"/>
  <c r="N58" i="42" s="1"/>
  <c r="B58" i="42"/>
  <c r="X57" i="42"/>
  <c r="Z57" i="42" s="1"/>
  <c r="L57" i="42"/>
  <c r="N57" i="42" s="1"/>
  <c r="B57" i="42"/>
  <c r="T56" i="42"/>
  <c r="P56" i="42"/>
  <c r="X56" i="42" s="1"/>
  <c r="Z56" i="42" s="1"/>
  <c r="H56" i="42"/>
  <c r="D56" i="42"/>
  <c r="L56" i="42" s="1"/>
  <c r="N56" i="42" s="1"/>
  <c r="B56" i="42"/>
  <c r="Z55" i="42"/>
  <c r="X55" i="42"/>
  <c r="L55" i="42"/>
  <c r="N55" i="42" s="1"/>
  <c r="B55" i="42"/>
  <c r="Z54" i="42"/>
  <c r="X54" i="42"/>
  <c r="N54" i="42"/>
  <c r="L54" i="42"/>
  <c r="B54" i="42"/>
  <c r="T53" i="42"/>
  <c r="P53" i="42"/>
  <c r="X53" i="42" s="1"/>
  <c r="H53" i="42"/>
  <c r="D53" i="42"/>
  <c r="L53" i="42" s="1"/>
  <c r="N53" i="42" s="1"/>
  <c r="B53" i="42"/>
  <c r="Z52" i="42"/>
  <c r="X52" i="42"/>
  <c r="N52" i="42"/>
  <c r="L52" i="42"/>
  <c r="B52" i="42"/>
  <c r="T51" i="42"/>
  <c r="P51" i="42"/>
  <c r="X51" i="42" s="1"/>
  <c r="Z51" i="42" s="1"/>
  <c r="L51" i="42"/>
  <c r="H51" i="42"/>
  <c r="D51" i="42"/>
  <c r="B51" i="42"/>
  <c r="Z50" i="42"/>
  <c r="X50" i="42"/>
  <c r="V50" i="42"/>
  <c r="N50" i="42"/>
  <c r="L50" i="42"/>
  <c r="B50" i="42"/>
  <c r="X49" i="42"/>
  <c r="T49" i="42"/>
  <c r="Z49" i="42" s="1"/>
  <c r="P49" i="42"/>
  <c r="H49" i="42"/>
  <c r="D49" i="42"/>
  <c r="B49" i="42"/>
  <c r="Z48" i="42"/>
  <c r="X48" i="42"/>
  <c r="N48" i="42"/>
  <c r="L48" i="42"/>
  <c r="B48" i="42"/>
  <c r="T47" i="42"/>
  <c r="P47" i="42"/>
  <c r="H47" i="42"/>
  <c r="N47" i="42" s="1"/>
  <c r="D47" i="42"/>
  <c r="L47" i="42" s="1"/>
  <c r="B47" i="42"/>
  <c r="Z46" i="42"/>
  <c r="X46" i="42"/>
  <c r="N46" i="42"/>
  <c r="L46" i="42"/>
  <c r="B46" i="42"/>
  <c r="Z45" i="42"/>
  <c r="X45" i="42"/>
  <c r="N45" i="42"/>
  <c r="L45" i="42"/>
  <c r="B45" i="42"/>
  <c r="Z44" i="42"/>
  <c r="X44" i="42"/>
  <c r="N44" i="42"/>
  <c r="L44" i="42"/>
  <c r="B44" i="42"/>
  <c r="Z43" i="42"/>
  <c r="X43" i="42"/>
  <c r="N43" i="42"/>
  <c r="L43" i="42"/>
  <c r="B43" i="42"/>
  <c r="Z42" i="42"/>
  <c r="X42" i="42"/>
  <c r="V42" i="42"/>
  <c r="N42" i="42"/>
  <c r="L42" i="42"/>
  <c r="B42" i="42"/>
  <c r="X41" i="42"/>
  <c r="Z41" i="42" s="1"/>
  <c r="L41" i="42"/>
  <c r="N41" i="42" s="1"/>
  <c r="B41" i="42"/>
  <c r="Z40" i="42"/>
  <c r="X40" i="42"/>
  <c r="N40" i="42"/>
  <c r="L40" i="42"/>
  <c r="B40" i="42"/>
  <c r="Z39" i="42"/>
  <c r="X39" i="42"/>
  <c r="N39" i="42"/>
  <c r="L39" i="42"/>
  <c r="B39" i="42"/>
  <c r="Z38" i="42"/>
  <c r="X38" i="42"/>
  <c r="N38" i="42"/>
  <c r="L38" i="42"/>
  <c r="J38" i="42"/>
  <c r="B38" i="42"/>
  <c r="X37" i="42"/>
  <c r="Z37" i="42" s="1"/>
  <c r="L37" i="42"/>
  <c r="N37" i="42" s="1"/>
  <c r="B37" i="42"/>
  <c r="T36" i="42"/>
  <c r="P36" i="42"/>
  <c r="X36" i="42" s="1"/>
  <c r="Z36" i="42" s="1"/>
  <c r="H36" i="42"/>
  <c r="D36" i="42"/>
  <c r="L36" i="42" s="1"/>
  <c r="N36" i="42" s="1"/>
  <c r="B36" i="42"/>
  <c r="Z35" i="42"/>
  <c r="X35" i="42"/>
  <c r="L35" i="42"/>
  <c r="N35" i="42" s="1"/>
  <c r="B35" i="42"/>
  <c r="Z34" i="42"/>
  <c r="X34" i="42"/>
  <c r="N34" i="42"/>
  <c r="L34" i="42"/>
  <c r="B34" i="42"/>
  <c r="X33" i="42"/>
  <c r="Z33" i="42" s="1"/>
  <c r="L33" i="42"/>
  <c r="N33" i="42" s="1"/>
  <c r="B33" i="42"/>
  <c r="Z32" i="42"/>
  <c r="X32" i="42"/>
  <c r="N32" i="42"/>
  <c r="L32" i="42"/>
  <c r="B32" i="42"/>
  <c r="X31" i="42"/>
  <c r="Z31" i="42" s="1"/>
  <c r="N31" i="42"/>
  <c r="L31" i="42"/>
  <c r="B31" i="42"/>
  <c r="Z30" i="42"/>
  <c r="X30" i="42"/>
  <c r="V30" i="42"/>
  <c r="N30" i="42"/>
  <c r="L30" i="42"/>
  <c r="B30" i="42"/>
  <c r="X29" i="42"/>
  <c r="Z29" i="42" s="1"/>
  <c r="V29" i="42"/>
  <c r="L29" i="42"/>
  <c r="N29" i="42" s="1"/>
  <c r="B29" i="42"/>
  <c r="Z28" i="42"/>
  <c r="X28" i="42"/>
  <c r="N28" i="42"/>
  <c r="L28" i="42"/>
  <c r="B28" i="42"/>
  <c r="Z27" i="42"/>
  <c r="X27" i="42"/>
  <c r="L27" i="42"/>
  <c r="N27" i="42" s="1"/>
  <c r="B27" i="42"/>
  <c r="T26" i="42"/>
  <c r="P26" i="42"/>
  <c r="X26" i="42" s="1"/>
  <c r="Z26" i="42" s="1"/>
  <c r="N26" i="42"/>
  <c r="L26" i="42"/>
  <c r="H26" i="42"/>
  <c r="D26" i="42"/>
  <c r="B26" i="42"/>
  <c r="X25" i="42"/>
  <c r="V25" i="42"/>
  <c r="T25" i="42"/>
  <c r="P25" i="42"/>
  <c r="H25" i="42"/>
  <c r="D25" i="42"/>
  <c r="L25" i="42" s="1"/>
  <c r="Z21" i="42"/>
  <c r="X21" i="42"/>
  <c r="V21" i="42"/>
  <c r="N21" i="42"/>
  <c r="L21" i="42"/>
  <c r="B21" i="42"/>
  <c r="Z20" i="42"/>
  <c r="X20" i="42"/>
  <c r="V20" i="42"/>
  <c r="N20" i="42"/>
  <c r="L20" i="42"/>
  <c r="B20" i="42"/>
  <c r="Z19" i="42"/>
  <c r="X19" i="42"/>
  <c r="L19" i="42"/>
  <c r="N19" i="42" s="1"/>
  <c r="B19" i="42"/>
  <c r="T18" i="42"/>
  <c r="P18" i="42"/>
  <c r="X18" i="42" s="1"/>
  <c r="Z18" i="42" s="1"/>
  <c r="N18" i="42"/>
  <c r="L18" i="42"/>
  <c r="H18" i="42"/>
  <c r="D18" i="42"/>
  <c r="Z16" i="42"/>
  <c r="P16" i="42"/>
  <c r="X16" i="42" s="1"/>
  <c r="N16" i="42"/>
  <c r="L16" i="42"/>
  <c r="D16" i="42"/>
  <c r="B16" i="42"/>
  <c r="X15" i="42"/>
  <c r="Z15" i="42" s="1"/>
  <c r="P15" i="42"/>
  <c r="N15" i="42"/>
  <c r="L15" i="42"/>
  <c r="D15" i="42"/>
  <c r="B15" i="42"/>
  <c r="Z14" i="42"/>
  <c r="P14" i="42"/>
  <c r="X14" i="42" s="1"/>
  <c r="N14" i="42"/>
  <c r="L14" i="42"/>
  <c r="D14" i="42"/>
  <c r="B14" i="42"/>
  <c r="X13" i="42"/>
  <c r="Z13" i="42" s="1"/>
  <c r="P13" i="42"/>
  <c r="D13" i="42"/>
  <c r="B13" i="42"/>
  <c r="T12" i="42"/>
  <c r="V85" i="42" s="1"/>
  <c r="H12" i="42"/>
  <c r="J34" i="42" s="1"/>
  <c r="D4" i="42"/>
  <c r="B39" i="41"/>
  <c r="B38" i="41"/>
  <c r="T34" i="41"/>
  <c r="Z34" i="41" s="1"/>
  <c r="P34" i="41"/>
  <c r="H34" i="41"/>
  <c r="N34" i="41" s="1"/>
  <c r="D34" i="41"/>
  <c r="T33" i="41"/>
  <c r="Z33" i="41" s="1"/>
  <c r="P33" i="41"/>
  <c r="H33" i="41"/>
  <c r="N33" i="41" s="1"/>
  <c r="D33" i="41"/>
  <c r="T29" i="41"/>
  <c r="Z29" i="41" s="1"/>
  <c r="P29" i="41"/>
  <c r="H29" i="41"/>
  <c r="N29" i="41" s="1"/>
  <c r="D29" i="41"/>
  <c r="T25" i="41"/>
  <c r="Z25" i="41" s="1"/>
  <c r="P25" i="41"/>
  <c r="H25" i="41"/>
  <c r="N25" i="41" s="1"/>
  <c r="D25" i="41"/>
  <c r="B25" i="41"/>
  <c r="T24" i="41"/>
  <c r="Z24" i="41" s="1"/>
  <c r="P24" i="41"/>
  <c r="H24" i="41"/>
  <c r="N24" i="41" s="1"/>
  <c r="D24" i="41"/>
  <c r="T22" i="41"/>
  <c r="Z22" i="41" s="1"/>
  <c r="P22" i="41"/>
  <c r="H22" i="41"/>
  <c r="N22" i="41" s="1"/>
  <c r="D22" i="41"/>
  <c r="B22" i="41"/>
  <c r="T21" i="41"/>
  <c r="Z21" i="41" s="1"/>
  <c r="P21" i="41"/>
  <c r="H21" i="41"/>
  <c r="N21" i="41" s="1"/>
  <c r="D21" i="41"/>
  <c r="B21" i="41"/>
  <c r="T20" i="41"/>
  <c r="Z20" i="41" s="1"/>
  <c r="P20" i="41"/>
  <c r="H20" i="41"/>
  <c r="N20" i="41" s="1"/>
  <c r="D20" i="41"/>
  <c r="T16" i="41"/>
  <c r="Z16" i="41" s="1"/>
  <c r="P16" i="41"/>
  <c r="H16" i="41"/>
  <c r="N16" i="41" s="1"/>
  <c r="D16" i="41"/>
  <c r="B16" i="41"/>
  <c r="T15" i="41"/>
  <c r="Z15" i="41" s="1"/>
  <c r="P15" i="41"/>
  <c r="H15" i="41"/>
  <c r="N15" i="41" s="1"/>
  <c r="D15" i="41"/>
  <c r="T13" i="41"/>
  <c r="Z13" i="41" s="1"/>
  <c r="P13" i="41"/>
  <c r="H13" i="41"/>
  <c r="N13" i="41" s="1"/>
  <c r="D13" i="41"/>
  <c r="B13" i="41"/>
  <c r="T12" i="41"/>
  <c r="V34" i="41" s="1"/>
  <c r="P12" i="41"/>
  <c r="R25" i="41" s="1"/>
  <c r="H12" i="41"/>
  <c r="D12" i="41"/>
  <c r="F20" i="41" s="1"/>
  <c r="D5" i="41"/>
  <c r="D4" i="41"/>
  <c r="B39" i="40"/>
  <c r="B38" i="40"/>
  <c r="T34" i="40"/>
  <c r="Z34" i="40" s="1"/>
  <c r="P34" i="40"/>
  <c r="H34" i="40"/>
  <c r="N34" i="40" s="1"/>
  <c r="D34" i="40"/>
  <c r="T33" i="40"/>
  <c r="Z33" i="40" s="1"/>
  <c r="P33" i="40"/>
  <c r="H33" i="40"/>
  <c r="N33" i="40" s="1"/>
  <c r="D33" i="40"/>
  <c r="T29" i="40"/>
  <c r="Z29" i="40" s="1"/>
  <c r="P29" i="40"/>
  <c r="H29" i="40"/>
  <c r="N29" i="40" s="1"/>
  <c r="D29" i="40"/>
  <c r="T25" i="40"/>
  <c r="Z25" i="40" s="1"/>
  <c r="P25" i="40"/>
  <c r="H25" i="40"/>
  <c r="N25" i="40" s="1"/>
  <c r="D25" i="40"/>
  <c r="B25" i="40"/>
  <c r="T24" i="40"/>
  <c r="Z24" i="40" s="1"/>
  <c r="P24" i="40"/>
  <c r="H24" i="40"/>
  <c r="D24" i="40"/>
  <c r="T22" i="40"/>
  <c r="Z22" i="40" s="1"/>
  <c r="P22" i="40"/>
  <c r="H22" i="40"/>
  <c r="N22" i="40" s="1"/>
  <c r="D22" i="40"/>
  <c r="B22" i="40"/>
  <c r="T21" i="40"/>
  <c r="Z21" i="40" s="1"/>
  <c r="P21" i="40"/>
  <c r="H21" i="40"/>
  <c r="N21" i="40" s="1"/>
  <c r="D21" i="40"/>
  <c r="B21" i="40"/>
  <c r="T20" i="40"/>
  <c r="Z20" i="40" s="1"/>
  <c r="P20" i="40"/>
  <c r="H20" i="40"/>
  <c r="N20" i="40" s="1"/>
  <c r="D20" i="40"/>
  <c r="T16" i="40"/>
  <c r="Z16" i="40" s="1"/>
  <c r="P16" i="40"/>
  <c r="H16" i="40"/>
  <c r="N16" i="40" s="1"/>
  <c r="D16" i="40"/>
  <c r="B16" i="40"/>
  <c r="T15" i="40"/>
  <c r="Z15" i="40" s="1"/>
  <c r="P15" i="40"/>
  <c r="H15" i="40"/>
  <c r="N15" i="40" s="1"/>
  <c r="D15" i="40"/>
  <c r="T13" i="40"/>
  <c r="Z13" i="40" s="1"/>
  <c r="P13" i="40"/>
  <c r="H13" i="40"/>
  <c r="N13" i="40" s="1"/>
  <c r="D13" i="40"/>
  <c r="B13" i="40"/>
  <c r="T12" i="40"/>
  <c r="V20" i="40" s="1"/>
  <c r="P12" i="40"/>
  <c r="R36" i="40" s="1"/>
  <c r="H12" i="40"/>
  <c r="J20" i="40" s="1"/>
  <c r="D12" i="40"/>
  <c r="D5" i="40"/>
  <c r="D4" i="40"/>
  <c r="X104" i="39"/>
  <c r="Z104" i="39" s="1"/>
  <c r="N104" i="39"/>
  <c r="L104" i="39"/>
  <c r="Z100" i="39"/>
  <c r="X100" i="39"/>
  <c r="P100" i="39"/>
  <c r="N100" i="39"/>
  <c r="D100" i="39"/>
  <c r="L100" i="39" s="1"/>
  <c r="B100" i="39"/>
  <c r="Z99" i="39"/>
  <c r="P99" i="39"/>
  <c r="N99" i="39"/>
  <c r="L99" i="39"/>
  <c r="D99" i="39"/>
  <c r="B99" i="39"/>
  <c r="T98" i="39"/>
  <c r="Z98" i="39" s="1"/>
  <c r="H98" i="39"/>
  <c r="N98" i="39" s="1"/>
  <c r="D98" i="39"/>
  <c r="X96" i="39"/>
  <c r="Z96" i="39" s="1"/>
  <c r="L96" i="39"/>
  <c r="N96" i="39" s="1"/>
  <c r="B96" i="39"/>
  <c r="T95" i="39"/>
  <c r="P95" i="39"/>
  <c r="X95" i="39" s="1"/>
  <c r="Z95" i="39" s="1"/>
  <c r="N95" i="39"/>
  <c r="L95" i="39"/>
  <c r="H95" i="39"/>
  <c r="D95" i="39"/>
  <c r="B95" i="39"/>
  <c r="Z94" i="39"/>
  <c r="X94" i="39"/>
  <c r="L94" i="39"/>
  <c r="N94" i="39" s="1"/>
  <c r="B94" i="39"/>
  <c r="Z93" i="39"/>
  <c r="X93" i="39"/>
  <c r="T93" i="39"/>
  <c r="P93" i="39"/>
  <c r="N93" i="39"/>
  <c r="L93" i="39"/>
  <c r="H93" i="39"/>
  <c r="D93" i="39"/>
  <c r="B93" i="39"/>
  <c r="X92" i="39"/>
  <c r="Z92" i="39" s="1"/>
  <c r="L92" i="39"/>
  <c r="N92" i="39" s="1"/>
  <c r="B92" i="39"/>
  <c r="Z91" i="39"/>
  <c r="X91" i="39"/>
  <c r="N91" i="39"/>
  <c r="L91" i="39"/>
  <c r="B91" i="39"/>
  <c r="Z90" i="39"/>
  <c r="X90" i="39"/>
  <c r="T90" i="39"/>
  <c r="P90" i="39"/>
  <c r="L90" i="39"/>
  <c r="H90" i="39"/>
  <c r="D90" i="39"/>
  <c r="B90" i="39"/>
  <c r="Z89" i="39"/>
  <c r="X89" i="39"/>
  <c r="N89" i="39"/>
  <c r="L89" i="39"/>
  <c r="B89" i="39"/>
  <c r="Z88" i="39"/>
  <c r="X88" i="39"/>
  <c r="N88" i="39"/>
  <c r="L88" i="39"/>
  <c r="B88" i="39"/>
  <c r="Z87" i="39"/>
  <c r="X87" i="39"/>
  <c r="N87" i="39"/>
  <c r="L87" i="39"/>
  <c r="B87" i="39"/>
  <c r="Z86" i="39"/>
  <c r="X86" i="39"/>
  <c r="L86" i="39"/>
  <c r="N86" i="39" s="1"/>
  <c r="B86" i="39"/>
  <c r="Z85" i="39"/>
  <c r="X85" i="39"/>
  <c r="N85" i="39"/>
  <c r="L85" i="39"/>
  <c r="B85" i="39"/>
  <c r="X84" i="39"/>
  <c r="Z84" i="39" s="1"/>
  <c r="L84" i="39"/>
  <c r="N84" i="39" s="1"/>
  <c r="B84" i="39"/>
  <c r="Z83" i="39"/>
  <c r="X83" i="39"/>
  <c r="N83" i="39"/>
  <c r="L83" i="39"/>
  <c r="B83" i="39"/>
  <c r="X82" i="39"/>
  <c r="Z82" i="39" s="1"/>
  <c r="N82" i="39"/>
  <c r="L82" i="39"/>
  <c r="B82" i="39"/>
  <c r="Z81" i="39"/>
  <c r="X81" i="39"/>
  <c r="N81" i="39"/>
  <c r="L81" i="39"/>
  <c r="B81" i="39"/>
  <c r="Z80" i="39"/>
  <c r="X80" i="39"/>
  <c r="N80" i="39"/>
  <c r="L80" i="39"/>
  <c r="B80" i="39"/>
  <c r="Z79" i="39"/>
  <c r="X79" i="39"/>
  <c r="T79" i="39"/>
  <c r="P79" i="39"/>
  <c r="H79" i="39"/>
  <c r="D79" i="39"/>
  <c r="B79" i="39"/>
  <c r="X78" i="39"/>
  <c r="Z78" i="39" s="1"/>
  <c r="R78" i="39"/>
  <c r="N78" i="39"/>
  <c r="L78" i="39"/>
  <c r="B78" i="39"/>
  <c r="T77" i="39"/>
  <c r="Z77" i="39" s="1"/>
  <c r="P77" i="39"/>
  <c r="X77" i="39" s="1"/>
  <c r="H77" i="39"/>
  <c r="D77" i="39"/>
  <c r="L77" i="39" s="1"/>
  <c r="N77" i="39" s="1"/>
  <c r="B77" i="39"/>
  <c r="X76" i="39"/>
  <c r="Z76" i="39" s="1"/>
  <c r="L76" i="39"/>
  <c r="N76" i="39" s="1"/>
  <c r="B76" i="39"/>
  <c r="Z75" i="39"/>
  <c r="X75" i="39"/>
  <c r="N75" i="39"/>
  <c r="L75" i="39"/>
  <c r="B75" i="39"/>
  <c r="X74" i="39"/>
  <c r="Z74" i="39" s="1"/>
  <c r="N74" i="39"/>
  <c r="L74" i="39"/>
  <c r="B74" i="39"/>
  <c r="Z73" i="39"/>
  <c r="X73" i="39"/>
  <c r="N73" i="39"/>
  <c r="L73" i="39"/>
  <c r="B73" i="39"/>
  <c r="X72" i="39"/>
  <c r="Z72" i="39" s="1"/>
  <c r="L72" i="39"/>
  <c r="N72" i="39" s="1"/>
  <c r="B72" i="39"/>
  <c r="X71" i="39"/>
  <c r="Z71" i="39" s="1"/>
  <c r="T71" i="39"/>
  <c r="P71" i="39"/>
  <c r="H71" i="39"/>
  <c r="D71" i="39"/>
  <c r="L71" i="39" s="1"/>
  <c r="B71" i="39"/>
  <c r="Z70" i="39"/>
  <c r="X70" i="39"/>
  <c r="N70" i="39"/>
  <c r="L70" i="39"/>
  <c r="B70" i="39"/>
  <c r="T69" i="39"/>
  <c r="Z69" i="39" s="1"/>
  <c r="P69" i="39"/>
  <c r="N69" i="39"/>
  <c r="H69" i="39"/>
  <c r="D69" i="39"/>
  <c r="L69" i="39" s="1"/>
  <c r="B69" i="39"/>
  <c r="X68" i="39"/>
  <c r="Z68" i="39" s="1"/>
  <c r="L68" i="39"/>
  <c r="N68" i="39" s="1"/>
  <c r="B68" i="39"/>
  <c r="Z67" i="39"/>
  <c r="X67" i="39"/>
  <c r="N67" i="39"/>
  <c r="L67" i="39"/>
  <c r="B67" i="39"/>
  <c r="T66" i="39"/>
  <c r="P66" i="39"/>
  <c r="H66" i="39"/>
  <c r="N66" i="39" s="1"/>
  <c r="D66" i="39"/>
  <c r="L66" i="39" s="1"/>
  <c r="B66" i="39"/>
  <c r="Z65" i="39"/>
  <c r="X65" i="39"/>
  <c r="N65" i="39"/>
  <c r="L65" i="39"/>
  <c r="B65" i="39"/>
  <c r="T64" i="39"/>
  <c r="Z64" i="39" s="1"/>
  <c r="P64" i="39"/>
  <c r="X64" i="39" s="1"/>
  <c r="N64" i="39"/>
  <c r="L64" i="39"/>
  <c r="H64" i="39"/>
  <c r="D64" i="39"/>
  <c r="B64" i="39"/>
  <c r="X63" i="39"/>
  <c r="Z63" i="39" s="1"/>
  <c r="N63" i="39"/>
  <c r="L63" i="39"/>
  <c r="B63" i="39"/>
  <c r="X62" i="39"/>
  <c r="Z62" i="39" s="1"/>
  <c r="T62" i="39"/>
  <c r="P62" i="39"/>
  <c r="J62" i="39"/>
  <c r="H62" i="39"/>
  <c r="D62" i="39"/>
  <c r="B62" i="39"/>
  <c r="Z61" i="39"/>
  <c r="X61" i="39"/>
  <c r="N61" i="39"/>
  <c r="L61" i="39"/>
  <c r="B61" i="39"/>
  <c r="T60" i="39"/>
  <c r="X60" i="39" s="1"/>
  <c r="P60" i="39"/>
  <c r="H60" i="39"/>
  <c r="D60" i="39"/>
  <c r="L60" i="39" s="1"/>
  <c r="B60" i="39"/>
  <c r="Z59" i="39"/>
  <c r="X59" i="39"/>
  <c r="L59" i="39"/>
  <c r="N59" i="39" s="1"/>
  <c r="B59" i="39"/>
  <c r="T58" i="39"/>
  <c r="P58" i="39"/>
  <c r="H58" i="39"/>
  <c r="N58" i="39" s="1"/>
  <c r="D58" i="39"/>
  <c r="L58" i="39" s="1"/>
  <c r="B58" i="39"/>
  <c r="Z57" i="39"/>
  <c r="X57" i="39"/>
  <c r="N57" i="39"/>
  <c r="L57" i="39"/>
  <c r="B57" i="39"/>
  <c r="T56" i="39"/>
  <c r="P56" i="39"/>
  <c r="X56" i="39" s="1"/>
  <c r="N56" i="39"/>
  <c r="L56" i="39"/>
  <c r="H56" i="39"/>
  <c r="D56" i="39"/>
  <c r="B56" i="39"/>
  <c r="Z55" i="39"/>
  <c r="X55" i="39"/>
  <c r="N55" i="39"/>
  <c r="L55" i="39"/>
  <c r="B55" i="39"/>
  <c r="Z54" i="39"/>
  <c r="X54" i="39"/>
  <c r="N54" i="39"/>
  <c r="L54" i="39"/>
  <c r="B54" i="39"/>
  <c r="Z53" i="39"/>
  <c r="X53" i="39"/>
  <c r="T53" i="39"/>
  <c r="P53" i="39"/>
  <c r="N53" i="39"/>
  <c r="L53" i="39"/>
  <c r="H53" i="39"/>
  <c r="D53" i="39"/>
  <c r="B53" i="39"/>
  <c r="X52" i="39"/>
  <c r="Z52" i="39" s="1"/>
  <c r="L52" i="39"/>
  <c r="N52" i="39" s="1"/>
  <c r="B52" i="39"/>
  <c r="Z51" i="39"/>
  <c r="X51" i="39"/>
  <c r="T51" i="39"/>
  <c r="P51" i="39"/>
  <c r="H51" i="39"/>
  <c r="D51" i="39"/>
  <c r="L51" i="39" s="1"/>
  <c r="B51" i="39"/>
  <c r="X50" i="39"/>
  <c r="Z50" i="39" s="1"/>
  <c r="N50" i="39"/>
  <c r="L50" i="39"/>
  <c r="B50" i="39"/>
  <c r="T49" i="39"/>
  <c r="Z49" i="39" s="1"/>
  <c r="P49" i="39"/>
  <c r="X49" i="39" s="1"/>
  <c r="H49" i="39"/>
  <c r="D49" i="39"/>
  <c r="L49" i="39" s="1"/>
  <c r="N49" i="39" s="1"/>
  <c r="B49" i="39"/>
  <c r="Z48" i="39"/>
  <c r="X48" i="39"/>
  <c r="N48" i="39"/>
  <c r="L48" i="39"/>
  <c r="B48" i="39"/>
  <c r="Z47" i="39"/>
  <c r="T47" i="39"/>
  <c r="P47" i="39"/>
  <c r="X47" i="39" s="1"/>
  <c r="N47" i="39"/>
  <c r="L47" i="39"/>
  <c r="H47" i="39"/>
  <c r="D47" i="39"/>
  <c r="B47" i="39"/>
  <c r="Z46" i="39"/>
  <c r="X46" i="39"/>
  <c r="N46" i="39"/>
  <c r="L46" i="39"/>
  <c r="B46" i="39"/>
  <c r="Z45" i="39"/>
  <c r="X45" i="39"/>
  <c r="N45" i="39"/>
  <c r="L45" i="39"/>
  <c r="J45" i="39"/>
  <c r="B45" i="39"/>
  <c r="Z44" i="39"/>
  <c r="X44" i="39"/>
  <c r="N44" i="39"/>
  <c r="L44" i="39"/>
  <c r="J44" i="39"/>
  <c r="B44" i="39"/>
  <c r="Z43" i="39"/>
  <c r="X43" i="39"/>
  <c r="N43" i="39"/>
  <c r="L43" i="39"/>
  <c r="J43" i="39"/>
  <c r="B43" i="39"/>
  <c r="Z42" i="39"/>
  <c r="X42" i="39"/>
  <c r="N42" i="39"/>
  <c r="L42" i="39"/>
  <c r="B42" i="39"/>
  <c r="Z41" i="39"/>
  <c r="X41" i="39"/>
  <c r="N41" i="39"/>
  <c r="L41" i="39"/>
  <c r="B41" i="39"/>
  <c r="X40" i="39"/>
  <c r="Z40" i="39" s="1"/>
  <c r="L40" i="39"/>
  <c r="N40" i="39" s="1"/>
  <c r="B40" i="39"/>
  <c r="Z39" i="39"/>
  <c r="X39" i="39"/>
  <c r="N39" i="39"/>
  <c r="L39" i="39"/>
  <c r="B39" i="39"/>
  <c r="Z38" i="39"/>
  <c r="X38" i="39"/>
  <c r="L38" i="39"/>
  <c r="N38" i="39" s="1"/>
  <c r="B38" i="39"/>
  <c r="Z37" i="39"/>
  <c r="X37" i="39"/>
  <c r="N37" i="39"/>
  <c r="L37" i="39"/>
  <c r="J37" i="39"/>
  <c r="B37" i="39"/>
  <c r="T36" i="39"/>
  <c r="P36" i="39"/>
  <c r="X36" i="39" s="1"/>
  <c r="H36" i="39"/>
  <c r="L36" i="39" s="1"/>
  <c r="D36" i="39"/>
  <c r="B36" i="39"/>
  <c r="Z35" i="39"/>
  <c r="X35" i="39"/>
  <c r="N35" i="39"/>
  <c r="L35" i="39"/>
  <c r="J35" i="39"/>
  <c r="B35" i="39"/>
  <c r="X34" i="39"/>
  <c r="Z34" i="39" s="1"/>
  <c r="L34" i="39"/>
  <c r="N34" i="39" s="1"/>
  <c r="B34" i="39"/>
  <c r="Z33" i="39"/>
  <c r="X33" i="39"/>
  <c r="N33" i="39"/>
  <c r="L33" i="39"/>
  <c r="J33" i="39"/>
  <c r="B33" i="39"/>
  <c r="Z32" i="39"/>
  <c r="X32" i="39"/>
  <c r="N32" i="39"/>
  <c r="L32" i="39"/>
  <c r="J32" i="39"/>
  <c r="B32" i="39"/>
  <c r="Z31" i="39"/>
  <c r="X31" i="39"/>
  <c r="N31" i="39"/>
  <c r="L31" i="39"/>
  <c r="J31" i="39"/>
  <c r="B31" i="39"/>
  <c r="X30" i="39"/>
  <c r="Z30" i="39" s="1"/>
  <c r="N30" i="39"/>
  <c r="L30" i="39"/>
  <c r="B30" i="39"/>
  <c r="Z29" i="39"/>
  <c r="X29" i="39"/>
  <c r="V29" i="39"/>
  <c r="N29" i="39"/>
  <c r="L29" i="39"/>
  <c r="B29" i="39"/>
  <c r="X28" i="39"/>
  <c r="Z28" i="39" s="1"/>
  <c r="L28" i="39"/>
  <c r="N28" i="39" s="1"/>
  <c r="B28" i="39"/>
  <c r="Z27" i="39"/>
  <c r="X27" i="39"/>
  <c r="N27" i="39"/>
  <c r="L27" i="39"/>
  <c r="J27" i="39"/>
  <c r="B27" i="39"/>
  <c r="T26" i="39"/>
  <c r="P26" i="39"/>
  <c r="X26" i="39" s="1"/>
  <c r="J26" i="39"/>
  <c r="H26" i="39"/>
  <c r="D26" i="39"/>
  <c r="L26" i="39" s="1"/>
  <c r="B26" i="39"/>
  <c r="T25" i="39"/>
  <c r="Z25" i="39" s="1"/>
  <c r="P25" i="39"/>
  <c r="X25" i="39" s="1"/>
  <c r="H25" i="39"/>
  <c r="D25" i="39"/>
  <c r="L25" i="39" s="1"/>
  <c r="N25" i="39" s="1"/>
  <c r="H23" i="39"/>
  <c r="Z21" i="39"/>
  <c r="X21" i="39"/>
  <c r="N21" i="39"/>
  <c r="L21" i="39"/>
  <c r="J21" i="39"/>
  <c r="B21" i="39"/>
  <c r="Z20" i="39"/>
  <c r="X20" i="39"/>
  <c r="V20" i="39"/>
  <c r="N20" i="39"/>
  <c r="L20" i="39"/>
  <c r="B20" i="39"/>
  <c r="X19" i="39"/>
  <c r="Z19" i="39" s="1"/>
  <c r="N19" i="39"/>
  <c r="L19" i="39"/>
  <c r="B19" i="39"/>
  <c r="Z18" i="39"/>
  <c r="T18" i="39"/>
  <c r="X18" i="39" s="1"/>
  <c r="P18" i="39"/>
  <c r="J18" i="39"/>
  <c r="H18" i="39"/>
  <c r="D18" i="39"/>
  <c r="L18" i="39" s="1"/>
  <c r="N18" i="39" s="1"/>
  <c r="Z16" i="39"/>
  <c r="P16" i="39"/>
  <c r="X16" i="39" s="1"/>
  <c r="N16" i="39"/>
  <c r="L16" i="39"/>
  <c r="D16" i="39"/>
  <c r="B16" i="39"/>
  <c r="Z15" i="39"/>
  <c r="X15" i="39"/>
  <c r="P15" i="39"/>
  <c r="D15" i="39"/>
  <c r="L15" i="39" s="1"/>
  <c r="N15" i="39" s="1"/>
  <c r="B15" i="39"/>
  <c r="Z14" i="39"/>
  <c r="X14" i="39"/>
  <c r="P14" i="39"/>
  <c r="N14" i="39"/>
  <c r="L14" i="39"/>
  <c r="D14" i="39"/>
  <c r="B14" i="39"/>
  <c r="P13" i="39"/>
  <c r="X13" i="39" s="1"/>
  <c r="Z13" i="39" s="1"/>
  <c r="D13" i="39"/>
  <c r="B13" i="39"/>
  <c r="T12" i="39"/>
  <c r="P12" i="39"/>
  <c r="R82" i="39" s="1"/>
  <c r="H12" i="39"/>
  <c r="J48" i="39" s="1"/>
  <c r="D4" i="39"/>
  <c r="B39" i="38"/>
  <c r="B38" i="38"/>
  <c r="T34" i="38"/>
  <c r="Z34" i="38" s="1"/>
  <c r="P34" i="38"/>
  <c r="H34" i="38"/>
  <c r="N34" i="38" s="1"/>
  <c r="D34" i="38"/>
  <c r="T33" i="38"/>
  <c r="Z33" i="38" s="1"/>
  <c r="P33" i="38"/>
  <c r="H33" i="38"/>
  <c r="N33" i="38" s="1"/>
  <c r="D33" i="38"/>
  <c r="T29" i="38"/>
  <c r="Z29" i="38" s="1"/>
  <c r="P29" i="38"/>
  <c r="H29" i="38"/>
  <c r="N29" i="38" s="1"/>
  <c r="D29" i="38"/>
  <c r="T25" i="38"/>
  <c r="Z25" i="38" s="1"/>
  <c r="P25" i="38"/>
  <c r="H25" i="38"/>
  <c r="N25" i="38" s="1"/>
  <c r="D25" i="38"/>
  <c r="B25" i="38"/>
  <c r="T24" i="38"/>
  <c r="P24" i="38"/>
  <c r="H24" i="38"/>
  <c r="N24" i="38" s="1"/>
  <c r="D24" i="38"/>
  <c r="T22" i="38"/>
  <c r="Z22" i="38" s="1"/>
  <c r="P22" i="38"/>
  <c r="H22" i="38"/>
  <c r="N22" i="38" s="1"/>
  <c r="D22" i="38"/>
  <c r="B22" i="38"/>
  <c r="T21" i="38"/>
  <c r="P21" i="38"/>
  <c r="H21" i="38"/>
  <c r="D21" i="38"/>
  <c r="B21" i="38"/>
  <c r="T20" i="38"/>
  <c r="Z20" i="38" s="1"/>
  <c r="P20" i="38"/>
  <c r="H20" i="38"/>
  <c r="N20" i="38" s="1"/>
  <c r="D20" i="38"/>
  <c r="T16" i="38"/>
  <c r="Z16" i="38" s="1"/>
  <c r="P16" i="38"/>
  <c r="H16" i="38"/>
  <c r="N16" i="38" s="1"/>
  <c r="D16" i="38"/>
  <c r="B16" i="38"/>
  <c r="T15" i="38"/>
  <c r="Z15" i="38" s="1"/>
  <c r="P15" i="38"/>
  <c r="H15" i="38"/>
  <c r="N15" i="38" s="1"/>
  <c r="D15" i="38"/>
  <c r="T13" i="38"/>
  <c r="P13" i="38"/>
  <c r="H13" i="38"/>
  <c r="N13" i="38" s="1"/>
  <c r="D13" i="38"/>
  <c r="B13" i="38"/>
  <c r="T12" i="38"/>
  <c r="V16" i="38" s="1"/>
  <c r="P12" i="38"/>
  <c r="R20" i="38" s="1"/>
  <c r="H12" i="38"/>
  <c r="J20" i="38" s="1"/>
  <c r="D12" i="38"/>
  <c r="F34" i="38" s="1"/>
  <c r="D5" i="38"/>
  <c r="D4" i="38"/>
  <c r="B39" i="37"/>
  <c r="B38" i="37"/>
  <c r="T34" i="37"/>
  <c r="P34" i="37"/>
  <c r="H34" i="37"/>
  <c r="N34" i="37" s="1"/>
  <c r="D34" i="37"/>
  <c r="T33" i="37"/>
  <c r="Z33" i="37" s="1"/>
  <c r="P33" i="37"/>
  <c r="H33" i="37"/>
  <c r="N33" i="37" s="1"/>
  <c r="D33" i="37"/>
  <c r="T29" i="37"/>
  <c r="Z29" i="37" s="1"/>
  <c r="P29" i="37"/>
  <c r="H29" i="37"/>
  <c r="N29" i="37" s="1"/>
  <c r="D29" i="37"/>
  <c r="T25" i="37"/>
  <c r="Z25" i="37" s="1"/>
  <c r="P25" i="37"/>
  <c r="H25" i="37"/>
  <c r="D25" i="37"/>
  <c r="B25" i="37"/>
  <c r="T24" i="37"/>
  <c r="Z24" i="37" s="1"/>
  <c r="P24" i="37"/>
  <c r="H24" i="37"/>
  <c r="D24" i="37"/>
  <c r="T22" i="37"/>
  <c r="Z22" i="37" s="1"/>
  <c r="P22" i="37"/>
  <c r="H22" i="37"/>
  <c r="N22" i="37" s="1"/>
  <c r="D22" i="37"/>
  <c r="B22" i="37"/>
  <c r="T21" i="37"/>
  <c r="Z21" i="37" s="1"/>
  <c r="P21" i="37"/>
  <c r="H21" i="37"/>
  <c r="D21" i="37"/>
  <c r="B21" i="37"/>
  <c r="T20" i="37"/>
  <c r="Z20" i="37" s="1"/>
  <c r="P20" i="37"/>
  <c r="H20" i="37"/>
  <c r="N20" i="37" s="1"/>
  <c r="D20" i="37"/>
  <c r="T16" i="37"/>
  <c r="Z16" i="37" s="1"/>
  <c r="P16" i="37"/>
  <c r="H16" i="37"/>
  <c r="N16" i="37" s="1"/>
  <c r="D16" i="37"/>
  <c r="B16" i="37"/>
  <c r="T15" i="37"/>
  <c r="Z15" i="37" s="1"/>
  <c r="P15" i="37"/>
  <c r="H15" i="37"/>
  <c r="N15" i="37" s="1"/>
  <c r="D15" i="37"/>
  <c r="T13" i="37"/>
  <c r="Z13" i="37" s="1"/>
  <c r="P13" i="37"/>
  <c r="H13" i="37"/>
  <c r="N13" i="37" s="1"/>
  <c r="D13" i="37"/>
  <c r="B13" i="37"/>
  <c r="T12" i="37"/>
  <c r="P12" i="37"/>
  <c r="R18" i="37" s="1"/>
  <c r="H12" i="37"/>
  <c r="J18" i="37" s="1"/>
  <c r="D12" i="37"/>
  <c r="F31" i="37" s="1"/>
  <c r="D5" i="37"/>
  <c r="D4" i="37"/>
  <c r="Z109" i="36"/>
  <c r="X109" i="36"/>
  <c r="L109" i="36"/>
  <c r="N109" i="36" s="1"/>
  <c r="Z105" i="36"/>
  <c r="X105" i="36"/>
  <c r="P105" i="36"/>
  <c r="N105" i="36"/>
  <c r="D105" i="36"/>
  <c r="L105" i="36" s="1"/>
  <c r="B105" i="36"/>
  <c r="Z104" i="36"/>
  <c r="X104" i="36"/>
  <c r="P104" i="36"/>
  <c r="N104" i="36"/>
  <c r="D104" i="36"/>
  <c r="L104" i="36" s="1"/>
  <c r="B104" i="36"/>
  <c r="T103" i="36"/>
  <c r="Z103" i="36" s="1"/>
  <c r="P103" i="36"/>
  <c r="N103" i="36"/>
  <c r="H103" i="36"/>
  <c r="X101" i="36"/>
  <c r="Z101" i="36" s="1"/>
  <c r="L101" i="36"/>
  <c r="N101" i="36" s="1"/>
  <c r="B101" i="36"/>
  <c r="Z100" i="36"/>
  <c r="X100" i="36"/>
  <c r="T100" i="36"/>
  <c r="P100" i="36"/>
  <c r="J100" i="36"/>
  <c r="H100" i="36"/>
  <c r="L100" i="36" s="1"/>
  <c r="D100" i="36"/>
  <c r="B100" i="36"/>
  <c r="X99" i="36"/>
  <c r="Z99" i="36" s="1"/>
  <c r="N99" i="36"/>
  <c r="L99" i="36"/>
  <c r="B99" i="36"/>
  <c r="Z98" i="36"/>
  <c r="T98" i="36"/>
  <c r="X98" i="36" s="1"/>
  <c r="P98" i="36"/>
  <c r="H98" i="36"/>
  <c r="D98" i="36"/>
  <c r="L98" i="36" s="1"/>
  <c r="N98" i="36" s="1"/>
  <c r="B98" i="36"/>
  <c r="X97" i="36"/>
  <c r="Z97" i="36" s="1"/>
  <c r="L97" i="36"/>
  <c r="N97" i="36" s="1"/>
  <c r="B97" i="36"/>
  <c r="Z96" i="36"/>
  <c r="X96" i="36"/>
  <c r="V96" i="36"/>
  <c r="L96" i="36"/>
  <c r="N96" i="36" s="1"/>
  <c r="B96" i="36"/>
  <c r="T95" i="36"/>
  <c r="P95" i="36"/>
  <c r="H95" i="36"/>
  <c r="D95" i="36"/>
  <c r="B95" i="36"/>
  <c r="Z94" i="36"/>
  <c r="X94" i="36"/>
  <c r="N94" i="36"/>
  <c r="L94" i="36"/>
  <c r="J94" i="36"/>
  <c r="B94" i="36"/>
  <c r="X93" i="36"/>
  <c r="Z93" i="36" s="1"/>
  <c r="L93" i="36"/>
  <c r="N93" i="36" s="1"/>
  <c r="B93" i="36"/>
  <c r="Z92" i="36"/>
  <c r="X92" i="36"/>
  <c r="N92" i="36"/>
  <c r="L92" i="36"/>
  <c r="B92" i="36"/>
  <c r="X91" i="36"/>
  <c r="Z91" i="36" s="1"/>
  <c r="N91" i="36"/>
  <c r="L91" i="36"/>
  <c r="B91" i="36"/>
  <c r="Z90" i="36"/>
  <c r="X90" i="36"/>
  <c r="N90" i="36"/>
  <c r="L90" i="36"/>
  <c r="B90" i="36"/>
  <c r="X89" i="36"/>
  <c r="Z89" i="36" s="1"/>
  <c r="L89" i="36"/>
  <c r="N89" i="36" s="1"/>
  <c r="B89" i="36"/>
  <c r="X88" i="36"/>
  <c r="Z88" i="36" s="1"/>
  <c r="N88" i="36"/>
  <c r="L88" i="36"/>
  <c r="B88" i="36"/>
  <c r="Z87" i="36"/>
  <c r="X87" i="36"/>
  <c r="L87" i="36"/>
  <c r="N87" i="36" s="1"/>
  <c r="B87" i="36"/>
  <c r="Z86" i="36"/>
  <c r="X86" i="36"/>
  <c r="N86" i="36"/>
  <c r="L86" i="36"/>
  <c r="B86" i="36"/>
  <c r="T85" i="36"/>
  <c r="P85" i="36"/>
  <c r="N85" i="36"/>
  <c r="H85" i="36"/>
  <c r="D85" i="36"/>
  <c r="L85" i="36" s="1"/>
  <c r="B85" i="36"/>
  <c r="X84" i="36"/>
  <c r="Z84" i="36" s="1"/>
  <c r="N84" i="36"/>
  <c r="L84" i="36"/>
  <c r="B84" i="36"/>
  <c r="T83" i="36"/>
  <c r="P83" i="36"/>
  <c r="X83" i="36" s="1"/>
  <c r="Z83" i="36" s="1"/>
  <c r="L83" i="36"/>
  <c r="N83" i="36" s="1"/>
  <c r="H83" i="36"/>
  <c r="D83" i="36"/>
  <c r="B83" i="36"/>
  <c r="Z82" i="36"/>
  <c r="X82" i="36"/>
  <c r="N82" i="36"/>
  <c r="L82" i="36"/>
  <c r="B82" i="36"/>
  <c r="X81" i="36"/>
  <c r="Z81" i="36" s="1"/>
  <c r="L81" i="36"/>
  <c r="N81" i="36" s="1"/>
  <c r="B81" i="36"/>
  <c r="Z80" i="36"/>
  <c r="X80" i="36"/>
  <c r="N80" i="36"/>
  <c r="L80" i="36"/>
  <c r="B80" i="36"/>
  <c r="Z79" i="36"/>
  <c r="X79" i="36"/>
  <c r="L79" i="36"/>
  <c r="N79" i="36" s="1"/>
  <c r="B79" i="36"/>
  <c r="Z78" i="36"/>
  <c r="X78" i="36"/>
  <c r="N78" i="36"/>
  <c r="L78" i="36"/>
  <c r="B78" i="36"/>
  <c r="T77" i="36"/>
  <c r="P77" i="36"/>
  <c r="H77" i="36"/>
  <c r="D77" i="36"/>
  <c r="L77" i="36" s="1"/>
  <c r="N77" i="36" s="1"/>
  <c r="B77" i="36"/>
  <c r="Z76" i="36"/>
  <c r="X76" i="36"/>
  <c r="N76" i="36"/>
  <c r="L76" i="36"/>
  <c r="B76" i="36"/>
  <c r="Z75" i="36"/>
  <c r="X75" i="36"/>
  <c r="L75" i="36"/>
  <c r="N75" i="36" s="1"/>
  <c r="B75" i="36"/>
  <c r="Z74" i="36"/>
  <c r="X74" i="36"/>
  <c r="N74" i="36"/>
  <c r="L74" i="36"/>
  <c r="B74" i="36"/>
  <c r="T73" i="36"/>
  <c r="P73" i="36"/>
  <c r="H73" i="36"/>
  <c r="D73" i="36"/>
  <c r="L73" i="36" s="1"/>
  <c r="N73" i="36" s="1"/>
  <c r="B73" i="36"/>
  <c r="Z72" i="36"/>
  <c r="X72" i="36"/>
  <c r="N72" i="36"/>
  <c r="L72" i="36"/>
  <c r="B72" i="36"/>
  <c r="T71" i="36"/>
  <c r="P71" i="36"/>
  <c r="X71" i="36" s="1"/>
  <c r="Z71" i="36" s="1"/>
  <c r="L71" i="36"/>
  <c r="N71" i="36" s="1"/>
  <c r="H71" i="36"/>
  <c r="D71" i="36"/>
  <c r="B71" i="36"/>
  <c r="Z70" i="36"/>
  <c r="X70" i="36"/>
  <c r="V70" i="36"/>
  <c r="N70" i="36"/>
  <c r="L70" i="36"/>
  <c r="B70" i="36"/>
  <c r="X69" i="36"/>
  <c r="T69" i="36"/>
  <c r="Z69" i="36" s="1"/>
  <c r="P69" i="36"/>
  <c r="H69" i="36"/>
  <c r="N69" i="36" s="1"/>
  <c r="D69" i="36"/>
  <c r="B69" i="36"/>
  <c r="Z68" i="36"/>
  <c r="X68" i="36"/>
  <c r="V68" i="36"/>
  <c r="L68" i="36"/>
  <c r="N68" i="36" s="1"/>
  <c r="B68" i="36"/>
  <c r="T67" i="36"/>
  <c r="P67" i="36"/>
  <c r="H67" i="36"/>
  <c r="D67" i="36"/>
  <c r="B67" i="36"/>
  <c r="Z66" i="36"/>
  <c r="X66" i="36"/>
  <c r="N66" i="36"/>
  <c r="L66" i="36"/>
  <c r="B66" i="36"/>
  <c r="T65" i="36"/>
  <c r="P65" i="36"/>
  <c r="H65" i="36"/>
  <c r="D65" i="36"/>
  <c r="L65" i="36" s="1"/>
  <c r="N65" i="36" s="1"/>
  <c r="B65" i="36"/>
  <c r="Z64" i="36"/>
  <c r="X64" i="36"/>
  <c r="N64" i="36"/>
  <c r="L64" i="36"/>
  <c r="B64" i="36"/>
  <c r="T63" i="36"/>
  <c r="P63" i="36"/>
  <c r="X63" i="36" s="1"/>
  <c r="Z63" i="36" s="1"/>
  <c r="L63" i="36"/>
  <c r="H63" i="36"/>
  <c r="N63" i="36" s="1"/>
  <c r="D63" i="36"/>
  <c r="B63" i="36"/>
  <c r="Z62" i="36"/>
  <c r="X62" i="36"/>
  <c r="V62" i="36"/>
  <c r="N62" i="36"/>
  <c r="L62" i="36"/>
  <c r="B62" i="36"/>
  <c r="X61" i="36"/>
  <c r="T61" i="36"/>
  <c r="Z61" i="36" s="1"/>
  <c r="P61" i="36"/>
  <c r="H61" i="36"/>
  <c r="L61" i="36" s="1"/>
  <c r="D61" i="36"/>
  <c r="B61" i="36"/>
  <c r="Z60" i="36"/>
  <c r="X60" i="36"/>
  <c r="V60" i="36"/>
  <c r="L60" i="36"/>
  <c r="N60" i="36" s="1"/>
  <c r="B60" i="36"/>
  <c r="T59" i="36"/>
  <c r="P59" i="36"/>
  <c r="H59" i="36"/>
  <c r="D59" i="36"/>
  <c r="B59" i="36"/>
  <c r="Z58" i="36"/>
  <c r="X58" i="36"/>
  <c r="N58" i="36"/>
  <c r="L58" i="36"/>
  <c r="B58" i="36"/>
  <c r="Z57" i="36"/>
  <c r="X57" i="36"/>
  <c r="N57" i="36"/>
  <c r="L57" i="36"/>
  <c r="B57" i="36"/>
  <c r="T56" i="36"/>
  <c r="P56" i="36"/>
  <c r="X56" i="36" s="1"/>
  <c r="Z56" i="36" s="1"/>
  <c r="H56" i="36"/>
  <c r="D56" i="36"/>
  <c r="L56" i="36" s="1"/>
  <c r="N56" i="36" s="1"/>
  <c r="B56" i="36"/>
  <c r="Z55" i="36"/>
  <c r="X55" i="36"/>
  <c r="L55" i="36"/>
  <c r="N55" i="36" s="1"/>
  <c r="B55" i="36"/>
  <c r="T54" i="36"/>
  <c r="P54" i="36"/>
  <c r="X54" i="36" s="1"/>
  <c r="Z54" i="36" s="1"/>
  <c r="N54" i="36"/>
  <c r="L54" i="36"/>
  <c r="H54" i="36"/>
  <c r="D54" i="36"/>
  <c r="B54" i="36"/>
  <c r="X53" i="36"/>
  <c r="Z53" i="36" s="1"/>
  <c r="L53" i="36"/>
  <c r="N53" i="36" s="1"/>
  <c r="B53" i="36"/>
  <c r="Z52" i="36"/>
  <c r="X52" i="36"/>
  <c r="T52" i="36"/>
  <c r="P52" i="36"/>
  <c r="H52" i="36"/>
  <c r="D52" i="36"/>
  <c r="B52" i="36"/>
  <c r="X51" i="36"/>
  <c r="Z51" i="36" s="1"/>
  <c r="N51" i="36"/>
  <c r="L51" i="36"/>
  <c r="B51" i="36"/>
  <c r="Z50" i="36"/>
  <c r="T50" i="36"/>
  <c r="X50" i="36" s="1"/>
  <c r="P50" i="36"/>
  <c r="H50" i="36"/>
  <c r="D50" i="36"/>
  <c r="L50" i="36" s="1"/>
  <c r="N50" i="36" s="1"/>
  <c r="B50" i="36"/>
  <c r="Z49" i="36"/>
  <c r="X49" i="36"/>
  <c r="N49" i="36"/>
  <c r="L49" i="36"/>
  <c r="J49" i="36"/>
  <c r="B49" i="36"/>
  <c r="Z48" i="36"/>
  <c r="X48" i="36"/>
  <c r="N48" i="36"/>
  <c r="L48" i="36"/>
  <c r="B48" i="36"/>
  <c r="Z47" i="36"/>
  <c r="X47" i="36"/>
  <c r="N47" i="36"/>
  <c r="L47" i="36"/>
  <c r="B47" i="36"/>
  <c r="Z46" i="36"/>
  <c r="X46" i="36"/>
  <c r="V46" i="36"/>
  <c r="N46" i="36"/>
  <c r="L46" i="36"/>
  <c r="B46" i="36"/>
  <c r="Z45" i="36"/>
  <c r="X45" i="36"/>
  <c r="V45" i="36"/>
  <c r="N45" i="36"/>
  <c r="L45" i="36"/>
  <c r="B45" i="36"/>
  <c r="X44" i="36"/>
  <c r="Z44" i="36" s="1"/>
  <c r="N44" i="36"/>
  <c r="L44" i="36"/>
  <c r="B44" i="36"/>
  <c r="Z43" i="36"/>
  <c r="X43" i="36"/>
  <c r="L43" i="36"/>
  <c r="N43" i="36" s="1"/>
  <c r="B43" i="36"/>
  <c r="Z42" i="36"/>
  <c r="X42" i="36"/>
  <c r="N42" i="36"/>
  <c r="L42" i="36"/>
  <c r="B42" i="36"/>
  <c r="X41" i="36"/>
  <c r="Z41" i="36" s="1"/>
  <c r="L41" i="36"/>
  <c r="N41" i="36" s="1"/>
  <c r="B41" i="36"/>
  <c r="Z40" i="36"/>
  <c r="X40" i="36"/>
  <c r="V40" i="36"/>
  <c r="L40" i="36"/>
  <c r="N40" i="36" s="1"/>
  <c r="B40" i="36"/>
  <c r="T39" i="36"/>
  <c r="P39" i="36"/>
  <c r="L39" i="36"/>
  <c r="H39" i="36"/>
  <c r="D39" i="36"/>
  <c r="B39" i="36"/>
  <c r="Z38" i="36"/>
  <c r="X38" i="36"/>
  <c r="N38" i="36"/>
  <c r="L38" i="36"/>
  <c r="B38" i="36"/>
  <c r="X37" i="36"/>
  <c r="Z37" i="36" s="1"/>
  <c r="L37" i="36"/>
  <c r="N37" i="36" s="1"/>
  <c r="B37" i="36"/>
  <c r="Z36" i="36"/>
  <c r="X36" i="36"/>
  <c r="L36" i="36"/>
  <c r="N36" i="36" s="1"/>
  <c r="B36" i="36"/>
  <c r="Z35" i="36"/>
  <c r="X35" i="36"/>
  <c r="N35" i="36"/>
  <c r="L35" i="36"/>
  <c r="B35" i="36"/>
  <c r="Z34" i="36"/>
  <c r="X34" i="36"/>
  <c r="V34" i="36"/>
  <c r="N34" i="36"/>
  <c r="L34" i="36"/>
  <c r="B34" i="36"/>
  <c r="X33" i="36"/>
  <c r="Z33" i="36" s="1"/>
  <c r="V33" i="36"/>
  <c r="L33" i="36"/>
  <c r="N33" i="36" s="1"/>
  <c r="B33" i="36"/>
  <c r="Z32" i="36"/>
  <c r="X32" i="36"/>
  <c r="N32" i="36"/>
  <c r="L32" i="36"/>
  <c r="B32" i="36"/>
  <c r="Z31" i="36"/>
  <c r="X31" i="36"/>
  <c r="L31" i="36"/>
  <c r="N31" i="36" s="1"/>
  <c r="B31" i="36"/>
  <c r="Z30" i="36"/>
  <c r="X30" i="36"/>
  <c r="N30" i="36"/>
  <c r="L30" i="36"/>
  <c r="B30" i="36"/>
  <c r="X29" i="36"/>
  <c r="Z29" i="36" s="1"/>
  <c r="L29" i="36"/>
  <c r="N29" i="36" s="1"/>
  <c r="B29" i="36"/>
  <c r="V28" i="36"/>
  <c r="T28" i="36"/>
  <c r="P28" i="36"/>
  <c r="X28" i="36" s="1"/>
  <c r="Z28" i="36" s="1"/>
  <c r="H28" i="36"/>
  <c r="D28" i="36"/>
  <c r="L28" i="36" s="1"/>
  <c r="N28" i="36" s="1"/>
  <c r="B28" i="36"/>
  <c r="T27" i="36"/>
  <c r="X27" i="36" s="1"/>
  <c r="P27" i="36"/>
  <c r="H27" i="36"/>
  <c r="D27" i="36"/>
  <c r="L27" i="36" s="1"/>
  <c r="Z23" i="36"/>
  <c r="X23" i="36"/>
  <c r="N23" i="36"/>
  <c r="L23" i="36"/>
  <c r="B23" i="36"/>
  <c r="Z22" i="36"/>
  <c r="X22" i="36"/>
  <c r="V22" i="36"/>
  <c r="N22" i="36"/>
  <c r="L22" i="36"/>
  <c r="B22" i="36"/>
  <c r="X21" i="36"/>
  <c r="Z21" i="36" s="1"/>
  <c r="V21" i="36"/>
  <c r="L21" i="36"/>
  <c r="N21" i="36" s="1"/>
  <c r="B21" i="36"/>
  <c r="Z20" i="36"/>
  <c r="X20" i="36"/>
  <c r="T20" i="36"/>
  <c r="P20" i="36"/>
  <c r="H20" i="36"/>
  <c r="D20" i="36"/>
  <c r="Z18" i="36"/>
  <c r="X18" i="36"/>
  <c r="P18" i="36"/>
  <c r="N18" i="36"/>
  <c r="D18" i="36"/>
  <c r="B18" i="36"/>
  <c r="Z17" i="36"/>
  <c r="X17" i="36"/>
  <c r="P17" i="36"/>
  <c r="N17" i="36"/>
  <c r="D17" i="36"/>
  <c r="L17" i="36" s="1"/>
  <c r="B17" i="36"/>
  <c r="Z16" i="36"/>
  <c r="X16" i="36"/>
  <c r="P16" i="36"/>
  <c r="L16" i="36"/>
  <c r="N16" i="36" s="1"/>
  <c r="D16" i="36"/>
  <c r="B16" i="36"/>
  <c r="Z15" i="36"/>
  <c r="X15" i="36"/>
  <c r="P15" i="36"/>
  <c r="N15" i="36"/>
  <c r="L15" i="36"/>
  <c r="D15" i="36"/>
  <c r="B15" i="36"/>
  <c r="Z14" i="36"/>
  <c r="P14" i="36"/>
  <c r="X14" i="36" s="1"/>
  <c r="N14" i="36"/>
  <c r="D14" i="36"/>
  <c r="L14" i="36" s="1"/>
  <c r="B14" i="36"/>
  <c r="P13" i="36"/>
  <c r="X13" i="36" s="1"/>
  <c r="Z13" i="36" s="1"/>
  <c r="L13" i="36"/>
  <c r="N13" i="36" s="1"/>
  <c r="D13" i="36"/>
  <c r="B13" i="36"/>
  <c r="T12" i="36"/>
  <c r="V90" i="36" s="1"/>
  <c r="H12" i="36"/>
  <c r="J78" i="36" s="1"/>
  <c r="D4" i="36"/>
  <c r="B39" i="35"/>
  <c r="B38" i="35"/>
  <c r="T34" i="35"/>
  <c r="Z34" i="35" s="1"/>
  <c r="P34" i="35"/>
  <c r="H34" i="35"/>
  <c r="N34" i="35" s="1"/>
  <c r="D34" i="35"/>
  <c r="T33" i="35"/>
  <c r="Z33" i="35" s="1"/>
  <c r="P33" i="35"/>
  <c r="H33" i="35"/>
  <c r="N33" i="35" s="1"/>
  <c r="D33" i="35"/>
  <c r="T29" i="35"/>
  <c r="Z29" i="35" s="1"/>
  <c r="P29" i="35"/>
  <c r="H29" i="35"/>
  <c r="N29" i="35" s="1"/>
  <c r="D29" i="35"/>
  <c r="T25" i="35"/>
  <c r="Z25" i="35" s="1"/>
  <c r="P25" i="35"/>
  <c r="H25" i="35"/>
  <c r="N25" i="35" s="1"/>
  <c r="D25" i="35"/>
  <c r="B25" i="35"/>
  <c r="T24" i="35"/>
  <c r="Z24" i="35" s="1"/>
  <c r="P24" i="35"/>
  <c r="H24" i="35"/>
  <c r="N24" i="35" s="1"/>
  <c r="D24" i="35"/>
  <c r="T22" i="35"/>
  <c r="Z22" i="35" s="1"/>
  <c r="P22" i="35"/>
  <c r="H22" i="35"/>
  <c r="D22" i="35"/>
  <c r="B22" i="35"/>
  <c r="T21" i="35"/>
  <c r="Z21" i="35" s="1"/>
  <c r="P21" i="35"/>
  <c r="H21" i="35"/>
  <c r="N21" i="35" s="1"/>
  <c r="D21" i="35"/>
  <c r="B21" i="35"/>
  <c r="T20" i="35"/>
  <c r="Z20" i="35" s="1"/>
  <c r="P20" i="35"/>
  <c r="H20" i="35"/>
  <c r="N20" i="35" s="1"/>
  <c r="D20" i="35"/>
  <c r="T16" i="35"/>
  <c r="Z16" i="35" s="1"/>
  <c r="P16" i="35"/>
  <c r="H16" i="35"/>
  <c r="N16" i="35" s="1"/>
  <c r="D16" i="35"/>
  <c r="B16" i="35"/>
  <c r="T15" i="35"/>
  <c r="Z15" i="35" s="1"/>
  <c r="P15" i="35"/>
  <c r="H15" i="35"/>
  <c r="D15" i="35"/>
  <c r="T13" i="35"/>
  <c r="Z13" i="35" s="1"/>
  <c r="P13" i="35"/>
  <c r="H13" i="35"/>
  <c r="D13" i="35"/>
  <c r="B13" i="35"/>
  <c r="T12" i="35"/>
  <c r="V21" i="35" s="1"/>
  <c r="P12" i="35"/>
  <c r="R34" i="35" s="1"/>
  <c r="H12" i="35"/>
  <c r="J20" i="35" s="1"/>
  <c r="D12" i="35"/>
  <c r="F20" i="35" s="1"/>
  <c r="D5" i="35"/>
  <c r="D4" i="35"/>
  <c r="B39" i="34"/>
  <c r="B38" i="34"/>
  <c r="T34" i="34"/>
  <c r="Z34" i="34" s="1"/>
  <c r="P34" i="34"/>
  <c r="H34" i="34"/>
  <c r="N34" i="34" s="1"/>
  <c r="D34" i="34"/>
  <c r="T33" i="34"/>
  <c r="Z33" i="34" s="1"/>
  <c r="P33" i="34"/>
  <c r="H33" i="34"/>
  <c r="N33" i="34" s="1"/>
  <c r="D33" i="34"/>
  <c r="T29" i="34"/>
  <c r="Z29" i="34" s="1"/>
  <c r="P29" i="34"/>
  <c r="H29" i="34"/>
  <c r="N29" i="34" s="1"/>
  <c r="D29" i="34"/>
  <c r="T25" i="34"/>
  <c r="Z25" i="34" s="1"/>
  <c r="P25" i="34"/>
  <c r="H25" i="34"/>
  <c r="N25" i="34" s="1"/>
  <c r="D25" i="34"/>
  <c r="B25" i="34"/>
  <c r="T24" i="34"/>
  <c r="Z24" i="34" s="1"/>
  <c r="P24" i="34"/>
  <c r="H24" i="34"/>
  <c r="N24" i="34" s="1"/>
  <c r="D24" i="34"/>
  <c r="T22" i="34"/>
  <c r="Z22" i="34" s="1"/>
  <c r="P22" i="34"/>
  <c r="H22" i="34"/>
  <c r="N22" i="34" s="1"/>
  <c r="D22" i="34"/>
  <c r="B22" i="34"/>
  <c r="T21" i="34"/>
  <c r="Z21" i="34" s="1"/>
  <c r="P21" i="34"/>
  <c r="H21" i="34"/>
  <c r="N21" i="34" s="1"/>
  <c r="D21" i="34"/>
  <c r="B21" i="34"/>
  <c r="T20" i="34"/>
  <c r="Z20" i="34" s="1"/>
  <c r="P20" i="34"/>
  <c r="H20" i="34"/>
  <c r="N20" i="34" s="1"/>
  <c r="D20" i="34"/>
  <c r="T16" i="34"/>
  <c r="Z16" i="34" s="1"/>
  <c r="P16" i="34"/>
  <c r="H16" i="34"/>
  <c r="N16" i="34" s="1"/>
  <c r="D16" i="34"/>
  <c r="B16" i="34"/>
  <c r="T15" i="34"/>
  <c r="Z15" i="34" s="1"/>
  <c r="P15" i="34"/>
  <c r="H15" i="34"/>
  <c r="N15" i="34" s="1"/>
  <c r="D15" i="34"/>
  <c r="T13" i="34"/>
  <c r="Z13" i="34" s="1"/>
  <c r="P13" i="34"/>
  <c r="H13" i="34"/>
  <c r="N13" i="34" s="1"/>
  <c r="D13" i="34"/>
  <c r="B13" i="34"/>
  <c r="T12" i="34"/>
  <c r="V31" i="34" s="1"/>
  <c r="P12" i="34"/>
  <c r="H12" i="34"/>
  <c r="J36" i="34" s="1"/>
  <c r="D12" i="34"/>
  <c r="F36" i="34" s="1"/>
  <c r="D5" i="34"/>
  <c r="D4" i="34"/>
  <c r="X71" i="33"/>
  <c r="Z71" i="33" s="1"/>
  <c r="N71" i="33"/>
  <c r="L71" i="33"/>
  <c r="J71" i="33"/>
  <c r="V67" i="33"/>
  <c r="R67" i="33"/>
  <c r="P67" i="33"/>
  <c r="X67" i="33" s="1"/>
  <c r="Z67" i="33" s="1"/>
  <c r="L67" i="33"/>
  <c r="N67" i="33" s="1"/>
  <c r="D67" i="33"/>
  <c r="B67" i="33"/>
  <c r="T66" i="33"/>
  <c r="P66" i="33"/>
  <c r="X66" i="33" s="1"/>
  <c r="Z66" i="33" s="1"/>
  <c r="L66" i="33"/>
  <c r="J66" i="33"/>
  <c r="H66" i="33"/>
  <c r="N66" i="33" s="1"/>
  <c r="D66" i="33"/>
  <c r="X64" i="33"/>
  <c r="Z64" i="33" s="1"/>
  <c r="R64" i="33"/>
  <c r="N64" i="33"/>
  <c r="L64" i="33"/>
  <c r="B64" i="33"/>
  <c r="V63" i="33"/>
  <c r="T63" i="33"/>
  <c r="Z63" i="33" s="1"/>
  <c r="P63" i="33"/>
  <c r="X63" i="33" s="1"/>
  <c r="H63" i="33"/>
  <c r="D63" i="33"/>
  <c r="L63" i="33" s="1"/>
  <c r="N63" i="33" s="1"/>
  <c r="B63" i="33"/>
  <c r="X62" i="33"/>
  <c r="Z62" i="33" s="1"/>
  <c r="L62" i="33"/>
  <c r="N62" i="33" s="1"/>
  <c r="J62" i="33"/>
  <c r="B62" i="33"/>
  <c r="Z61" i="33"/>
  <c r="X61" i="33"/>
  <c r="N61" i="33"/>
  <c r="L61" i="33"/>
  <c r="B61" i="33"/>
  <c r="X60" i="33"/>
  <c r="Z60" i="33" s="1"/>
  <c r="R60" i="33"/>
  <c r="N60" i="33"/>
  <c r="L60" i="33"/>
  <c r="B60" i="33"/>
  <c r="Z59" i="33"/>
  <c r="X59" i="33"/>
  <c r="V59" i="33"/>
  <c r="R59" i="33"/>
  <c r="N59" i="33"/>
  <c r="L59" i="33"/>
  <c r="B59" i="33"/>
  <c r="X58" i="33"/>
  <c r="V58" i="33"/>
  <c r="T58" i="33"/>
  <c r="P58" i="33"/>
  <c r="H58" i="33"/>
  <c r="D58" i="33"/>
  <c r="L58" i="33" s="1"/>
  <c r="B58" i="33"/>
  <c r="Z57" i="33"/>
  <c r="X57" i="33"/>
  <c r="N57" i="33"/>
  <c r="L57" i="33"/>
  <c r="B57" i="33"/>
  <c r="T56" i="33"/>
  <c r="R56" i="33"/>
  <c r="P56" i="33"/>
  <c r="H56" i="33"/>
  <c r="D56" i="33"/>
  <c r="L56" i="33" s="1"/>
  <c r="N56" i="33" s="1"/>
  <c r="B56" i="33"/>
  <c r="Z55" i="33"/>
  <c r="X55" i="33"/>
  <c r="N55" i="33"/>
  <c r="L55" i="33"/>
  <c r="J55" i="33"/>
  <c r="B55" i="33"/>
  <c r="X54" i="33"/>
  <c r="Z54" i="33" s="1"/>
  <c r="L54" i="33"/>
  <c r="N54" i="33" s="1"/>
  <c r="J54" i="33"/>
  <c r="B54" i="33"/>
  <c r="T53" i="33"/>
  <c r="R53" i="33"/>
  <c r="P53" i="33"/>
  <c r="X53" i="33" s="1"/>
  <c r="Z53" i="33" s="1"/>
  <c r="L53" i="33"/>
  <c r="N53" i="33" s="1"/>
  <c r="H53" i="33"/>
  <c r="D53" i="33"/>
  <c r="B53" i="33"/>
  <c r="Z52" i="33"/>
  <c r="X52" i="33"/>
  <c r="L52" i="33"/>
  <c r="N52" i="33" s="1"/>
  <c r="B52" i="33"/>
  <c r="X51" i="33"/>
  <c r="Z51" i="33" s="1"/>
  <c r="N51" i="33"/>
  <c r="L51" i="33"/>
  <c r="J51" i="33"/>
  <c r="B51" i="33"/>
  <c r="T50" i="33"/>
  <c r="P50" i="33"/>
  <c r="X50" i="33" s="1"/>
  <c r="Z50" i="33" s="1"/>
  <c r="H50" i="33"/>
  <c r="L50" i="33" s="1"/>
  <c r="N50" i="33" s="1"/>
  <c r="D50" i="33"/>
  <c r="B50" i="33"/>
  <c r="Z49" i="33"/>
  <c r="X49" i="33"/>
  <c r="N49" i="33"/>
  <c r="L49" i="33"/>
  <c r="B49" i="33"/>
  <c r="T48" i="33"/>
  <c r="X48" i="33" s="1"/>
  <c r="Z48" i="33" s="1"/>
  <c r="P48" i="33"/>
  <c r="L48" i="33"/>
  <c r="J48" i="33"/>
  <c r="H48" i="33"/>
  <c r="D48" i="33"/>
  <c r="B48" i="33"/>
  <c r="Z47" i="33"/>
  <c r="X47" i="33"/>
  <c r="V47" i="33"/>
  <c r="R47" i="33"/>
  <c r="L47" i="33"/>
  <c r="N47" i="33" s="1"/>
  <c r="J47" i="33"/>
  <c r="B47" i="33"/>
  <c r="X46" i="33"/>
  <c r="V46" i="33"/>
  <c r="T46" i="33"/>
  <c r="P46" i="33"/>
  <c r="H46" i="33"/>
  <c r="D46" i="33"/>
  <c r="B46" i="33"/>
  <c r="Z45" i="33"/>
  <c r="X45" i="33"/>
  <c r="N45" i="33"/>
  <c r="L45" i="33"/>
  <c r="B45" i="33"/>
  <c r="T44" i="33"/>
  <c r="R44" i="33"/>
  <c r="P44" i="33"/>
  <c r="H44" i="33"/>
  <c r="D44" i="33"/>
  <c r="L44" i="33" s="1"/>
  <c r="N44" i="33" s="1"/>
  <c r="B44" i="33"/>
  <c r="Z43" i="33"/>
  <c r="X43" i="33"/>
  <c r="N43" i="33"/>
  <c r="L43" i="33"/>
  <c r="J43" i="33"/>
  <c r="B43" i="33"/>
  <c r="Z42" i="33"/>
  <c r="X42" i="33"/>
  <c r="N42" i="33"/>
  <c r="L42" i="33"/>
  <c r="J42" i="33"/>
  <c r="B42" i="33"/>
  <c r="Z41" i="33"/>
  <c r="X41" i="33"/>
  <c r="N41" i="33"/>
  <c r="L41" i="33"/>
  <c r="B41" i="33"/>
  <c r="Z40" i="33"/>
  <c r="X40" i="33"/>
  <c r="R40" i="33"/>
  <c r="N40" i="33"/>
  <c r="L40" i="33"/>
  <c r="J40" i="33"/>
  <c r="B40" i="33"/>
  <c r="Z39" i="33"/>
  <c r="X39" i="33"/>
  <c r="V39" i="33"/>
  <c r="R39" i="33"/>
  <c r="N39" i="33"/>
  <c r="L39" i="33"/>
  <c r="J39" i="33"/>
  <c r="B39" i="33"/>
  <c r="Z38" i="33"/>
  <c r="X38" i="33"/>
  <c r="V38" i="33"/>
  <c r="N38" i="33"/>
  <c r="L38" i="33"/>
  <c r="B38" i="33"/>
  <c r="Z37" i="33"/>
  <c r="X37" i="33"/>
  <c r="N37" i="33"/>
  <c r="L37" i="33"/>
  <c r="B37" i="33"/>
  <c r="Z36" i="33"/>
  <c r="X36" i="33"/>
  <c r="N36" i="33"/>
  <c r="L36" i="33"/>
  <c r="B36" i="33"/>
  <c r="X35" i="33"/>
  <c r="Z35" i="33" s="1"/>
  <c r="N35" i="33"/>
  <c r="L35" i="33"/>
  <c r="J35" i="33"/>
  <c r="B35" i="33"/>
  <c r="Z34" i="33"/>
  <c r="X34" i="33"/>
  <c r="N34" i="33"/>
  <c r="L34" i="33"/>
  <c r="J34" i="33"/>
  <c r="B34" i="33"/>
  <c r="T33" i="33"/>
  <c r="R33" i="33"/>
  <c r="P33" i="33"/>
  <c r="X33" i="33" s="1"/>
  <c r="Z33" i="33" s="1"/>
  <c r="L33" i="33"/>
  <c r="N33" i="33" s="1"/>
  <c r="J33" i="33"/>
  <c r="H33" i="33"/>
  <c r="D33" i="33"/>
  <c r="B33" i="33"/>
  <c r="Z32" i="33"/>
  <c r="X32" i="33"/>
  <c r="L32" i="33"/>
  <c r="N32" i="33" s="1"/>
  <c r="B32" i="33"/>
  <c r="X31" i="33"/>
  <c r="Z31" i="33" s="1"/>
  <c r="N31" i="33"/>
  <c r="L31" i="33"/>
  <c r="J31" i="33"/>
  <c r="B31" i="33"/>
  <c r="X30" i="33"/>
  <c r="Z30" i="33" s="1"/>
  <c r="L30" i="33"/>
  <c r="N30" i="33" s="1"/>
  <c r="J30" i="33"/>
  <c r="B30" i="33"/>
  <c r="Z29" i="33"/>
  <c r="X29" i="33"/>
  <c r="N29" i="33"/>
  <c r="L29" i="33"/>
  <c r="J29" i="33"/>
  <c r="B29" i="33"/>
  <c r="X28" i="33"/>
  <c r="Z28" i="33" s="1"/>
  <c r="R28" i="33"/>
  <c r="N28" i="33"/>
  <c r="L28" i="33"/>
  <c r="J28" i="33"/>
  <c r="B28" i="33"/>
  <c r="Z27" i="33"/>
  <c r="X27" i="33"/>
  <c r="V27" i="33"/>
  <c r="R27" i="33"/>
  <c r="N27" i="33"/>
  <c r="L27" i="33"/>
  <c r="J27" i="33"/>
  <c r="B27" i="33"/>
  <c r="X26" i="33"/>
  <c r="Z26" i="33" s="1"/>
  <c r="V26" i="33"/>
  <c r="R26" i="33"/>
  <c r="L26" i="33"/>
  <c r="N26" i="33" s="1"/>
  <c r="B26" i="33"/>
  <c r="Z25" i="33"/>
  <c r="X25" i="33"/>
  <c r="V25" i="33"/>
  <c r="N25" i="33"/>
  <c r="L25" i="33"/>
  <c r="J25" i="33"/>
  <c r="B25" i="33"/>
  <c r="Z24" i="33"/>
  <c r="X24" i="33"/>
  <c r="L24" i="33"/>
  <c r="N24" i="33" s="1"/>
  <c r="B24" i="33"/>
  <c r="Z23" i="33"/>
  <c r="X23" i="33"/>
  <c r="T23" i="33"/>
  <c r="P23" i="33"/>
  <c r="N23" i="33"/>
  <c r="L23" i="33"/>
  <c r="J23" i="33"/>
  <c r="H23" i="33"/>
  <c r="D23" i="33"/>
  <c r="B23" i="33"/>
  <c r="T22" i="33"/>
  <c r="V22" i="33" s="1"/>
  <c r="P22" i="33"/>
  <c r="X22" i="33" s="1"/>
  <c r="H22" i="33"/>
  <c r="D22" i="33"/>
  <c r="P20" i="33"/>
  <c r="Z18" i="33"/>
  <c r="X18" i="33"/>
  <c r="V18" i="33"/>
  <c r="R18" i="33"/>
  <c r="N18" i="33"/>
  <c r="L18" i="33"/>
  <c r="B18" i="33"/>
  <c r="Z17" i="33"/>
  <c r="X17" i="33"/>
  <c r="V17" i="33"/>
  <c r="T17" i="33"/>
  <c r="P17" i="33"/>
  <c r="J17" i="33"/>
  <c r="H17" i="33"/>
  <c r="H20" i="33" s="1"/>
  <c r="D17" i="33"/>
  <c r="L17" i="33" s="1"/>
  <c r="Z15" i="33"/>
  <c r="P15" i="33"/>
  <c r="X15" i="33" s="1"/>
  <c r="N15" i="33"/>
  <c r="L15" i="33"/>
  <c r="D15" i="33"/>
  <c r="B15" i="33"/>
  <c r="Z14" i="33"/>
  <c r="X14" i="33"/>
  <c r="P14" i="33"/>
  <c r="N14" i="33"/>
  <c r="D14" i="33"/>
  <c r="B14" i="33"/>
  <c r="P13" i="33"/>
  <c r="X13" i="33" s="1"/>
  <c r="Z13" i="33" s="1"/>
  <c r="L13" i="33"/>
  <c r="N13" i="33" s="1"/>
  <c r="D13" i="33"/>
  <c r="B13" i="33"/>
  <c r="Z12" i="33"/>
  <c r="X12" i="33"/>
  <c r="T12" i="33"/>
  <c r="V66" i="33" s="1"/>
  <c r="P12" i="33"/>
  <c r="R58" i="33" s="1"/>
  <c r="H12" i="33"/>
  <c r="J64" i="33" s="1"/>
  <c r="D4" i="33"/>
  <c r="B39" i="32"/>
  <c r="B38" i="32"/>
  <c r="T34" i="32"/>
  <c r="P34" i="32"/>
  <c r="H34" i="32"/>
  <c r="N34" i="32" s="1"/>
  <c r="D34" i="32"/>
  <c r="T33" i="32"/>
  <c r="Z33" i="32" s="1"/>
  <c r="P33" i="32"/>
  <c r="H33" i="32"/>
  <c r="N33" i="32" s="1"/>
  <c r="D33" i="32"/>
  <c r="T29" i="32"/>
  <c r="Z29" i="32" s="1"/>
  <c r="P29" i="32"/>
  <c r="H29" i="32"/>
  <c r="N29" i="32" s="1"/>
  <c r="D29" i="32"/>
  <c r="T25" i="32"/>
  <c r="Z25" i="32" s="1"/>
  <c r="P25" i="32"/>
  <c r="H25" i="32"/>
  <c r="N25" i="32" s="1"/>
  <c r="D25" i="32"/>
  <c r="B25" i="32"/>
  <c r="T24" i="32"/>
  <c r="Z24" i="32" s="1"/>
  <c r="P24" i="32"/>
  <c r="H24" i="32"/>
  <c r="N24" i="32" s="1"/>
  <c r="D24" i="32"/>
  <c r="T22" i="32"/>
  <c r="Z22" i="32" s="1"/>
  <c r="P22" i="32"/>
  <c r="H22" i="32"/>
  <c r="N22" i="32" s="1"/>
  <c r="D22" i="32"/>
  <c r="B22" i="32"/>
  <c r="T21" i="32"/>
  <c r="Z21" i="32" s="1"/>
  <c r="P21" i="32"/>
  <c r="H21" i="32"/>
  <c r="N21" i="32" s="1"/>
  <c r="D21" i="32"/>
  <c r="B21" i="32"/>
  <c r="T20" i="32"/>
  <c r="Z20" i="32" s="1"/>
  <c r="P20" i="32"/>
  <c r="H20" i="32"/>
  <c r="D20" i="32"/>
  <c r="T16" i="32"/>
  <c r="Z16" i="32" s="1"/>
  <c r="P16" i="32"/>
  <c r="H16" i="32"/>
  <c r="N16" i="32" s="1"/>
  <c r="D16" i="32"/>
  <c r="B16" i="32"/>
  <c r="T15" i="32"/>
  <c r="Z15" i="32" s="1"/>
  <c r="P15" i="32"/>
  <c r="H15" i="32"/>
  <c r="N15" i="32" s="1"/>
  <c r="D15" i="32"/>
  <c r="T13" i="32"/>
  <c r="Z13" i="32" s="1"/>
  <c r="P13" i="32"/>
  <c r="H13" i="32"/>
  <c r="N13" i="32" s="1"/>
  <c r="D13" i="32"/>
  <c r="B13" i="32"/>
  <c r="T12" i="32"/>
  <c r="P12" i="32"/>
  <c r="R29" i="32" s="1"/>
  <c r="H12" i="32"/>
  <c r="J22" i="32" s="1"/>
  <c r="D12" i="32"/>
  <c r="D5" i="32"/>
  <c r="D4" i="32"/>
  <c r="B39" i="31"/>
  <c r="B38" i="31"/>
  <c r="T34" i="31"/>
  <c r="P34" i="31"/>
  <c r="H34" i="31"/>
  <c r="N34" i="31" s="1"/>
  <c r="D34" i="31"/>
  <c r="T33" i="31"/>
  <c r="Z33" i="31" s="1"/>
  <c r="P33" i="31"/>
  <c r="H33" i="31"/>
  <c r="N33" i="31" s="1"/>
  <c r="D33" i="31"/>
  <c r="T29" i="31"/>
  <c r="Z29" i="31" s="1"/>
  <c r="P29" i="31"/>
  <c r="H29" i="31"/>
  <c r="N29" i="31" s="1"/>
  <c r="D29" i="31"/>
  <c r="T25" i="31"/>
  <c r="Z25" i="31" s="1"/>
  <c r="P25" i="31"/>
  <c r="H25" i="31"/>
  <c r="N25" i="31" s="1"/>
  <c r="D25" i="31"/>
  <c r="B25" i="31"/>
  <c r="T24" i="31"/>
  <c r="Z24" i="31" s="1"/>
  <c r="P24" i="31"/>
  <c r="H24" i="31"/>
  <c r="N24" i="31" s="1"/>
  <c r="D24" i="31"/>
  <c r="T22" i="31"/>
  <c r="Z22" i="31" s="1"/>
  <c r="P22" i="31"/>
  <c r="H22" i="31"/>
  <c r="N22" i="31" s="1"/>
  <c r="D22" i="31"/>
  <c r="B22" i="31"/>
  <c r="T21" i="31"/>
  <c r="Z21" i="31" s="1"/>
  <c r="P21" i="31"/>
  <c r="H21" i="31"/>
  <c r="D21" i="31"/>
  <c r="B21" i="31"/>
  <c r="T20" i="31"/>
  <c r="Z20" i="31" s="1"/>
  <c r="P20" i="31"/>
  <c r="H20" i="31"/>
  <c r="N20" i="31" s="1"/>
  <c r="D20" i="31"/>
  <c r="T16" i="31"/>
  <c r="Z16" i="31" s="1"/>
  <c r="P16" i="31"/>
  <c r="H16" i="31"/>
  <c r="N16" i="31" s="1"/>
  <c r="D16" i="31"/>
  <c r="B16" i="31"/>
  <c r="T15" i="31"/>
  <c r="Z15" i="31" s="1"/>
  <c r="P15" i="31"/>
  <c r="H15" i="31"/>
  <c r="N15" i="31" s="1"/>
  <c r="D15" i="31"/>
  <c r="T13" i="31"/>
  <c r="Z13" i="31" s="1"/>
  <c r="P13" i="31"/>
  <c r="H13" i="31"/>
  <c r="N13" i="31" s="1"/>
  <c r="D13" i="31"/>
  <c r="B13" i="31"/>
  <c r="T12" i="31"/>
  <c r="P12" i="31"/>
  <c r="R34" i="31" s="1"/>
  <c r="H12" i="31"/>
  <c r="J20" i="31" s="1"/>
  <c r="D12" i="31"/>
  <c r="F34" i="31" s="1"/>
  <c r="D5" i="31"/>
  <c r="D4" i="31"/>
  <c r="Z114" i="30"/>
  <c r="X114" i="30"/>
  <c r="N114" i="30"/>
  <c r="L114" i="30"/>
  <c r="Z110" i="30"/>
  <c r="P110" i="30"/>
  <c r="X110" i="30" s="1"/>
  <c r="N110" i="30"/>
  <c r="D110" i="30"/>
  <c r="L110" i="30" s="1"/>
  <c r="B110" i="30"/>
  <c r="Z109" i="30"/>
  <c r="X109" i="30"/>
  <c r="P109" i="30"/>
  <c r="N109" i="30"/>
  <c r="D109" i="30"/>
  <c r="L109" i="30" s="1"/>
  <c r="B109" i="30"/>
  <c r="V108" i="30"/>
  <c r="P108" i="30"/>
  <c r="P107" i="30" s="1"/>
  <c r="X107" i="30" s="1"/>
  <c r="L108" i="30"/>
  <c r="N108" i="30" s="1"/>
  <c r="D108" i="30"/>
  <c r="B108" i="30"/>
  <c r="T107" i="30"/>
  <c r="J107" i="30"/>
  <c r="H107" i="30"/>
  <c r="N107" i="30" s="1"/>
  <c r="D107" i="30"/>
  <c r="L107" i="30" s="1"/>
  <c r="X105" i="30"/>
  <c r="Z105" i="30" s="1"/>
  <c r="N105" i="30"/>
  <c r="L105" i="30"/>
  <c r="B105" i="30"/>
  <c r="V104" i="30"/>
  <c r="T104" i="30"/>
  <c r="Z104" i="30" s="1"/>
  <c r="P104" i="30"/>
  <c r="X104" i="30" s="1"/>
  <c r="H104" i="30"/>
  <c r="D104" i="30"/>
  <c r="L104" i="30" s="1"/>
  <c r="N104" i="30" s="1"/>
  <c r="B104" i="30"/>
  <c r="X103" i="30"/>
  <c r="Z103" i="30" s="1"/>
  <c r="L103" i="30"/>
  <c r="N103" i="30" s="1"/>
  <c r="J103" i="30"/>
  <c r="B103" i="30"/>
  <c r="Z102" i="30"/>
  <c r="X102" i="30"/>
  <c r="N102" i="30"/>
  <c r="L102" i="30"/>
  <c r="B102" i="30"/>
  <c r="T101" i="30"/>
  <c r="P101" i="30"/>
  <c r="H101" i="30"/>
  <c r="D101" i="30"/>
  <c r="L101" i="30" s="1"/>
  <c r="N101" i="30" s="1"/>
  <c r="B101" i="30"/>
  <c r="Z100" i="30"/>
  <c r="X100" i="30"/>
  <c r="V100" i="30"/>
  <c r="N100" i="30"/>
  <c r="L100" i="30"/>
  <c r="J100" i="30"/>
  <c r="B100" i="30"/>
  <c r="T99" i="30"/>
  <c r="P99" i="30"/>
  <c r="X99" i="30" s="1"/>
  <c r="Z99" i="30" s="1"/>
  <c r="H99" i="30"/>
  <c r="D99" i="30"/>
  <c r="B99" i="30"/>
  <c r="Z98" i="30"/>
  <c r="X98" i="30"/>
  <c r="N98" i="30"/>
  <c r="L98" i="30"/>
  <c r="B98" i="30"/>
  <c r="Z97" i="30"/>
  <c r="X97" i="30"/>
  <c r="L97" i="30"/>
  <c r="N97" i="30" s="1"/>
  <c r="B97" i="30"/>
  <c r="Z96" i="30"/>
  <c r="X96" i="30"/>
  <c r="V96" i="30"/>
  <c r="N96" i="30"/>
  <c r="L96" i="30"/>
  <c r="J96" i="30"/>
  <c r="B96" i="30"/>
  <c r="Z95" i="30"/>
  <c r="X95" i="30"/>
  <c r="N95" i="30"/>
  <c r="L95" i="30"/>
  <c r="J95" i="30"/>
  <c r="B95" i="30"/>
  <c r="Z94" i="30"/>
  <c r="T94" i="30"/>
  <c r="P94" i="30"/>
  <c r="X94" i="30" s="1"/>
  <c r="N94" i="30"/>
  <c r="L94" i="30"/>
  <c r="J94" i="30"/>
  <c r="H94" i="30"/>
  <c r="D94" i="30"/>
  <c r="B94" i="30"/>
  <c r="Z93" i="30"/>
  <c r="X93" i="30"/>
  <c r="L93" i="30"/>
  <c r="N93" i="30" s="1"/>
  <c r="B93" i="30"/>
  <c r="Z92" i="30"/>
  <c r="X92" i="30"/>
  <c r="V92" i="30"/>
  <c r="L92" i="30"/>
  <c r="N92" i="30" s="1"/>
  <c r="J92" i="30"/>
  <c r="B92" i="30"/>
  <c r="T91" i="30"/>
  <c r="P91" i="30"/>
  <c r="X91" i="30" s="1"/>
  <c r="Z91" i="30" s="1"/>
  <c r="H91" i="30"/>
  <c r="D91" i="30"/>
  <c r="B91" i="30"/>
  <c r="Z90" i="30"/>
  <c r="X90" i="30"/>
  <c r="N90" i="30"/>
  <c r="L90" i="30"/>
  <c r="B90" i="30"/>
  <c r="Z89" i="30"/>
  <c r="X89" i="30"/>
  <c r="L89" i="30"/>
  <c r="N89" i="30" s="1"/>
  <c r="B89" i="30"/>
  <c r="Z88" i="30"/>
  <c r="X88" i="30"/>
  <c r="V88" i="30"/>
  <c r="T88" i="30"/>
  <c r="P88" i="30"/>
  <c r="N88" i="30"/>
  <c r="L88" i="30"/>
  <c r="J88" i="30"/>
  <c r="H88" i="30"/>
  <c r="D88" i="30"/>
  <c r="B88" i="30"/>
  <c r="Z87" i="30"/>
  <c r="X87" i="30"/>
  <c r="N87" i="30"/>
  <c r="L87" i="30"/>
  <c r="B87" i="30"/>
  <c r="Z86" i="30"/>
  <c r="X86" i="30"/>
  <c r="N86" i="30"/>
  <c r="L86" i="30"/>
  <c r="B86" i="30"/>
  <c r="Z85" i="30"/>
  <c r="X85" i="30"/>
  <c r="L85" i="30"/>
  <c r="N85" i="30" s="1"/>
  <c r="B85" i="30"/>
  <c r="Z84" i="30"/>
  <c r="X84" i="30"/>
  <c r="V84" i="30"/>
  <c r="T84" i="30"/>
  <c r="P84" i="30"/>
  <c r="N84" i="30"/>
  <c r="L84" i="30"/>
  <c r="J84" i="30"/>
  <c r="H84" i="30"/>
  <c r="D84" i="30"/>
  <c r="B84" i="30"/>
  <c r="Z83" i="30"/>
  <c r="X83" i="30"/>
  <c r="N83" i="30"/>
  <c r="L83" i="30"/>
  <c r="B83" i="30"/>
  <c r="Z82" i="30"/>
  <c r="X82" i="30"/>
  <c r="N82" i="30"/>
  <c r="L82" i="30"/>
  <c r="B82" i="30"/>
  <c r="T81" i="30"/>
  <c r="P81" i="30"/>
  <c r="L81" i="30"/>
  <c r="J81" i="30"/>
  <c r="H81" i="30"/>
  <c r="N81" i="30" s="1"/>
  <c r="D81" i="30"/>
  <c r="B81" i="30"/>
  <c r="X80" i="30"/>
  <c r="Z80" i="30" s="1"/>
  <c r="V80" i="30"/>
  <c r="N80" i="30"/>
  <c r="L80" i="30"/>
  <c r="J80" i="30"/>
  <c r="B80" i="30"/>
  <c r="T79" i="30"/>
  <c r="P79" i="30"/>
  <c r="X79" i="30" s="1"/>
  <c r="H79" i="30"/>
  <c r="D79" i="30"/>
  <c r="B79" i="30"/>
  <c r="Z78" i="30"/>
  <c r="X78" i="30"/>
  <c r="N78" i="30"/>
  <c r="L78" i="30"/>
  <c r="J78" i="30"/>
  <c r="B78" i="30"/>
  <c r="T77" i="30"/>
  <c r="P77" i="30"/>
  <c r="L77" i="30"/>
  <c r="N77" i="30" s="1"/>
  <c r="H77" i="30"/>
  <c r="D77" i="30"/>
  <c r="B77" i="30"/>
  <c r="Z76" i="30"/>
  <c r="X76" i="30"/>
  <c r="V76" i="30"/>
  <c r="N76" i="30"/>
  <c r="L76" i="30"/>
  <c r="J76" i="30"/>
  <c r="B76" i="30"/>
  <c r="T75" i="30"/>
  <c r="P75" i="30"/>
  <c r="X75" i="30" s="1"/>
  <c r="Z75" i="30" s="1"/>
  <c r="H75" i="30"/>
  <c r="D75" i="30"/>
  <c r="B75" i="30"/>
  <c r="Z74" i="30"/>
  <c r="X74" i="30"/>
  <c r="N74" i="30"/>
  <c r="L74" i="30"/>
  <c r="B74" i="30"/>
  <c r="T73" i="30"/>
  <c r="P73" i="30"/>
  <c r="L73" i="30"/>
  <c r="J73" i="30"/>
  <c r="H73" i="30"/>
  <c r="D73" i="30"/>
  <c r="B73" i="30"/>
  <c r="Z72" i="30"/>
  <c r="X72" i="30"/>
  <c r="V72" i="30"/>
  <c r="N72" i="30"/>
  <c r="L72" i="30"/>
  <c r="J72" i="30"/>
  <c r="B72" i="30"/>
  <c r="X71" i="30"/>
  <c r="Z71" i="30" s="1"/>
  <c r="L71" i="30"/>
  <c r="N71" i="30" s="1"/>
  <c r="B71" i="30"/>
  <c r="Z70" i="30"/>
  <c r="X70" i="30"/>
  <c r="T70" i="30"/>
  <c r="P70" i="30"/>
  <c r="J70" i="30"/>
  <c r="H70" i="30"/>
  <c r="N70" i="30" s="1"/>
  <c r="D70" i="30"/>
  <c r="L70" i="30" s="1"/>
  <c r="B70" i="30"/>
  <c r="Z69" i="30"/>
  <c r="X69" i="30"/>
  <c r="N69" i="30"/>
  <c r="L69" i="30"/>
  <c r="B69" i="30"/>
  <c r="Z68" i="30"/>
  <c r="X68" i="30"/>
  <c r="V68" i="30"/>
  <c r="N68" i="30"/>
  <c r="L68" i="30"/>
  <c r="J68" i="30"/>
  <c r="B68" i="30"/>
  <c r="T67" i="30"/>
  <c r="P67" i="30"/>
  <c r="X67" i="30" s="1"/>
  <c r="H67" i="30"/>
  <c r="D67" i="30"/>
  <c r="B67" i="30"/>
  <c r="Z66" i="30"/>
  <c r="X66" i="30"/>
  <c r="N66" i="30"/>
  <c r="L66" i="30"/>
  <c r="J66" i="30"/>
  <c r="B66" i="30"/>
  <c r="T65" i="30"/>
  <c r="P65" i="30"/>
  <c r="L65" i="30"/>
  <c r="N65" i="30" s="1"/>
  <c r="H65" i="30"/>
  <c r="D65" i="30"/>
  <c r="B65" i="30"/>
  <c r="Z64" i="30"/>
  <c r="X64" i="30"/>
  <c r="V64" i="30"/>
  <c r="N64" i="30"/>
  <c r="L64" i="30"/>
  <c r="J64" i="30"/>
  <c r="B64" i="30"/>
  <c r="T63" i="30"/>
  <c r="P63" i="30"/>
  <c r="X63" i="30" s="1"/>
  <c r="Z63" i="30" s="1"/>
  <c r="H63" i="30"/>
  <c r="D63" i="30"/>
  <c r="B63" i="30"/>
  <c r="Z62" i="30"/>
  <c r="X62" i="30"/>
  <c r="N62" i="30"/>
  <c r="L62" i="30"/>
  <c r="B62" i="30"/>
  <c r="T61" i="30"/>
  <c r="P61" i="30"/>
  <c r="L61" i="30"/>
  <c r="J61" i="30"/>
  <c r="H61" i="30"/>
  <c r="D61" i="30"/>
  <c r="B61" i="30"/>
  <c r="Z60" i="30"/>
  <c r="X60" i="30"/>
  <c r="V60" i="30"/>
  <c r="N60" i="30"/>
  <c r="L60" i="30"/>
  <c r="J60" i="30"/>
  <c r="B60" i="30"/>
  <c r="X59" i="30"/>
  <c r="T59" i="30"/>
  <c r="P59" i="30"/>
  <c r="H59" i="30"/>
  <c r="D59" i="30"/>
  <c r="L59" i="30" s="1"/>
  <c r="B59" i="30"/>
  <c r="Z58" i="30"/>
  <c r="X58" i="30"/>
  <c r="N58" i="30"/>
  <c r="L58" i="30"/>
  <c r="J58" i="30"/>
  <c r="B58" i="30"/>
  <c r="Z57" i="30"/>
  <c r="X57" i="30"/>
  <c r="N57" i="30"/>
  <c r="L57" i="30"/>
  <c r="B57" i="30"/>
  <c r="Z56" i="30"/>
  <c r="X56" i="30"/>
  <c r="V56" i="30"/>
  <c r="N56" i="30"/>
  <c r="L56" i="30"/>
  <c r="J56" i="30"/>
  <c r="B56" i="30"/>
  <c r="X55" i="30"/>
  <c r="Z55" i="30" s="1"/>
  <c r="L55" i="30"/>
  <c r="N55" i="30" s="1"/>
  <c r="B55" i="30"/>
  <c r="Z54" i="30"/>
  <c r="X54" i="30"/>
  <c r="N54" i="30"/>
  <c r="L54" i="30"/>
  <c r="B54" i="30"/>
  <c r="Z53" i="30"/>
  <c r="X53" i="30"/>
  <c r="N53" i="30"/>
  <c r="L53" i="30"/>
  <c r="B53" i="30"/>
  <c r="Z52" i="30"/>
  <c r="X52" i="30"/>
  <c r="V52" i="30"/>
  <c r="N52" i="30"/>
  <c r="L52" i="30"/>
  <c r="J52" i="30"/>
  <c r="B52" i="30"/>
  <c r="Z51" i="30"/>
  <c r="X51" i="30"/>
  <c r="N51" i="30"/>
  <c r="L51" i="30"/>
  <c r="J51" i="30"/>
  <c r="B51" i="30"/>
  <c r="Z50" i="30"/>
  <c r="X50" i="30"/>
  <c r="N50" i="30"/>
  <c r="L50" i="30"/>
  <c r="J50" i="30"/>
  <c r="B50" i="30"/>
  <c r="Z49" i="30"/>
  <c r="X49" i="30"/>
  <c r="N49" i="30"/>
  <c r="L49" i="30"/>
  <c r="B49" i="30"/>
  <c r="V48" i="30"/>
  <c r="T48" i="30"/>
  <c r="P48" i="30"/>
  <c r="X48" i="30" s="1"/>
  <c r="H48" i="30"/>
  <c r="D48" i="30"/>
  <c r="L48" i="30" s="1"/>
  <c r="N48" i="30" s="1"/>
  <c r="B48" i="30"/>
  <c r="X47" i="30"/>
  <c r="Z47" i="30" s="1"/>
  <c r="L47" i="30"/>
  <c r="N47" i="30" s="1"/>
  <c r="J47" i="30"/>
  <c r="B47" i="30"/>
  <c r="Z46" i="30"/>
  <c r="X46" i="30"/>
  <c r="N46" i="30"/>
  <c r="L46" i="30"/>
  <c r="J46" i="30"/>
  <c r="B46" i="30"/>
  <c r="X45" i="30"/>
  <c r="Z45" i="30" s="1"/>
  <c r="N45" i="30"/>
  <c r="L45" i="30"/>
  <c r="B45" i="30"/>
  <c r="Z44" i="30"/>
  <c r="X44" i="30"/>
  <c r="V44" i="30"/>
  <c r="N44" i="30"/>
  <c r="L44" i="30"/>
  <c r="J44" i="30"/>
  <c r="B44" i="30"/>
  <c r="X43" i="30"/>
  <c r="Z43" i="30" s="1"/>
  <c r="L43" i="30"/>
  <c r="N43" i="30" s="1"/>
  <c r="B43" i="30"/>
  <c r="Z42" i="30"/>
  <c r="X42" i="30"/>
  <c r="N42" i="30"/>
  <c r="L42" i="30"/>
  <c r="B42" i="30"/>
  <c r="Z41" i="30"/>
  <c r="X41" i="30"/>
  <c r="L41" i="30"/>
  <c r="N41" i="30" s="1"/>
  <c r="B41" i="30"/>
  <c r="Z40" i="30"/>
  <c r="X40" i="30"/>
  <c r="V40" i="30"/>
  <c r="N40" i="30"/>
  <c r="L40" i="30"/>
  <c r="J40" i="30"/>
  <c r="B40" i="30"/>
  <c r="X39" i="30"/>
  <c r="Z39" i="30" s="1"/>
  <c r="L39" i="30"/>
  <c r="N39" i="30" s="1"/>
  <c r="J39" i="30"/>
  <c r="B39" i="30"/>
  <c r="T38" i="30"/>
  <c r="P38" i="30"/>
  <c r="X38" i="30" s="1"/>
  <c r="Z38" i="30" s="1"/>
  <c r="N38" i="30"/>
  <c r="L38" i="30"/>
  <c r="J38" i="30"/>
  <c r="H38" i="30"/>
  <c r="D38" i="30"/>
  <c r="B38" i="30"/>
  <c r="T37" i="30"/>
  <c r="P37" i="30"/>
  <c r="H37" i="30"/>
  <c r="D37" i="30"/>
  <c r="L37" i="30" s="1"/>
  <c r="T35" i="30"/>
  <c r="Z33" i="30"/>
  <c r="X33" i="30"/>
  <c r="N33" i="30"/>
  <c r="L33" i="30"/>
  <c r="B33" i="30"/>
  <c r="Z32" i="30"/>
  <c r="X32" i="30"/>
  <c r="V32" i="30"/>
  <c r="N32" i="30"/>
  <c r="L32" i="30"/>
  <c r="J32" i="30"/>
  <c r="B32" i="30"/>
  <c r="Z31" i="30"/>
  <c r="X31" i="30"/>
  <c r="N31" i="30"/>
  <c r="L31" i="30"/>
  <c r="J31" i="30"/>
  <c r="B31" i="30"/>
  <c r="Z30" i="30"/>
  <c r="X30" i="30"/>
  <c r="N30" i="30"/>
  <c r="L30" i="30"/>
  <c r="J30" i="30"/>
  <c r="B30" i="30"/>
  <c r="Z29" i="30"/>
  <c r="X29" i="30"/>
  <c r="N29" i="30"/>
  <c r="L29" i="30"/>
  <c r="B29" i="30"/>
  <c r="Z28" i="30"/>
  <c r="X28" i="30"/>
  <c r="V28" i="30"/>
  <c r="N28" i="30"/>
  <c r="L28" i="30"/>
  <c r="J28" i="30"/>
  <c r="B28" i="30"/>
  <c r="Z27" i="30"/>
  <c r="X27" i="30"/>
  <c r="N27" i="30"/>
  <c r="L27" i="30"/>
  <c r="B27" i="30"/>
  <c r="Z26" i="30"/>
  <c r="X26" i="30"/>
  <c r="N26" i="30"/>
  <c r="L26" i="30"/>
  <c r="B26" i="30"/>
  <c r="Z25" i="30"/>
  <c r="X25" i="30"/>
  <c r="N25" i="30"/>
  <c r="L25" i="30"/>
  <c r="B25" i="30"/>
  <c r="Z24" i="30"/>
  <c r="X24" i="30"/>
  <c r="V24" i="30"/>
  <c r="N24" i="30"/>
  <c r="L24" i="30"/>
  <c r="J24" i="30"/>
  <c r="B24" i="30"/>
  <c r="Z23" i="30"/>
  <c r="X23" i="30"/>
  <c r="N23" i="30"/>
  <c r="L23" i="30"/>
  <c r="J23" i="30"/>
  <c r="B23" i="30"/>
  <c r="Z22" i="30"/>
  <c r="X22" i="30"/>
  <c r="N22" i="30"/>
  <c r="L22" i="30"/>
  <c r="J22" i="30"/>
  <c r="B22" i="30"/>
  <c r="Z21" i="30"/>
  <c r="X21" i="30"/>
  <c r="N21" i="30"/>
  <c r="L21" i="30"/>
  <c r="B21" i="30"/>
  <c r="Z20" i="30"/>
  <c r="X20" i="30"/>
  <c r="V20" i="30"/>
  <c r="N20" i="30"/>
  <c r="L20" i="30"/>
  <c r="J20" i="30"/>
  <c r="B20" i="30"/>
  <c r="X19" i="30"/>
  <c r="Z19" i="30" s="1"/>
  <c r="V19" i="30"/>
  <c r="L19" i="30"/>
  <c r="N19" i="30" s="1"/>
  <c r="B19" i="30"/>
  <c r="Z18" i="30"/>
  <c r="X18" i="30"/>
  <c r="T18" i="30"/>
  <c r="P18" i="30"/>
  <c r="J18" i="30"/>
  <c r="H18" i="30"/>
  <c r="N18" i="30" s="1"/>
  <c r="D18" i="30"/>
  <c r="L18" i="30" s="1"/>
  <c r="Z16" i="30"/>
  <c r="P16" i="30"/>
  <c r="X16" i="30" s="1"/>
  <c r="N16" i="30"/>
  <c r="L16" i="30"/>
  <c r="D16" i="30"/>
  <c r="B16" i="30"/>
  <c r="Z15" i="30"/>
  <c r="X15" i="30"/>
  <c r="P15" i="30"/>
  <c r="N15" i="30"/>
  <c r="D15" i="30"/>
  <c r="L15" i="30" s="1"/>
  <c r="B15" i="30"/>
  <c r="Z14" i="30"/>
  <c r="P14" i="30"/>
  <c r="N14" i="30"/>
  <c r="L14" i="30"/>
  <c r="D14" i="30"/>
  <c r="B14" i="30"/>
  <c r="Z13" i="30"/>
  <c r="X13" i="30"/>
  <c r="P13" i="30"/>
  <c r="N13" i="30"/>
  <c r="D13" i="30"/>
  <c r="L13" i="30" s="1"/>
  <c r="B13" i="30"/>
  <c r="T12" i="30"/>
  <c r="V107" i="30" s="1"/>
  <c r="H12" i="30"/>
  <c r="J105" i="30" s="1"/>
  <c r="D4" i="30"/>
  <c r="B39" i="29"/>
  <c r="B38" i="29"/>
  <c r="T34" i="29"/>
  <c r="Z34" i="29" s="1"/>
  <c r="P34" i="29"/>
  <c r="H34" i="29"/>
  <c r="N34" i="29" s="1"/>
  <c r="D34" i="29"/>
  <c r="T33" i="29"/>
  <c r="Z33" i="29" s="1"/>
  <c r="P33" i="29"/>
  <c r="H33" i="29"/>
  <c r="D33" i="29"/>
  <c r="T29" i="29"/>
  <c r="Z29" i="29" s="1"/>
  <c r="P29" i="29"/>
  <c r="H29" i="29"/>
  <c r="D29" i="29"/>
  <c r="T25" i="29"/>
  <c r="Z25" i="29" s="1"/>
  <c r="P25" i="29"/>
  <c r="H25" i="29"/>
  <c r="D25" i="29"/>
  <c r="B25" i="29"/>
  <c r="T24" i="29"/>
  <c r="Z24" i="29" s="1"/>
  <c r="P24" i="29"/>
  <c r="H24" i="29"/>
  <c r="N24" i="29" s="1"/>
  <c r="D24" i="29"/>
  <c r="T22" i="29"/>
  <c r="Z22" i="29" s="1"/>
  <c r="P22" i="29"/>
  <c r="H22" i="29"/>
  <c r="N22" i="29" s="1"/>
  <c r="D22" i="29"/>
  <c r="B22" i="29"/>
  <c r="T21" i="29"/>
  <c r="P21" i="29"/>
  <c r="H21" i="29"/>
  <c r="N21" i="29" s="1"/>
  <c r="D21" i="29"/>
  <c r="B21" i="29"/>
  <c r="T20" i="29"/>
  <c r="Z20" i="29" s="1"/>
  <c r="P20" i="29"/>
  <c r="H20" i="29"/>
  <c r="N20" i="29" s="1"/>
  <c r="D20" i="29"/>
  <c r="T16" i="29"/>
  <c r="Z16" i="29" s="1"/>
  <c r="P16" i="29"/>
  <c r="H16" i="29"/>
  <c r="N16" i="29" s="1"/>
  <c r="D16" i="29"/>
  <c r="B16" i="29"/>
  <c r="T15" i="29"/>
  <c r="Z15" i="29" s="1"/>
  <c r="P15" i="29"/>
  <c r="H15" i="29"/>
  <c r="D15" i="29"/>
  <c r="T13" i="29"/>
  <c r="Z13" i="29" s="1"/>
  <c r="P13" i="29"/>
  <c r="H13" i="29"/>
  <c r="N13" i="29" s="1"/>
  <c r="D13" i="29"/>
  <c r="B13" i="29"/>
  <c r="T12" i="29"/>
  <c r="V21" i="29" s="1"/>
  <c r="P12" i="29"/>
  <c r="H12" i="29"/>
  <c r="J36" i="29" s="1"/>
  <c r="D12" i="29"/>
  <c r="F36" i="29" s="1"/>
  <c r="D5" i="29"/>
  <c r="D4" i="29"/>
  <c r="B39" i="28"/>
  <c r="B38" i="28"/>
  <c r="T34" i="28"/>
  <c r="Z34" i="28" s="1"/>
  <c r="P34" i="28"/>
  <c r="H34" i="28"/>
  <c r="N34" i="28" s="1"/>
  <c r="D34" i="28"/>
  <c r="T33" i="28"/>
  <c r="Z33" i="28" s="1"/>
  <c r="P33" i="28"/>
  <c r="H33" i="28"/>
  <c r="N33" i="28" s="1"/>
  <c r="D33" i="28"/>
  <c r="T29" i="28"/>
  <c r="Z29" i="28" s="1"/>
  <c r="P29" i="28"/>
  <c r="H29" i="28"/>
  <c r="N29" i="28" s="1"/>
  <c r="D29" i="28"/>
  <c r="T25" i="28"/>
  <c r="Z25" i="28" s="1"/>
  <c r="P25" i="28"/>
  <c r="H25" i="28"/>
  <c r="N25" i="28" s="1"/>
  <c r="D25" i="28"/>
  <c r="B25" i="28"/>
  <c r="T24" i="28"/>
  <c r="Z24" i="28" s="1"/>
  <c r="P24" i="28"/>
  <c r="H24" i="28"/>
  <c r="D24" i="28"/>
  <c r="T22" i="28"/>
  <c r="Z22" i="28" s="1"/>
  <c r="P22" i="28"/>
  <c r="H22" i="28"/>
  <c r="N22" i="28" s="1"/>
  <c r="D22" i="28"/>
  <c r="B22" i="28"/>
  <c r="T21" i="28"/>
  <c r="Z21" i="28" s="1"/>
  <c r="P21" i="28"/>
  <c r="H21" i="28"/>
  <c r="N21" i="28" s="1"/>
  <c r="D21" i="28"/>
  <c r="B21" i="28"/>
  <c r="T20" i="28"/>
  <c r="Z20" i="28" s="1"/>
  <c r="P20" i="28"/>
  <c r="H20" i="28"/>
  <c r="N20" i="28" s="1"/>
  <c r="D20" i="28"/>
  <c r="T16" i="28"/>
  <c r="Z16" i="28" s="1"/>
  <c r="P16" i="28"/>
  <c r="H16" i="28"/>
  <c r="N16" i="28" s="1"/>
  <c r="D16" i="28"/>
  <c r="B16" i="28"/>
  <c r="T15" i="28"/>
  <c r="Z15" i="28" s="1"/>
  <c r="P15" i="28"/>
  <c r="H15" i="28"/>
  <c r="N15" i="28" s="1"/>
  <c r="D15" i="28"/>
  <c r="T13" i="28"/>
  <c r="Z13" i="28" s="1"/>
  <c r="P13" i="28"/>
  <c r="H13" i="28"/>
  <c r="N13" i="28" s="1"/>
  <c r="D13" i="28"/>
  <c r="B13" i="28"/>
  <c r="T12" i="28"/>
  <c r="V24" i="28" s="1"/>
  <c r="P12" i="28"/>
  <c r="R31" i="28" s="1"/>
  <c r="H12" i="28"/>
  <c r="J34" i="28" s="1"/>
  <c r="D12" i="28"/>
  <c r="F20" i="28" s="1"/>
  <c r="D5" i="28"/>
  <c r="D4" i="28"/>
  <c r="X87" i="27"/>
  <c r="Z87" i="27" s="1"/>
  <c r="L87" i="27"/>
  <c r="N87" i="27" s="1"/>
  <c r="Z83" i="27"/>
  <c r="X83" i="27"/>
  <c r="P83" i="27"/>
  <c r="N83" i="27"/>
  <c r="D83" i="27"/>
  <c r="B83" i="27"/>
  <c r="Z82" i="27"/>
  <c r="X82" i="27"/>
  <c r="P82" i="27"/>
  <c r="N82" i="27"/>
  <c r="L82" i="27"/>
  <c r="D82" i="27"/>
  <c r="B82" i="27"/>
  <c r="P81" i="27"/>
  <c r="N81" i="27"/>
  <c r="L81" i="27"/>
  <c r="D81" i="27"/>
  <c r="B81" i="27"/>
  <c r="T80" i="27"/>
  <c r="H80" i="27"/>
  <c r="Z78" i="27"/>
  <c r="X78" i="27"/>
  <c r="N78" i="27"/>
  <c r="L78" i="27"/>
  <c r="B78" i="27"/>
  <c r="Z77" i="27"/>
  <c r="X77" i="27"/>
  <c r="N77" i="27"/>
  <c r="L77" i="27"/>
  <c r="B77" i="27"/>
  <c r="T76" i="27"/>
  <c r="P76" i="27"/>
  <c r="N76" i="27"/>
  <c r="H76" i="27"/>
  <c r="D76" i="27"/>
  <c r="L76" i="27" s="1"/>
  <c r="B76" i="27"/>
  <c r="X75" i="27"/>
  <c r="Z75" i="27" s="1"/>
  <c r="L75" i="27"/>
  <c r="N75" i="27" s="1"/>
  <c r="B75" i="27"/>
  <c r="Z74" i="27"/>
  <c r="X74" i="27"/>
  <c r="L74" i="27"/>
  <c r="N74" i="27" s="1"/>
  <c r="J74" i="27"/>
  <c r="B74" i="27"/>
  <c r="T73" i="27"/>
  <c r="P73" i="27"/>
  <c r="H73" i="27"/>
  <c r="D73" i="27"/>
  <c r="L73" i="27" s="1"/>
  <c r="N73" i="27" s="1"/>
  <c r="B73" i="27"/>
  <c r="Z72" i="27"/>
  <c r="X72" i="27"/>
  <c r="N72" i="27"/>
  <c r="L72" i="27"/>
  <c r="B72" i="27"/>
  <c r="T71" i="27"/>
  <c r="P71" i="27"/>
  <c r="X71" i="27" s="1"/>
  <c r="Z71" i="27" s="1"/>
  <c r="H71" i="27"/>
  <c r="L71" i="27" s="1"/>
  <c r="N71" i="27" s="1"/>
  <c r="D71" i="27"/>
  <c r="B71" i="27"/>
  <c r="X70" i="27"/>
  <c r="Z70" i="27" s="1"/>
  <c r="N70" i="27"/>
  <c r="L70" i="27"/>
  <c r="B70" i="27"/>
  <c r="X69" i="27"/>
  <c r="Z69" i="27" s="1"/>
  <c r="L69" i="27"/>
  <c r="N69" i="27" s="1"/>
  <c r="B69" i="27"/>
  <c r="Z68" i="27"/>
  <c r="X68" i="27"/>
  <c r="N68" i="27"/>
  <c r="L68" i="27"/>
  <c r="J68" i="27"/>
  <c r="B68" i="27"/>
  <c r="T67" i="27"/>
  <c r="P67" i="27"/>
  <c r="X67" i="27" s="1"/>
  <c r="Z67" i="27" s="1"/>
  <c r="N67" i="27"/>
  <c r="H67" i="27"/>
  <c r="L67" i="27" s="1"/>
  <c r="D67" i="27"/>
  <c r="B67" i="27"/>
  <c r="X66" i="27"/>
  <c r="Z66" i="27" s="1"/>
  <c r="N66" i="27"/>
  <c r="L66" i="27"/>
  <c r="B66" i="27"/>
  <c r="Z65" i="27"/>
  <c r="X65" i="27"/>
  <c r="T65" i="27"/>
  <c r="P65" i="27"/>
  <c r="J65" i="27"/>
  <c r="H65" i="27"/>
  <c r="D65" i="27"/>
  <c r="L65" i="27" s="1"/>
  <c r="B65" i="27"/>
  <c r="Z64" i="27"/>
  <c r="X64" i="27"/>
  <c r="N64" i="27"/>
  <c r="L64" i="27"/>
  <c r="J64" i="27"/>
  <c r="B64" i="27"/>
  <c r="T63" i="27"/>
  <c r="Z63" i="27" s="1"/>
  <c r="P63" i="27"/>
  <c r="X63" i="27" s="1"/>
  <c r="H63" i="27"/>
  <c r="N63" i="27" s="1"/>
  <c r="D63" i="27"/>
  <c r="B63" i="27"/>
  <c r="Z62" i="27"/>
  <c r="X62" i="27"/>
  <c r="L62" i="27"/>
  <c r="N62" i="27" s="1"/>
  <c r="J62" i="27"/>
  <c r="B62" i="27"/>
  <c r="T61" i="27"/>
  <c r="P61" i="27"/>
  <c r="H61" i="27"/>
  <c r="D61" i="27"/>
  <c r="L61" i="27" s="1"/>
  <c r="B61" i="27"/>
  <c r="Z60" i="27"/>
  <c r="X60" i="27"/>
  <c r="V60" i="27"/>
  <c r="N60" i="27"/>
  <c r="L60" i="27"/>
  <c r="B60" i="27"/>
  <c r="T59" i="27"/>
  <c r="P59" i="27"/>
  <c r="X59" i="27" s="1"/>
  <c r="H59" i="27"/>
  <c r="L59" i="27" s="1"/>
  <c r="N59" i="27" s="1"/>
  <c r="D59" i="27"/>
  <c r="B59" i="27"/>
  <c r="X58" i="27"/>
  <c r="Z58" i="27" s="1"/>
  <c r="N58" i="27"/>
  <c r="L58" i="27"/>
  <c r="B58" i="27"/>
  <c r="X57" i="27"/>
  <c r="Z57" i="27" s="1"/>
  <c r="T57" i="27"/>
  <c r="P57" i="27"/>
  <c r="L57" i="27"/>
  <c r="H57" i="27"/>
  <c r="D57" i="27"/>
  <c r="B57" i="27"/>
  <c r="Z56" i="27"/>
  <c r="X56" i="27"/>
  <c r="N56" i="27"/>
  <c r="L56" i="27"/>
  <c r="B56" i="27"/>
  <c r="T55" i="27"/>
  <c r="P55" i="27"/>
  <c r="X55" i="27" s="1"/>
  <c r="H55" i="27"/>
  <c r="D55" i="27"/>
  <c r="B55" i="27"/>
  <c r="Z54" i="27"/>
  <c r="X54" i="27"/>
  <c r="N54" i="27"/>
  <c r="L54" i="27"/>
  <c r="B54" i="27"/>
  <c r="Z53" i="27"/>
  <c r="X53" i="27"/>
  <c r="N53" i="27"/>
  <c r="L53" i="27"/>
  <c r="B53" i="27"/>
  <c r="Z52" i="27"/>
  <c r="X52" i="27"/>
  <c r="N52" i="27"/>
  <c r="L52" i="27"/>
  <c r="J52" i="27"/>
  <c r="B52" i="27"/>
  <c r="X51" i="27"/>
  <c r="Z51" i="27" s="1"/>
  <c r="L51" i="27"/>
  <c r="N51" i="27" s="1"/>
  <c r="B51" i="27"/>
  <c r="Z50" i="27"/>
  <c r="X50" i="27"/>
  <c r="N50" i="27"/>
  <c r="L50" i="27"/>
  <c r="B50" i="27"/>
  <c r="Z49" i="27"/>
  <c r="X49" i="27"/>
  <c r="L49" i="27"/>
  <c r="N49" i="27" s="1"/>
  <c r="B49" i="27"/>
  <c r="Z48" i="27"/>
  <c r="X48" i="27"/>
  <c r="N48" i="27"/>
  <c r="L48" i="27"/>
  <c r="J48" i="27"/>
  <c r="B48" i="27"/>
  <c r="Z47" i="27"/>
  <c r="X47" i="27"/>
  <c r="N47" i="27"/>
  <c r="L47" i="27"/>
  <c r="J47" i="27"/>
  <c r="B47" i="27"/>
  <c r="Z46" i="27"/>
  <c r="X46" i="27"/>
  <c r="L46" i="27"/>
  <c r="N46" i="27" s="1"/>
  <c r="B46" i="27"/>
  <c r="Z45" i="27"/>
  <c r="X45" i="27"/>
  <c r="N45" i="27"/>
  <c r="L45" i="27"/>
  <c r="B45" i="27"/>
  <c r="T44" i="27"/>
  <c r="P44" i="27"/>
  <c r="N44" i="27"/>
  <c r="H44" i="27"/>
  <c r="D44" i="27"/>
  <c r="L44" i="27" s="1"/>
  <c r="B44" i="27"/>
  <c r="X43" i="27"/>
  <c r="Z43" i="27" s="1"/>
  <c r="L43" i="27"/>
  <c r="N43" i="27" s="1"/>
  <c r="B43" i="27"/>
  <c r="Z42" i="27"/>
  <c r="X42" i="27"/>
  <c r="L42" i="27"/>
  <c r="N42" i="27" s="1"/>
  <c r="B42" i="27"/>
  <c r="X41" i="27"/>
  <c r="Z41" i="27" s="1"/>
  <c r="N41" i="27"/>
  <c r="L41" i="27"/>
  <c r="B41" i="27"/>
  <c r="Z40" i="27"/>
  <c r="X40" i="27"/>
  <c r="N40" i="27"/>
  <c r="L40" i="27"/>
  <c r="J40" i="27"/>
  <c r="B40" i="27"/>
  <c r="Z39" i="27"/>
  <c r="X39" i="27"/>
  <c r="N39" i="27"/>
  <c r="L39" i="27"/>
  <c r="B39" i="27"/>
  <c r="Z38" i="27"/>
  <c r="X38" i="27"/>
  <c r="N38" i="27"/>
  <c r="L38" i="27"/>
  <c r="B38" i="27"/>
  <c r="X37" i="27"/>
  <c r="Z37" i="27" s="1"/>
  <c r="L37" i="27"/>
  <c r="N37" i="27" s="1"/>
  <c r="B37" i="27"/>
  <c r="Z36" i="27"/>
  <c r="X36" i="27"/>
  <c r="N36" i="27"/>
  <c r="L36" i="27"/>
  <c r="B36" i="27"/>
  <c r="X35" i="27"/>
  <c r="Z35" i="27" s="1"/>
  <c r="L35" i="27"/>
  <c r="N35" i="27" s="1"/>
  <c r="B35" i="27"/>
  <c r="Z34" i="27"/>
  <c r="X34" i="27"/>
  <c r="L34" i="27"/>
  <c r="N34" i="27" s="1"/>
  <c r="J34" i="27"/>
  <c r="B34" i="27"/>
  <c r="T33" i="27"/>
  <c r="P33" i="27"/>
  <c r="H33" i="27"/>
  <c r="D33" i="27"/>
  <c r="L33" i="27" s="1"/>
  <c r="B33" i="27"/>
  <c r="T32" i="27"/>
  <c r="P32" i="27"/>
  <c r="X32" i="27" s="1"/>
  <c r="Z32" i="27" s="1"/>
  <c r="H32" i="27"/>
  <c r="D32" i="27"/>
  <c r="L32" i="27" s="1"/>
  <c r="N32" i="27" s="1"/>
  <c r="Z28" i="27"/>
  <c r="X28" i="27"/>
  <c r="N28" i="27"/>
  <c r="L28" i="27"/>
  <c r="B28" i="27"/>
  <c r="Z27" i="27"/>
  <c r="X27" i="27"/>
  <c r="N27" i="27"/>
  <c r="L27" i="27"/>
  <c r="B27" i="27"/>
  <c r="Z26" i="27"/>
  <c r="X26" i="27"/>
  <c r="N26" i="27"/>
  <c r="L26" i="27"/>
  <c r="B26" i="27"/>
  <c r="Z25" i="27"/>
  <c r="X25" i="27"/>
  <c r="N25" i="27"/>
  <c r="L25" i="27"/>
  <c r="B25" i="27"/>
  <c r="Z24" i="27"/>
  <c r="X24" i="27"/>
  <c r="V24" i="27"/>
  <c r="N24" i="27"/>
  <c r="L24" i="27"/>
  <c r="B24" i="27"/>
  <c r="Z23" i="27"/>
  <c r="X23" i="27"/>
  <c r="N23" i="27"/>
  <c r="L23" i="27"/>
  <c r="B23" i="27"/>
  <c r="Z22" i="27"/>
  <c r="X22" i="27"/>
  <c r="N22" i="27"/>
  <c r="L22" i="27"/>
  <c r="B22" i="27"/>
  <c r="Z21" i="27"/>
  <c r="X21" i="27"/>
  <c r="N21" i="27"/>
  <c r="L21" i="27"/>
  <c r="B21" i="27"/>
  <c r="Z20" i="27"/>
  <c r="X20" i="27"/>
  <c r="N20" i="27"/>
  <c r="L20" i="27"/>
  <c r="J20" i="27"/>
  <c r="B20" i="27"/>
  <c r="Z19" i="27"/>
  <c r="X19" i="27"/>
  <c r="L19" i="27"/>
  <c r="N19" i="27" s="1"/>
  <c r="J19" i="27"/>
  <c r="B19" i="27"/>
  <c r="Z18" i="27"/>
  <c r="T18" i="27"/>
  <c r="P18" i="27"/>
  <c r="X18" i="27" s="1"/>
  <c r="H18" i="27"/>
  <c r="D18" i="27"/>
  <c r="Z16" i="27"/>
  <c r="P16" i="27"/>
  <c r="X16" i="27" s="1"/>
  <c r="N16" i="27"/>
  <c r="D16" i="27"/>
  <c r="L16" i="27" s="1"/>
  <c r="B16" i="27"/>
  <c r="Z15" i="27"/>
  <c r="P15" i="27"/>
  <c r="X15" i="27" s="1"/>
  <c r="N15" i="27"/>
  <c r="L15" i="27"/>
  <c r="D15" i="27"/>
  <c r="B15" i="27"/>
  <c r="Z14" i="27"/>
  <c r="X14" i="27"/>
  <c r="P14" i="27"/>
  <c r="N14" i="27"/>
  <c r="D14" i="27"/>
  <c r="L14" i="27" s="1"/>
  <c r="B14" i="27"/>
  <c r="Z13" i="27"/>
  <c r="X13" i="27"/>
  <c r="P13" i="27"/>
  <c r="D13" i="27"/>
  <c r="L13" i="27" s="1"/>
  <c r="N13" i="27" s="1"/>
  <c r="B13" i="27"/>
  <c r="T12" i="27"/>
  <c r="V83" i="27" s="1"/>
  <c r="H12" i="27"/>
  <c r="J87" i="27" s="1"/>
  <c r="D4" i="27"/>
  <c r="B39" i="26"/>
  <c r="B38" i="26"/>
  <c r="T34" i="26"/>
  <c r="Z34" i="26" s="1"/>
  <c r="P34" i="26"/>
  <c r="H34" i="26"/>
  <c r="N34" i="26" s="1"/>
  <c r="D34" i="26"/>
  <c r="T33" i="26"/>
  <c r="Z33" i="26" s="1"/>
  <c r="P33" i="26"/>
  <c r="H33" i="26"/>
  <c r="N33" i="26" s="1"/>
  <c r="D33" i="26"/>
  <c r="T29" i="26"/>
  <c r="Z29" i="26" s="1"/>
  <c r="P29" i="26"/>
  <c r="H29" i="26"/>
  <c r="N29" i="26" s="1"/>
  <c r="D29" i="26"/>
  <c r="T25" i="26"/>
  <c r="Z25" i="26" s="1"/>
  <c r="P25" i="26"/>
  <c r="H25" i="26"/>
  <c r="N25" i="26" s="1"/>
  <c r="D25" i="26"/>
  <c r="B25" i="26"/>
  <c r="T24" i="26"/>
  <c r="Z24" i="26" s="1"/>
  <c r="P24" i="26"/>
  <c r="H24" i="26"/>
  <c r="N24" i="26" s="1"/>
  <c r="D24" i="26"/>
  <c r="T22" i="26"/>
  <c r="Z22" i="26" s="1"/>
  <c r="P22" i="26"/>
  <c r="H22" i="26"/>
  <c r="N22" i="26" s="1"/>
  <c r="D22" i="26"/>
  <c r="B22" i="26"/>
  <c r="T21" i="26"/>
  <c r="Z21" i="26" s="1"/>
  <c r="P21" i="26"/>
  <c r="H21" i="26"/>
  <c r="D21" i="26"/>
  <c r="B21" i="26"/>
  <c r="T20" i="26"/>
  <c r="Z20" i="26" s="1"/>
  <c r="P20" i="26"/>
  <c r="H20" i="26"/>
  <c r="N20" i="26" s="1"/>
  <c r="D20" i="26"/>
  <c r="T16" i="26"/>
  <c r="P16" i="26"/>
  <c r="H16" i="26"/>
  <c r="N16" i="26" s="1"/>
  <c r="D16" i="26"/>
  <c r="B16" i="26"/>
  <c r="T15" i="26"/>
  <c r="Z15" i="26" s="1"/>
  <c r="P15" i="26"/>
  <c r="H15" i="26"/>
  <c r="N15" i="26" s="1"/>
  <c r="D15" i="26"/>
  <c r="T13" i="26"/>
  <c r="Z13" i="26" s="1"/>
  <c r="P13" i="26"/>
  <c r="H13" i="26"/>
  <c r="N13" i="26" s="1"/>
  <c r="D13" i="26"/>
  <c r="B13" i="26"/>
  <c r="T12" i="26"/>
  <c r="V27" i="26" s="1"/>
  <c r="P12" i="26"/>
  <c r="R21" i="26" s="1"/>
  <c r="H12" i="26"/>
  <c r="J20" i="26" s="1"/>
  <c r="D12" i="26"/>
  <c r="D5" i="26"/>
  <c r="D4" i="26"/>
  <c r="B39" i="25"/>
  <c r="B38" i="25"/>
  <c r="T34" i="25"/>
  <c r="Z34" i="25" s="1"/>
  <c r="P34" i="25"/>
  <c r="H34" i="25"/>
  <c r="N34" i="25" s="1"/>
  <c r="D34" i="25"/>
  <c r="T33" i="25"/>
  <c r="Z33" i="25" s="1"/>
  <c r="P33" i="25"/>
  <c r="H33" i="25"/>
  <c r="N33" i="25" s="1"/>
  <c r="D33" i="25"/>
  <c r="T29" i="25"/>
  <c r="Z29" i="25" s="1"/>
  <c r="P29" i="25"/>
  <c r="H29" i="25"/>
  <c r="N29" i="25" s="1"/>
  <c r="D29" i="25"/>
  <c r="T25" i="25"/>
  <c r="Z25" i="25" s="1"/>
  <c r="P25" i="25"/>
  <c r="H25" i="25"/>
  <c r="N25" i="25" s="1"/>
  <c r="D25" i="25"/>
  <c r="B25" i="25"/>
  <c r="T24" i="25"/>
  <c r="Z24" i="25" s="1"/>
  <c r="P24" i="25"/>
  <c r="H24" i="25"/>
  <c r="D24" i="25"/>
  <c r="T22" i="25"/>
  <c r="Z22" i="25" s="1"/>
  <c r="P22" i="25"/>
  <c r="H22" i="25"/>
  <c r="N22" i="25" s="1"/>
  <c r="D22" i="25"/>
  <c r="B22" i="25"/>
  <c r="T21" i="25"/>
  <c r="Z21" i="25" s="1"/>
  <c r="P21" i="25"/>
  <c r="H21" i="25"/>
  <c r="N21" i="25" s="1"/>
  <c r="D21" i="25"/>
  <c r="B21" i="25"/>
  <c r="T20" i="25"/>
  <c r="P20" i="25"/>
  <c r="H20" i="25"/>
  <c r="N20" i="25" s="1"/>
  <c r="D20" i="25"/>
  <c r="T16" i="25"/>
  <c r="Z16" i="25" s="1"/>
  <c r="P16" i="25"/>
  <c r="H16" i="25"/>
  <c r="N16" i="25" s="1"/>
  <c r="D16" i="25"/>
  <c r="B16" i="25"/>
  <c r="T15" i="25"/>
  <c r="P15" i="25"/>
  <c r="H15" i="25"/>
  <c r="N15" i="25" s="1"/>
  <c r="D15" i="25"/>
  <c r="T13" i="25"/>
  <c r="Z13" i="25" s="1"/>
  <c r="P13" i="25"/>
  <c r="H13" i="25"/>
  <c r="N13" i="25" s="1"/>
  <c r="D13" i="25"/>
  <c r="B13" i="25"/>
  <c r="T12" i="25"/>
  <c r="V18" i="25" s="1"/>
  <c r="P12" i="25"/>
  <c r="R34" i="25" s="1"/>
  <c r="H12" i="25"/>
  <c r="J24" i="25" s="1"/>
  <c r="D12" i="25"/>
  <c r="F20" i="25" s="1"/>
  <c r="D5" i="25"/>
  <c r="D4" i="25"/>
  <c r="Z65" i="24"/>
  <c r="X65" i="24"/>
  <c r="N65" i="24"/>
  <c r="L65" i="24"/>
  <c r="J65" i="24"/>
  <c r="Z61" i="24"/>
  <c r="T61" i="24"/>
  <c r="X61" i="24" s="1"/>
  <c r="P61" i="24"/>
  <c r="H61" i="24"/>
  <c r="N61" i="24" s="1"/>
  <c r="D61" i="24"/>
  <c r="L61" i="24" s="1"/>
  <c r="Z59" i="24"/>
  <c r="X59" i="24"/>
  <c r="N59" i="24"/>
  <c r="L59" i="24"/>
  <c r="B59" i="24"/>
  <c r="T58" i="24"/>
  <c r="P58" i="24"/>
  <c r="H58" i="24"/>
  <c r="D58" i="24"/>
  <c r="L58" i="24" s="1"/>
  <c r="N58" i="24" s="1"/>
  <c r="B58" i="24"/>
  <c r="Z57" i="24"/>
  <c r="X57" i="24"/>
  <c r="L57" i="24"/>
  <c r="N57" i="24" s="1"/>
  <c r="B57" i="24"/>
  <c r="Z56" i="24"/>
  <c r="X56" i="24"/>
  <c r="L56" i="24"/>
  <c r="N56" i="24" s="1"/>
  <c r="B56" i="24"/>
  <c r="Z55" i="24"/>
  <c r="X55" i="24"/>
  <c r="N55" i="24"/>
  <c r="L55" i="24"/>
  <c r="J55" i="24"/>
  <c r="B55" i="24"/>
  <c r="T54" i="24"/>
  <c r="P54" i="24"/>
  <c r="X54" i="24" s="1"/>
  <c r="N54" i="24"/>
  <c r="H54" i="24"/>
  <c r="D54" i="24"/>
  <c r="L54" i="24" s="1"/>
  <c r="B54" i="24"/>
  <c r="X53" i="24"/>
  <c r="Z53" i="24" s="1"/>
  <c r="L53" i="24"/>
  <c r="N53" i="24" s="1"/>
  <c r="J53" i="24"/>
  <c r="B53" i="24"/>
  <c r="T52" i="24"/>
  <c r="P52" i="24"/>
  <c r="X52" i="24" s="1"/>
  <c r="Z52" i="24" s="1"/>
  <c r="L52" i="24"/>
  <c r="N52" i="24" s="1"/>
  <c r="J52" i="24"/>
  <c r="H52" i="24"/>
  <c r="D52" i="24"/>
  <c r="B52" i="24"/>
  <c r="Z51" i="24"/>
  <c r="X51" i="24"/>
  <c r="V51" i="24"/>
  <c r="N51" i="24"/>
  <c r="L51" i="24"/>
  <c r="B51" i="24"/>
  <c r="Z50" i="24"/>
  <c r="X50" i="24"/>
  <c r="V50" i="24"/>
  <c r="T50" i="24"/>
  <c r="P50" i="24"/>
  <c r="L50" i="24"/>
  <c r="H50" i="24"/>
  <c r="N50" i="24" s="1"/>
  <c r="D50" i="24"/>
  <c r="B50" i="24"/>
  <c r="Z49" i="24"/>
  <c r="X49" i="24"/>
  <c r="V49" i="24"/>
  <c r="N49" i="24"/>
  <c r="L49" i="24"/>
  <c r="B49" i="24"/>
  <c r="X48" i="24"/>
  <c r="T48" i="24"/>
  <c r="Z48" i="24" s="1"/>
  <c r="P48" i="24"/>
  <c r="H48" i="24"/>
  <c r="N48" i="24" s="1"/>
  <c r="D48" i="24"/>
  <c r="L48" i="24" s="1"/>
  <c r="B48" i="24"/>
  <c r="Z47" i="24"/>
  <c r="X47" i="24"/>
  <c r="N47" i="24"/>
  <c r="L47" i="24"/>
  <c r="J47" i="24"/>
  <c r="B47" i="24"/>
  <c r="T46" i="24"/>
  <c r="P46" i="24"/>
  <c r="X46" i="24" s="1"/>
  <c r="N46" i="24"/>
  <c r="H46" i="24"/>
  <c r="D46" i="24"/>
  <c r="L46" i="24" s="1"/>
  <c r="B46" i="24"/>
  <c r="X45" i="24"/>
  <c r="Z45" i="24" s="1"/>
  <c r="L45" i="24"/>
  <c r="N45" i="24" s="1"/>
  <c r="J45" i="24"/>
  <c r="B45" i="24"/>
  <c r="T44" i="24"/>
  <c r="P44" i="24"/>
  <c r="X44" i="24" s="1"/>
  <c r="Z44" i="24" s="1"/>
  <c r="L44" i="24"/>
  <c r="N44" i="24" s="1"/>
  <c r="J44" i="24"/>
  <c r="H44" i="24"/>
  <c r="D44" i="24"/>
  <c r="B44" i="24"/>
  <c r="Z43" i="24"/>
  <c r="X43" i="24"/>
  <c r="V43" i="24"/>
  <c r="N43" i="24"/>
  <c r="L43" i="24"/>
  <c r="B43" i="24"/>
  <c r="X42" i="24"/>
  <c r="Z42" i="24" s="1"/>
  <c r="V42" i="24"/>
  <c r="T42" i="24"/>
  <c r="P42" i="24"/>
  <c r="H42" i="24"/>
  <c r="D42" i="24"/>
  <c r="B42" i="24"/>
  <c r="Z41" i="24"/>
  <c r="X41" i="24"/>
  <c r="V41" i="24"/>
  <c r="N41" i="24"/>
  <c r="L41" i="24"/>
  <c r="B41" i="24"/>
  <c r="Z40" i="24"/>
  <c r="X40" i="24"/>
  <c r="N40" i="24"/>
  <c r="L40" i="24"/>
  <c r="B40" i="24"/>
  <c r="Z39" i="24"/>
  <c r="X39" i="24"/>
  <c r="V39" i="24"/>
  <c r="N39" i="24"/>
  <c r="L39" i="24"/>
  <c r="B39" i="24"/>
  <c r="X38" i="24"/>
  <c r="Z38" i="24" s="1"/>
  <c r="V38" i="24"/>
  <c r="L38" i="24"/>
  <c r="N38" i="24" s="1"/>
  <c r="B38" i="24"/>
  <c r="Z37" i="24"/>
  <c r="X37" i="24"/>
  <c r="N37" i="24"/>
  <c r="L37" i="24"/>
  <c r="J37" i="24"/>
  <c r="B37" i="24"/>
  <c r="Z36" i="24"/>
  <c r="X36" i="24"/>
  <c r="N36" i="24"/>
  <c r="L36" i="24"/>
  <c r="B36" i="24"/>
  <c r="Z35" i="24"/>
  <c r="X35" i="24"/>
  <c r="N35" i="24"/>
  <c r="L35" i="24"/>
  <c r="B35" i="24"/>
  <c r="Z34" i="24"/>
  <c r="X34" i="24"/>
  <c r="N34" i="24"/>
  <c r="L34" i="24"/>
  <c r="B34" i="24"/>
  <c r="Z33" i="24"/>
  <c r="X33" i="24"/>
  <c r="V33" i="24"/>
  <c r="N33" i="24"/>
  <c r="L33" i="24"/>
  <c r="B33" i="24"/>
  <c r="Z32" i="24"/>
  <c r="X32" i="24"/>
  <c r="N32" i="24"/>
  <c r="L32" i="24"/>
  <c r="B32" i="24"/>
  <c r="Z31" i="24"/>
  <c r="V31" i="24"/>
  <c r="T31" i="24"/>
  <c r="X31" i="24" s="1"/>
  <c r="P31" i="24"/>
  <c r="J31" i="24"/>
  <c r="H31" i="24"/>
  <c r="D31" i="24"/>
  <c r="L31" i="24" s="1"/>
  <c r="B31" i="24"/>
  <c r="X30" i="24"/>
  <c r="Z30" i="24" s="1"/>
  <c r="L30" i="24"/>
  <c r="N30" i="24" s="1"/>
  <c r="J30" i="24"/>
  <c r="B30" i="24"/>
  <c r="Z29" i="24"/>
  <c r="X29" i="24"/>
  <c r="V29" i="24"/>
  <c r="N29" i="24"/>
  <c r="L29" i="24"/>
  <c r="B29" i="24"/>
  <c r="Z28" i="24"/>
  <c r="X28" i="24"/>
  <c r="N28" i="24"/>
  <c r="L28" i="24"/>
  <c r="B28" i="24"/>
  <c r="Z27" i="24"/>
  <c r="X27" i="24"/>
  <c r="V27" i="24"/>
  <c r="N27" i="24"/>
  <c r="L27" i="24"/>
  <c r="B27" i="24"/>
  <c r="X26" i="24"/>
  <c r="Z26" i="24" s="1"/>
  <c r="V26" i="24"/>
  <c r="L26" i="24"/>
  <c r="N26" i="24" s="1"/>
  <c r="B26" i="24"/>
  <c r="Z25" i="24"/>
  <c r="X25" i="24"/>
  <c r="N25" i="24"/>
  <c r="L25" i="24"/>
  <c r="B25" i="24"/>
  <c r="Z24" i="24"/>
  <c r="X24" i="24"/>
  <c r="L24" i="24"/>
  <c r="N24" i="24" s="1"/>
  <c r="B24" i="24"/>
  <c r="Z23" i="24"/>
  <c r="X23" i="24"/>
  <c r="N23" i="24"/>
  <c r="L23" i="24"/>
  <c r="J23" i="24"/>
  <c r="B23" i="24"/>
  <c r="T22" i="24"/>
  <c r="P22" i="24"/>
  <c r="H22" i="24"/>
  <c r="D22" i="24"/>
  <c r="L22" i="24" s="1"/>
  <c r="N22" i="24" s="1"/>
  <c r="B22" i="24"/>
  <c r="T21" i="24"/>
  <c r="P21" i="24"/>
  <c r="X21" i="24" s="1"/>
  <c r="H21" i="24"/>
  <c r="L21" i="24" s="1"/>
  <c r="D21" i="24"/>
  <c r="X17" i="24"/>
  <c r="Z17" i="24" s="1"/>
  <c r="L17" i="24"/>
  <c r="N17" i="24" s="1"/>
  <c r="J17" i="24"/>
  <c r="B17" i="24"/>
  <c r="Z16" i="24"/>
  <c r="T16" i="24"/>
  <c r="P16" i="24"/>
  <c r="X16" i="24" s="1"/>
  <c r="L16" i="24"/>
  <c r="N16" i="24" s="1"/>
  <c r="H16" i="24"/>
  <c r="D16" i="24"/>
  <c r="X14" i="24"/>
  <c r="Z14" i="24" s="1"/>
  <c r="P14" i="24"/>
  <c r="N14" i="24"/>
  <c r="L14" i="24"/>
  <c r="D14" i="24"/>
  <c r="B14" i="24"/>
  <c r="P13" i="24"/>
  <c r="X13" i="24" s="1"/>
  <c r="Z13" i="24" s="1"/>
  <c r="D13" i="24"/>
  <c r="B13" i="24"/>
  <c r="T12" i="24"/>
  <c r="H12" i="24"/>
  <c r="D4" i="24"/>
  <c r="B39" i="23"/>
  <c r="B38" i="23"/>
  <c r="T34" i="23"/>
  <c r="Z34" i="23" s="1"/>
  <c r="P34" i="23"/>
  <c r="H34" i="23"/>
  <c r="N34" i="23" s="1"/>
  <c r="D34" i="23"/>
  <c r="T33" i="23"/>
  <c r="P33" i="23"/>
  <c r="H33" i="23"/>
  <c r="N33" i="23" s="1"/>
  <c r="D33" i="23"/>
  <c r="T29" i="23"/>
  <c r="P29" i="23"/>
  <c r="H29" i="23"/>
  <c r="N29" i="23" s="1"/>
  <c r="D29" i="23"/>
  <c r="T25" i="23"/>
  <c r="P25" i="23"/>
  <c r="H25" i="23"/>
  <c r="N25" i="23" s="1"/>
  <c r="D25" i="23"/>
  <c r="B25" i="23"/>
  <c r="T24" i="23"/>
  <c r="Z24" i="23" s="1"/>
  <c r="P24" i="23"/>
  <c r="H24" i="23"/>
  <c r="N24" i="23" s="1"/>
  <c r="D24" i="23"/>
  <c r="T22" i="23"/>
  <c r="Z22" i="23" s="1"/>
  <c r="P22" i="23"/>
  <c r="H22" i="23"/>
  <c r="N22" i="23" s="1"/>
  <c r="D22" i="23"/>
  <c r="B22" i="23"/>
  <c r="T21" i="23"/>
  <c r="Z21" i="23" s="1"/>
  <c r="P21" i="23"/>
  <c r="H21" i="23"/>
  <c r="N21" i="23" s="1"/>
  <c r="D21" i="23"/>
  <c r="B21" i="23"/>
  <c r="T20" i="23"/>
  <c r="Z20" i="23" s="1"/>
  <c r="P20" i="23"/>
  <c r="H20" i="23"/>
  <c r="N20" i="23" s="1"/>
  <c r="D20" i="23"/>
  <c r="T16" i="23"/>
  <c r="Z16" i="23" s="1"/>
  <c r="P16" i="23"/>
  <c r="H16" i="23"/>
  <c r="D16" i="23"/>
  <c r="B16" i="23"/>
  <c r="T15" i="23"/>
  <c r="P15" i="23"/>
  <c r="H15" i="23"/>
  <c r="N15" i="23" s="1"/>
  <c r="D15" i="23"/>
  <c r="T13" i="23"/>
  <c r="Z13" i="23" s="1"/>
  <c r="P13" i="23"/>
  <c r="H13" i="23"/>
  <c r="N13" i="23" s="1"/>
  <c r="D13" i="23"/>
  <c r="B13" i="23"/>
  <c r="T12" i="23"/>
  <c r="V34" i="23" s="1"/>
  <c r="P12" i="23"/>
  <c r="R31" i="23" s="1"/>
  <c r="H12" i="23"/>
  <c r="J25" i="23" s="1"/>
  <c r="D12" i="23"/>
  <c r="F24" i="23" s="1"/>
  <c r="D5" i="23"/>
  <c r="D4" i="23"/>
  <c r="B39" i="22"/>
  <c r="B38" i="22"/>
  <c r="T34" i="22"/>
  <c r="Z34" i="22" s="1"/>
  <c r="P34" i="22"/>
  <c r="H34" i="22"/>
  <c r="N34" i="22" s="1"/>
  <c r="D34" i="22"/>
  <c r="T33" i="22"/>
  <c r="Z33" i="22" s="1"/>
  <c r="P33" i="22"/>
  <c r="H33" i="22"/>
  <c r="N33" i="22" s="1"/>
  <c r="D33" i="22"/>
  <c r="T29" i="22"/>
  <c r="Z29" i="22" s="1"/>
  <c r="P29" i="22"/>
  <c r="H29" i="22"/>
  <c r="N29" i="22" s="1"/>
  <c r="D29" i="22"/>
  <c r="T25" i="22"/>
  <c r="Z25" i="22" s="1"/>
  <c r="P25" i="22"/>
  <c r="H25" i="22"/>
  <c r="N25" i="22" s="1"/>
  <c r="D25" i="22"/>
  <c r="B25" i="22"/>
  <c r="T24" i="22"/>
  <c r="Z24" i="22" s="1"/>
  <c r="P24" i="22"/>
  <c r="H24" i="22"/>
  <c r="N24" i="22" s="1"/>
  <c r="D24" i="22"/>
  <c r="T22" i="22"/>
  <c r="Z22" i="22" s="1"/>
  <c r="P22" i="22"/>
  <c r="H22" i="22"/>
  <c r="N22" i="22" s="1"/>
  <c r="D22" i="22"/>
  <c r="B22" i="22"/>
  <c r="T21" i="22"/>
  <c r="Z21" i="22" s="1"/>
  <c r="P21" i="22"/>
  <c r="H21" i="22"/>
  <c r="N21" i="22" s="1"/>
  <c r="D21" i="22"/>
  <c r="B21" i="22"/>
  <c r="T20" i="22"/>
  <c r="Z20" i="22" s="1"/>
  <c r="P20" i="22"/>
  <c r="H20" i="22"/>
  <c r="N20" i="22" s="1"/>
  <c r="D20" i="22"/>
  <c r="T16" i="22"/>
  <c r="Z16" i="22" s="1"/>
  <c r="P16" i="22"/>
  <c r="H16" i="22"/>
  <c r="N16" i="22" s="1"/>
  <c r="D16" i="22"/>
  <c r="B16" i="22"/>
  <c r="T15" i="22"/>
  <c r="Z15" i="22" s="1"/>
  <c r="P15" i="22"/>
  <c r="H15" i="22"/>
  <c r="D15" i="22"/>
  <c r="T13" i="22"/>
  <c r="Z13" i="22" s="1"/>
  <c r="P13" i="22"/>
  <c r="H13" i="22"/>
  <c r="N13" i="22" s="1"/>
  <c r="D13" i="22"/>
  <c r="B13" i="22"/>
  <c r="T12" i="22"/>
  <c r="V29" i="22" s="1"/>
  <c r="P12" i="22"/>
  <c r="R22" i="22" s="1"/>
  <c r="H12" i="22"/>
  <c r="J24" i="22" s="1"/>
  <c r="D12" i="22"/>
  <c r="F31" i="22" s="1"/>
  <c r="D5" i="22"/>
  <c r="D4" i="22"/>
  <c r="V84" i="21"/>
  <c r="J84" i="21"/>
  <c r="F84" i="21"/>
  <c r="Z79" i="21"/>
  <c r="X79" i="21"/>
  <c r="V79" i="21"/>
  <c r="N79" i="21"/>
  <c r="L79" i="21"/>
  <c r="V77" i="21"/>
  <c r="J77" i="21"/>
  <c r="F77" i="21"/>
  <c r="T75" i="21"/>
  <c r="Z75" i="21" s="1"/>
  <c r="P75" i="21"/>
  <c r="X75" i="21" s="1"/>
  <c r="N75" i="21"/>
  <c r="L75" i="21"/>
  <c r="H75" i="21"/>
  <c r="D75" i="21"/>
  <c r="Z73" i="21"/>
  <c r="X73" i="21"/>
  <c r="V73" i="21"/>
  <c r="N73" i="21"/>
  <c r="L73" i="21"/>
  <c r="B73" i="21"/>
  <c r="Z72" i="21"/>
  <c r="X72" i="21"/>
  <c r="V72" i="21"/>
  <c r="T72" i="21"/>
  <c r="P72" i="21"/>
  <c r="L72" i="21"/>
  <c r="H72" i="21"/>
  <c r="N72" i="21" s="1"/>
  <c r="F72" i="21"/>
  <c r="D72" i="21"/>
  <c r="B72" i="21"/>
  <c r="X71" i="21"/>
  <c r="Z71" i="21" s="1"/>
  <c r="V71" i="21"/>
  <c r="L71" i="21"/>
  <c r="N71" i="21" s="1"/>
  <c r="B71" i="21"/>
  <c r="X70" i="21"/>
  <c r="Z70" i="21" s="1"/>
  <c r="N70" i="21"/>
  <c r="L70" i="21"/>
  <c r="B70" i="21"/>
  <c r="V69" i="21"/>
  <c r="T69" i="21"/>
  <c r="X69" i="21" s="1"/>
  <c r="P69" i="21"/>
  <c r="J69" i="21"/>
  <c r="H69" i="21"/>
  <c r="N69" i="21" s="1"/>
  <c r="F69" i="21"/>
  <c r="D69" i="21"/>
  <c r="L69" i="21" s="1"/>
  <c r="B69" i="21"/>
  <c r="Z68" i="21"/>
  <c r="X68" i="21"/>
  <c r="N68" i="21"/>
  <c r="L68" i="21"/>
  <c r="J68" i="21"/>
  <c r="B68" i="21"/>
  <c r="Z67" i="21"/>
  <c r="X67" i="21"/>
  <c r="V67" i="21"/>
  <c r="N67" i="21"/>
  <c r="L67" i="21"/>
  <c r="B67" i="21"/>
  <c r="Z66" i="21"/>
  <c r="X66" i="21"/>
  <c r="N66" i="21"/>
  <c r="L66" i="21"/>
  <c r="B66" i="21"/>
  <c r="Z65" i="21"/>
  <c r="X65" i="21"/>
  <c r="V65" i="21"/>
  <c r="N65" i="21"/>
  <c r="L65" i="21"/>
  <c r="B65" i="21"/>
  <c r="Z64" i="21"/>
  <c r="X64" i="21"/>
  <c r="V64" i="21"/>
  <c r="N64" i="21"/>
  <c r="L64" i="21"/>
  <c r="F64" i="21"/>
  <c r="B64" i="21"/>
  <c r="Z63" i="21"/>
  <c r="X63" i="21"/>
  <c r="T63" i="21"/>
  <c r="P63" i="21"/>
  <c r="N63" i="21"/>
  <c r="J63" i="21"/>
  <c r="H63" i="21"/>
  <c r="L63" i="21" s="1"/>
  <c r="D63" i="21"/>
  <c r="B63" i="21"/>
  <c r="Z62" i="21"/>
  <c r="X62" i="21"/>
  <c r="N62" i="21"/>
  <c r="L62" i="21"/>
  <c r="B62" i="21"/>
  <c r="V61" i="21"/>
  <c r="T61" i="21"/>
  <c r="P61" i="21"/>
  <c r="J61" i="21"/>
  <c r="H61" i="21"/>
  <c r="N61" i="21" s="1"/>
  <c r="F61" i="21"/>
  <c r="D61" i="21"/>
  <c r="L61" i="21" s="1"/>
  <c r="B61" i="21"/>
  <c r="Z60" i="21"/>
  <c r="X60" i="21"/>
  <c r="N60" i="21"/>
  <c r="L60" i="21"/>
  <c r="J60" i="21"/>
  <c r="B60" i="21"/>
  <c r="V59" i="21"/>
  <c r="T59" i="21"/>
  <c r="Z59" i="21" s="1"/>
  <c r="P59" i="21"/>
  <c r="X59" i="21" s="1"/>
  <c r="H59" i="21"/>
  <c r="N59" i="21" s="1"/>
  <c r="F59" i="21"/>
  <c r="D59" i="21"/>
  <c r="L59" i="21" s="1"/>
  <c r="B59" i="21"/>
  <c r="Z58" i="21"/>
  <c r="X58" i="21"/>
  <c r="L58" i="21"/>
  <c r="N58" i="21" s="1"/>
  <c r="F58" i="21"/>
  <c r="B58" i="21"/>
  <c r="Z57" i="21"/>
  <c r="X57" i="21"/>
  <c r="N57" i="21"/>
  <c r="L57" i="21"/>
  <c r="J57" i="21"/>
  <c r="F57" i="21"/>
  <c r="B57" i="21"/>
  <c r="T56" i="21"/>
  <c r="P56" i="21"/>
  <c r="H56" i="21"/>
  <c r="D56" i="21"/>
  <c r="L56" i="21" s="1"/>
  <c r="N56" i="21" s="1"/>
  <c r="B56" i="21"/>
  <c r="Z55" i="21"/>
  <c r="X55" i="21"/>
  <c r="L55" i="21"/>
  <c r="N55" i="21" s="1"/>
  <c r="J55" i="21"/>
  <c r="B55" i="21"/>
  <c r="T54" i="21"/>
  <c r="P54" i="21"/>
  <c r="X54" i="21" s="1"/>
  <c r="Z54" i="21" s="1"/>
  <c r="L54" i="21"/>
  <c r="N54" i="21" s="1"/>
  <c r="J54" i="21"/>
  <c r="H54" i="21"/>
  <c r="D54" i="21"/>
  <c r="B54" i="21"/>
  <c r="Z53" i="21"/>
  <c r="X53" i="21"/>
  <c r="V53" i="21"/>
  <c r="N53" i="21"/>
  <c r="L53" i="21"/>
  <c r="B53" i="21"/>
  <c r="X52" i="21"/>
  <c r="Z52" i="21" s="1"/>
  <c r="V52" i="21"/>
  <c r="T52" i="21"/>
  <c r="P52" i="21"/>
  <c r="L52" i="21"/>
  <c r="H52" i="21"/>
  <c r="F52" i="21"/>
  <c r="D52" i="21"/>
  <c r="B52" i="21"/>
  <c r="X51" i="21"/>
  <c r="Z51" i="21" s="1"/>
  <c r="V51" i="21"/>
  <c r="L51" i="21"/>
  <c r="N51" i="21" s="1"/>
  <c r="B51" i="21"/>
  <c r="X50" i="21"/>
  <c r="T50" i="21"/>
  <c r="P50" i="21"/>
  <c r="H50" i="21"/>
  <c r="D50" i="21"/>
  <c r="B50" i="21"/>
  <c r="Z49" i="21"/>
  <c r="X49" i="21"/>
  <c r="N49" i="21"/>
  <c r="L49" i="21"/>
  <c r="J49" i="21"/>
  <c r="F49" i="21"/>
  <c r="B49" i="21"/>
  <c r="Z48" i="21"/>
  <c r="X48" i="21"/>
  <c r="N48" i="21"/>
  <c r="L48" i="21"/>
  <c r="J48" i="21"/>
  <c r="B48" i="21"/>
  <c r="V47" i="21"/>
  <c r="T47" i="21"/>
  <c r="Z47" i="21" s="1"/>
  <c r="P47" i="21"/>
  <c r="X47" i="21" s="1"/>
  <c r="H47" i="21"/>
  <c r="N47" i="21" s="1"/>
  <c r="F47" i="21"/>
  <c r="D47" i="21"/>
  <c r="L47" i="21" s="1"/>
  <c r="B47" i="21"/>
  <c r="Z46" i="21"/>
  <c r="X46" i="21"/>
  <c r="N46" i="21"/>
  <c r="L46" i="21"/>
  <c r="F46" i="21"/>
  <c r="B46" i="21"/>
  <c r="T45" i="21"/>
  <c r="Z45" i="21" s="1"/>
  <c r="P45" i="21"/>
  <c r="X45" i="21" s="1"/>
  <c r="N45" i="21"/>
  <c r="L45" i="21"/>
  <c r="H45" i="21"/>
  <c r="D45" i="21"/>
  <c r="B45" i="21"/>
  <c r="Z44" i="21"/>
  <c r="X44" i="21"/>
  <c r="V44" i="21"/>
  <c r="N44" i="21"/>
  <c r="L44" i="21"/>
  <c r="F44" i="21"/>
  <c r="B44" i="21"/>
  <c r="Z43" i="21"/>
  <c r="X43" i="21"/>
  <c r="T43" i="21"/>
  <c r="P43" i="21"/>
  <c r="N43" i="21"/>
  <c r="J43" i="21"/>
  <c r="H43" i="21"/>
  <c r="L43" i="21" s="1"/>
  <c r="D43" i="21"/>
  <c r="B43" i="21"/>
  <c r="Z42" i="21"/>
  <c r="X42" i="21"/>
  <c r="N42" i="21"/>
  <c r="L42" i="21"/>
  <c r="B42" i="21"/>
  <c r="Z41" i="21"/>
  <c r="X41" i="21"/>
  <c r="V41" i="21"/>
  <c r="N41" i="21"/>
  <c r="L41" i="21"/>
  <c r="B41" i="21"/>
  <c r="Z40" i="21"/>
  <c r="X40" i="21"/>
  <c r="V40" i="21"/>
  <c r="N40" i="21"/>
  <c r="L40" i="21"/>
  <c r="J40" i="21"/>
  <c r="F40" i="21"/>
  <c r="B40" i="21"/>
  <c r="Z39" i="21"/>
  <c r="X39" i="21"/>
  <c r="N39" i="21"/>
  <c r="L39" i="21"/>
  <c r="J39" i="21"/>
  <c r="B39" i="21"/>
  <c r="Z38" i="21"/>
  <c r="X38" i="21"/>
  <c r="N38" i="21"/>
  <c r="L38" i="21"/>
  <c r="F38" i="21"/>
  <c r="B38" i="21"/>
  <c r="Z37" i="21"/>
  <c r="X37" i="21"/>
  <c r="N37" i="21"/>
  <c r="L37" i="21"/>
  <c r="J37" i="21"/>
  <c r="F37" i="21"/>
  <c r="B37" i="21"/>
  <c r="Z36" i="21"/>
  <c r="X36" i="21"/>
  <c r="N36" i="21"/>
  <c r="L36" i="21"/>
  <c r="J36" i="21"/>
  <c r="B36" i="21"/>
  <c r="Z35" i="21"/>
  <c r="X35" i="21"/>
  <c r="V35" i="21"/>
  <c r="N35" i="21"/>
  <c r="L35" i="21"/>
  <c r="B35" i="21"/>
  <c r="X34" i="21"/>
  <c r="Z34" i="21" s="1"/>
  <c r="N34" i="21"/>
  <c r="L34" i="21"/>
  <c r="B34" i="21"/>
  <c r="Z33" i="21"/>
  <c r="X33" i="21"/>
  <c r="V33" i="21"/>
  <c r="N33" i="21"/>
  <c r="L33" i="21"/>
  <c r="B33" i="21"/>
  <c r="X32" i="21"/>
  <c r="Z32" i="21" s="1"/>
  <c r="V32" i="21"/>
  <c r="T32" i="21"/>
  <c r="P32" i="21"/>
  <c r="L32" i="21"/>
  <c r="J32" i="21"/>
  <c r="H32" i="21"/>
  <c r="F32" i="21"/>
  <c r="D32" i="21"/>
  <c r="B32" i="21"/>
  <c r="X31" i="21"/>
  <c r="Z31" i="21" s="1"/>
  <c r="V31" i="21"/>
  <c r="N31" i="21"/>
  <c r="L31" i="21"/>
  <c r="B31" i="21"/>
  <c r="X30" i="21"/>
  <c r="Z30" i="21" s="1"/>
  <c r="N30" i="21"/>
  <c r="L30" i="21"/>
  <c r="B30" i="21"/>
  <c r="Z29" i="21"/>
  <c r="X29" i="21"/>
  <c r="V29" i="21"/>
  <c r="N29" i="21"/>
  <c r="L29" i="21"/>
  <c r="B29" i="21"/>
  <c r="X28" i="21"/>
  <c r="Z28" i="21" s="1"/>
  <c r="V28" i="21"/>
  <c r="L28" i="21"/>
  <c r="N28" i="21" s="1"/>
  <c r="J28" i="21"/>
  <c r="F28" i="21"/>
  <c r="B28" i="21"/>
  <c r="X27" i="21"/>
  <c r="Z27" i="21" s="1"/>
  <c r="L27" i="21"/>
  <c r="N27" i="21" s="1"/>
  <c r="J27" i="21"/>
  <c r="B27" i="21"/>
  <c r="Z26" i="21"/>
  <c r="X26" i="21"/>
  <c r="L26" i="21"/>
  <c r="N26" i="21" s="1"/>
  <c r="J26" i="21"/>
  <c r="F26" i="21"/>
  <c r="B26" i="21"/>
  <c r="Z25" i="21"/>
  <c r="X25" i="21"/>
  <c r="N25" i="21"/>
  <c r="L25" i="21"/>
  <c r="J25" i="21"/>
  <c r="F25" i="21"/>
  <c r="B25" i="21"/>
  <c r="X24" i="21"/>
  <c r="Z24" i="21" s="1"/>
  <c r="L24" i="21"/>
  <c r="N24" i="21" s="1"/>
  <c r="J24" i="21"/>
  <c r="B24" i="21"/>
  <c r="V23" i="21"/>
  <c r="T23" i="21"/>
  <c r="P23" i="21"/>
  <c r="X23" i="21" s="1"/>
  <c r="H23" i="21"/>
  <c r="N23" i="21" s="1"/>
  <c r="F23" i="21"/>
  <c r="D23" i="21"/>
  <c r="L23" i="21" s="1"/>
  <c r="B23" i="21"/>
  <c r="T22" i="21"/>
  <c r="P22" i="21"/>
  <c r="X22" i="21" s="1"/>
  <c r="Z22" i="21" s="1"/>
  <c r="J22" i="21"/>
  <c r="H22" i="21"/>
  <c r="D22" i="21"/>
  <c r="L22" i="21" s="1"/>
  <c r="N22" i="21" s="1"/>
  <c r="T20" i="21"/>
  <c r="Z20" i="21" s="1"/>
  <c r="J20" i="21"/>
  <c r="H20" i="21"/>
  <c r="D20" i="21"/>
  <c r="L20" i="21" s="1"/>
  <c r="Z18" i="21"/>
  <c r="X18" i="21"/>
  <c r="N18" i="21"/>
  <c r="L18" i="21"/>
  <c r="J18" i="21"/>
  <c r="F18" i="21"/>
  <c r="B18" i="21"/>
  <c r="Z17" i="21"/>
  <c r="X17" i="21"/>
  <c r="N17" i="21"/>
  <c r="L17" i="21"/>
  <c r="J17" i="21"/>
  <c r="F17" i="21"/>
  <c r="B17" i="21"/>
  <c r="V16" i="21"/>
  <c r="T16" i="21"/>
  <c r="Z16" i="21" s="1"/>
  <c r="P16" i="21"/>
  <c r="N16" i="21"/>
  <c r="H16" i="21"/>
  <c r="F16" i="21"/>
  <c r="D16" i="21"/>
  <c r="L16" i="21" s="1"/>
  <c r="Z14" i="21"/>
  <c r="P14" i="21"/>
  <c r="X14" i="21" s="1"/>
  <c r="N14" i="21"/>
  <c r="D14" i="21"/>
  <c r="L14" i="21" s="1"/>
  <c r="B14" i="21"/>
  <c r="Z13" i="21"/>
  <c r="P13" i="21"/>
  <c r="X13" i="21" s="1"/>
  <c r="N13" i="21"/>
  <c r="L13" i="21"/>
  <c r="D13" i="21"/>
  <c r="B13" i="21"/>
  <c r="Z12" i="21"/>
  <c r="T12" i="21"/>
  <c r="V81" i="21" s="1"/>
  <c r="N12" i="21"/>
  <c r="H12" i="21"/>
  <c r="J79" i="21" s="1"/>
  <c r="D12" i="21"/>
  <c r="F81" i="21" s="1"/>
  <c r="D4" i="21"/>
  <c r="B39" i="20"/>
  <c r="B38" i="20"/>
  <c r="T34" i="20"/>
  <c r="Z34" i="20" s="1"/>
  <c r="P34" i="20"/>
  <c r="H34" i="20"/>
  <c r="N34" i="20" s="1"/>
  <c r="D34" i="20"/>
  <c r="T33" i="20"/>
  <c r="Z33" i="20" s="1"/>
  <c r="P33" i="20"/>
  <c r="H33" i="20"/>
  <c r="D33" i="20"/>
  <c r="T29" i="20"/>
  <c r="Z29" i="20" s="1"/>
  <c r="P29" i="20"/>
  <c r="H29" i="20"/>
  <c r="D29" i="20"/>
  <c r="T25" i="20"/>
  <c r="Z25" i="20" s="1"/>
  <c r="P25" i="20"/>
  <c r="H25" i="20"/>
  <c r="D25" i="20"/>
  <c r="B25" i="20"/>
  <c r="T24" i="20"/>
  <c r="Z24" i="20" s="1"/>
  <c r="P24" i="20"/>
  <c r="H24" i="20"/>
  <c r="N24" i="20" s="1"/>
  <c r="D24" i="20"/>
  <c r="T22" i="20"/>
  <c r="Z22" i="20" s="1"/>
  <c r="P22" i="20"/>
  <c r="H22" i="20"/>
  <c r="D22" i="20"/>
  <c r="B22" i="20"/>
  <c r="T21" i="20"/>
  <c r="P21" i="20"/>
  <c r="H21" i="20"/>
  <c r="N21" i="20" s="1"/>
  <c r="D21" i="20"/>
  <c r="B21" i="20"/>
  <c r="T20" i="20"/>
  <c r="Z20" i="20" s="1"/>
  <c r="P20" i="20"/>
  <c r="H20" i="20"/>
  <c r="N20" i="20" s="1"/>
  <c r="D20" i="20"/>
  <c r="T16" i="20"/>
  <c r="Z16" i="20" s="1"/>
  <c r="P16" i="20"/>
  <c r="H16" i="20"/>
  <c r="N16" i="20" s="1"/>
  <c r="D16" i="20"/>
  <c r="B16" i="20"/>
  <c r="T15" i="20"/>
  <c r="Z15" i="20" s="1"/>
  <c r="P15" i="20"/>
  <c r="H15" i="20"/>
  <c r="D15" i="20"/>
  <c r="T13" i="20"/>
  <c r="P13" i="20"/>
  <c r="H13" i="20"/>
  <c r="N13" i="20" s="1"/>
  <c r="D13" i="20"/>
  <c r="B13" i="20"/>
  <c r="T12" i="20"/>
  <c r="V24" i="20" s="1"/>
  <c r="P12" i="20"/>
  <c r="R34" i="20" s="1"/>
  <c r="H12" i="20"/>
  <c r="J34" i="20" s="1"/>
  <c r="D12" i="20"/>
  <c r="D5" i="20"/>
  <c r="D4" i="20"/>
  <c r="B39" i="19"/>
  <c r="B38" i="19"/>
  <c r="T34" i="19"/>
  <c r="P34" i="19"/>
  <c r="H34" i="19"/>
  <c r="N34" i="19" s="1"/>
  <c r="D34" i="19"/>
  <c r="T33" i="19"/>
  <c r="Z33" i="19" s="1"/>
  <c r="P33" i="19"/>
  <c r="H33" i="19"/>
  <c r="N33" i="19" s="1"/>
  <c r="D33" i="19"/>
  <c r="T29" i="19"/>
  <c r="Z29" i="19" s="1"/>
  <c r="P29" i="19"/>
  <c r="H29" i="19"/>
  <c r="N29" i="19" s="1"/>
  <c r="D29" i="19"/>
  <c r="T25" i="19"/>
  <c r="Z25" i="19" s="1"/>
  <c r="P25" i="19"/>
  <c r="H25" i="19"/>
  <c r="N25" i="19" s="1"/>
  <c r="D25" i="19"/>
  <c r="B25" i="19"/>
  <c r="T24" i="19"/>
  <c r="P24" i="19"/>
  <c r="H24" i="19"/>
  <c r="N24" i="19" s="1"/>
  <c r="D24" i="19"/>
  <c r="T22" i="19"/>
  <c r="Z22" i="19" s="1"/>
  <c r="P22" i="19"/>
  <c r="H22" i="19"/>
  <c r="N22" i="19" s="1"/>
  <c r="D22" i="19"/>
  <c r="B22" i="19"/>
  <c r="T21" i="19"/>
  <c r="P21" i="19"/>
  <c r="H21" i="19"/>
  <c r="N21" i="19" s="1"/>
  <c r="D21" i="19"/>
  <c r="B21" i="19"/>
  <c r="T20" i="19"/>
  <c r="Z20" i="19" s="1"/>
  <c r="P20" i="19"/>
  <c r="H20" i="19"/>
  <c r="N20" i="19" s="1"/>
  <c r="D20" i="19"/>
  <c r="T16" i="19"/>
  <c r="Z16" i="19" s="1"/>
  <c r="P16" i="19"/>
  <c r="H16" i="19"/>
  <c r="N16" i="19" s="1"/>
  <c r="D16" i="19"/>
  <c r="B16" i="19"/>
  <c r="T15" i="19"/>
  <c r="Z15" i="19" s="1"/>
  <c r="P15" i="19"/>
  <c r="H15" i="19"/>
  <c r="N15" i="19" s="1"/>
  <c r="D15" i="19"/>
  <c r="T13" i="19"/>
  <c r="Z13" i="19" s="1"/>
  <c r="P13" i="19"/>
  <c r="H13" i="19"/>
  <c r="N13" i="19" s="1"/>
  <c r="D13" i="19"/>
  <c r="B13" i="19"/>
  <c r="T12" i="19"/>
  <c r="V20" i="19" s="1"/>
  <c r="P12" i="19"/>
  <c r="R16" i="19" s="1"/>
  <c r="H12" i="19"/>
  <c r="J20" i="19" s="1"/>
  <c r="D12" i="19"/>
  <c r="F22" i="19" s="1"/>
  <c r="D5" i="19"/>
  <c r="D4" i="19"/>
  <c r="Z149" i="18"/>
  <c r="X149" i="18"/>
  <c r="L149" i="18"/>
  <c r="N149" i="18" s="1"/>
  <c r="Z145" i="18"/>
  <c r="V145" i="18"/>
  <c r="P145" i="18"/>
  <c r="X145" i="18" s="1"/>
  <c r="N145" i="18"/>
  <c r="D145" i="18"/>
  <c r="L145" i="18" s="1"/>
  <c r="B145" i="18"/>
  <c r="Z144" i="18"/>
  <c r="X144" i="18"/>
  <c r="P144" i="18"/>
  <c r="N144" i="18"/>
  <c r="D144" i="18"/>
  <c r="L144" i="18" s="1"/>
  <c r="B144" i="18"/>
  <c r="Z143" i="18"/>
  <c r="P143" i="18"/>
  <c r="X143" i="18" s="1"/>
  <c r="N143" i="18"/>
  <c r="L143" i="18"/>
  <c r="D143" i="18"/>
  <c r="B143" i="18"/>
  <c r="P142" i="18"/>
  <c r="X142" i="18" s="1"/>
  <c r="Z142" i="18" s="1"/>
  <c r="D142" i="18"/>
  <c r="L142" i="18" s="1"/>
  <c r="N142" i="18" s="1"/>
  <c r="B142" i="18"/>
  <c r="Z141" i="18"/>
  <c r="X141" i="18"/>
  <c r="P141" i="18"/>
  <c r="N141" i="18"/>
  <c r="D141" i="18"/>
  <c r="L141" i="18" s="1"/>
  <c r="B141" i="18"/>
  <c r="Z140" i="18"/>
  <c r="P140" i="18"/>
  <c r="X140" i="18" s="1"/>
  <c r="N140" i="18"/>
  <c r="L140" i="18"/>
  <c r="D140" i="18"/>
  <c r="B140" i="18"/>
  <c r="T139" i="18"/>
  <c r="H139" i="18"/>
  <c r="D139" i="18"/>
  <c r="L139" i="18" s="1"/>
  <c r="Z137" i="18"/>
  <c r="X137" i="18"/>
  <c r="N137" i="18"/>
  <c r="L137" i="18"/>
  <c r="B137" i="18"/>
  <c r="T136" i="18"/>
  <c r="P136" i="18"/>
  <c r="N136" i="18"/>
  <c r="H136" i="18"/>
  <c r="D136" i="18"/>
  <c r="L136" i="18" s="1"/>
  <c r="B136" i="18"/>
  <c r="X135" i="18"/>
  <c r="Z135" i="18" s="1"/>
  <c r="L135" i="18"/>
  <c r="N135" i="18" s="1"/>
  <c r="B135" i="18"/>
  <c r="Z134" i="18"/>
  <c r="X134" i="18"/>
  <c r="L134" i="18"/>
  <c r="N134" i="18" s="1"/>
  <c r="B134" i="18"/>
  <c r="Z133" i="18"/>
  <c r="X133" i="18"/>
  <c r="N133" i="18"/>
  <c r="L133" i="18"/>
  <c r="B133" i="18"/>
  <c r="T132" i="18"/>
  <c r="P132" i="18"/>
  <c r="X132" i="18" s="1"/>
  <c r="H132" i="18"/>
  <c r="D132" i="18"/>
  <c r="L132" i="18" s="1"/>
  <c r="N132" i="18" s="1"/>
  <c r="B132" i="18"/>
  <c r="Z131" i="18"/>
  <c r="X131" i="18"/>
  <c r="L131" i="18"/>
  <c r="N131" i="18" s="1"/>
  <c r="B131" i="18"/>
  <c r="Z130" i="18"/>
  <c r="X130" i="18"/>
  <c r="N130" i="18"/>
  <c r="L130" i="18"/>
  <c r="B130" i="18"/>
  <c r="T129" i="18"/>
  <c r="P129" i="18"/>
  <c r="X129" i="18" s="1"/>
  <c r="L129" i="18"/>
  <c r="N129" i="18" s="1"/>
  <c r="H129" i="18"/>
  <c r="D129" i="18"/>
  <c r="B129" i="18"/>
  <c r="X128" i="18"/>
  <c r="Z128" i="18" s="1"/>
  <c r="L128" i="18"/>
  <c r="N128" i="18" s="1"/>
  <c r="B128" i="18"/>
  <c r="Z127" i="18"/>
  <c r="X127" i="18"/>
  <c r="L127" i="18"/>
  <c r="N127" i="18" s="1"/>
  <c r="B127" i="18"/>
  <c r="Z126" i="18"/>
  <c r="X126" i="18"/>
  <c r="L126" i="18"/>
  <c r="N126" i="18" s="1"/>
  <c r="B126" i="18"/>
  <c r="Z125" i="18"/>
  <c r="X125" i="18"/>
  <c r="N125" i="18"/>
  <c r="L125" i="18"/>
  <c r="B125" i="18"/>
  <c r="X124" i="18"/>
  <c r="Z124" i="18" s="1"/>
  <c r="L124" i="18"/>
  <c r="N124" i="18" s="1"/>
  <c r="B124" i="18"/>
  <c r="X123" i="18"/>
  <c r="Z123" i="18" s="1"/>
  <c r="N123" i="18"/>
  <c r="L123" i="18"/>
  <c r="B123" i="18"/>
  <c r="X122" i="18"/>
  <c r="T122" i="18"/>
  <c r="P122" i="18"/>
  <c r="H122" i="18"/>
  <c r="D122" i="18"/>
  <c r="B122" i="18"/>
  <c r="X121" i="18"/>
  <c r="Z121" i="18" s="1"/>
  <c r="N121" i="18"/>
  <c r="L121" i="18"/>
  <c r="J121" i="18"/>
  <c r="B121" i="18"/>
  <c r="X120" i="18"/>
  <c r="Z120" i="18" s="1"/>
  <c r="L120" i="18"/>
  <c r="N120" i="18" s="1"/>
  <c r="B120" i="18"/>
  <c r="V119" i="18"/>
  <c r="T119" i="18"/>
  <c r="P119" i="18"/>
  <c r="X119" i="18" s="1"/>
  <c r="H119" i="18"/>
  <c r="D119" i="18"/>
  <c r="L119" i="18" s="1"/>
  <c r="B119" i="18"/>
  <c r="Z118" i="18"/>
  <c r="X118" i="18"/>
  <c r="N118" i="18"/>
  <c r="L118" i="18"/>
  <c r="B118" i="18"/>
  <c r="Z117" i="18"/>
  <c r="X117" i="18"/>
  <c r="N117" i="18"/>
  <c r="L117" i="18"/>
  <c r="B117" i="18"/>
  <c r="X116" i="18"/>
  <c r="Z116" i="18" s="1"/>
  <c r="L116" i="18"/>
  <c r="N116" i="18" s="1"/>
  <c r="J116" i="18"/>
  <c r="B116" i="18"/>
  <c r="T115" i="18"/>
  <c r="Z115" i="18" s="1"/>
  <c r="P115" i="18"/>
  <c r="X115" i="18" s="1"/>
  <c r="H115" i="18"/>
  <c r="D115" i="18"/>
  <c r="L115" i="18" s="1"/>
  <c r="B115" i="18"/>
  <c r="Z114" i="18"/>
  <c r="X114" i="18"/>
  <c r="L114" i="18"/>
  <c r="N114" i="18" s="1"/>
  <c r="B114" i="18"/>
  <c r="Z113" i="18"/>
  <c r="X113" i="18"/>
  <c r="N113" i="18"/>
  <c r="L113" i="18"/>
  <c r="B113" i="18"/>
  <c r="Z112" i="18"/>
  <c r="X112" i="18"/>
  <c r="L112" i="18"/>
  <c r="N112" i="18" s="1"/>
  <c r="B112" i="18"/>
  <c r="X111" i="18"/>
  <c r="Z111" i="18" s="1"/>
  <c r="N111" i="18"/>
  <c r="L111" i="18"/>
  <c r="B111" i="18"/>
  <c r="T110" i="18"/>
  <c r="P110" i="18"/>
  <c r="H110" i="18"/>
  <c r="D110" i="18"/>
  <c r="L110" i="18" s="1"/>
  <c r="B110" i="18"/>
  <c r="Z109" i="18"/>
  <c r="X109" i="18"/>
  <c r="N109" i="18"/>
  <c r="L109" i="18"/>
  <c r="B109" i="18"/>
  <c r="Z108" i="18"/>
  <c r="X108" i="18"/>
  <c r="L108" i="18"/>
  <c r="N108" i="18" s="1"/>
  <c r="B108" i="18"/>
  <c r="X107" i="18"/>
  <c r="Z107" i="18" s="1"/>
  <c r="L107" i="18"/>
  <c r="N107" i="18" s="1"/>
  <c r="B107" i="18"/>
  <c r="X106" i="18"/>
  <c r="Z106" i="18" s="1"/>
  <c r="N106" i="18"/>
  <c r="L106" i="18"/>
  <c r="B106" i="18"/>
  <c r="V105" i="18"/>
  <c r="T105" i="18"/>
  <c r="X105" i="18" s="1"/>
  <c r="P105" i="18"/>
  <c r="H105" i="18"/>
  <c r="D105" i="18"/>
  <c r="L105" i="18" s="1"/>
  <c r="B105" i="18"/>
  <c r="Z104" i="18"/>
  <c r="X104" i="18"/>
  <c r="L104" i="18"/>
  <c r="N104" i="18" s="1"/>
  <c r="B104" i="18"/>
  <c r="T103" i="18"/>
  <c r="P103" i="18"/>
  <c r="X103" i="18" s="1"/>
  <c r="H103" i="18"/>
  <c r="N103" i="18" s="1"/>
  <c r="D103" i="18"/>
  <c r="L103" i="18" s="1"/>
  <c r="B103" i="18"/>
  <c r="Z102" i="18"/>
  <c r="X102" i="18"/>
  <c r="L102" i="18"/>
  <c r="N102" i="18" s="1"/>
  <c r="B102" i="18"/>
  <c r="T101" i="18"/>
  <c r="Z101" i="18" s="1"/>
  <c r="P101" i="18"/>
  <c r="X101" i="18" s="1"/>
  <c r="N101" i="18"/>
  <c r="L101" i="18"/>
  <c r="H101" i="18"/>
  <c r="D101" i="18"/>
  <c r="B101" i="18"/>
  <c r="X100" i="18"/>
  <c r="Z100" i="18" s="1"/>
  <c r="N100" i="18"/>
  <c r="L100" i="18"/>
  <c r="B100" i="18"/>
  <c r="X99" i="18"/>
  <c r="Z99" i="18" s="1"/>
  <c r="T99" i="18"/>
  <c r="P99" i="18"/>
  <c r="H99" i="18"/>
  <c r="L99" i="18" s="1"/>
  <c r="D99" i="18"/>
  <c r="B99" i="18"/>
  <c r="X98" i="18"/>
  <c r="Z98" i="18" s="1"/>
  <c r="N98" i="18"/>
  <c r="L98" i="18"/>
  <c r="B98" i="18"/>
  <c r="V97" i="18"/>
  <c r="T97" i="18"/>
  <c r="X97" i="18" s="1"/>
  <c r="P97" i="18"/>
  <c r="H97" i="18"/>
  <c r="D97" i="18"/>
  <c r="L97" i="18" s="1"/>
  <c r="B97" i="18"/>
  <c r="Z96" i="18"/>
  <c r="X96" i="18"/>
  <c r="L96" i="18"/>
  <c r="N96" i="18" s="1"/>
  <c r="B96" i="18"/>
  <c r="X95" i="18"/>
  <c r="Z95" i="18" s="1"/>
  <c r="N95" i="18"/>
  <c r="L95" i="18"/>
  <c r="B95" i="18"/>
  <c r="X94" i="18"/>
  <c r="T94" i="18"/>
  <c r="P94" i="18"/>
  <c r="H94" i="18"/>
  <c r="D94" i="18"/>
  <c r="L94" i="18" s="1"/>
  <c r="B94" i="18"/>
  <c r="Z93" i="18"/>
  <c r="X93" i="18"/>
  <c r="N93" i="18"/>
  <c r="L93" i="18"/>
  <c r="B93" i="18"/>
  <c r="Z92" i="18"/>
  <c r="X92" i="18"/>
  <c r="L92" i="18"/>
  <c r="N92" i="18" s="1"/>
  <c r="B92" i="18"/>
  <c r="T91" i="18"/>
  <c r="Z91" i="18" s="1"/>
  <c r="P91" i="18"/>
  <c r="X91" i="18" s="1"/>
  <c r="H91" i="18"/>
  <c r="N91" i="18" s="1"/>
  <c r="D91" i="18"/>
  <c r="L91" i="18" s="1"/>
  <c r="B91" i="18"/>
  <c r="Z90" i="18"/>
  <c r="X90" i="18"/>
  <c r="L90" i="18"/>
  <c r="N90" i="18" s="1"/>
  <c r="B90" i="18"/>
  <c r="T89" i="18"/>
  <c r="P89" i="18"/>
  <c r="X89" i="18" s="1"/>
  <c r="L89" i="18"/>
  <c r="N89" i="18" s="1"/>
  <c r="H89" i="18"/>
  <c r="D89" i="18"/>
  <c r="B89" i="18"/>
  <c r="X88" i="18"/>
  <c r="Z88" i="18" s="1"/>
  <c r="N88" i="18"/>
  <c r="L88" i="18"/>
  <c r="B88" i="18"/>
  <c r="Z87" i="18"/>
  <c r="X87" i="18"/>
  <c r="T87" i="18"/>
  <c r="P87" i="18"/>
  <c r="H87" i="18"/>
  <c r="D87" i="18"/>
  <c r="B87" i="18"/>
  <c r="X86" i="18"/>
  <c r="Z86" i="18" s="1"/>
  <c r="N86" i="18"/>
  <c r="L86" i="18"/>
  <c r="B86" i="18"/>
  <c r="Z85" i="18"/>
  <c r="T85" i="18"/>
  <c r="X85" i="18" s="1"/>
  <c r="P85" i="18"/>
  <c r="H85" i="18"/>
  <c r="D85" i="18"/>
  <c r="L85" i="18" s="1"/>
  <c r="B85" i="18"/>
  <c r="Z84" i="18"/>
  <c r="X84" i="18"/>
  <c r="N84" i="18"/>
  <c r="L84" i="18"/>
  <c r="B84" i="18"/>
  <c r="Z83" i="18"/>
  <c r="X83" i="18"/>
  <c r="V83" i="18"/>
  <c r="N83" i="18"/>
  <c r="L83" i="18"/>
  <c r="B83" i="18"/>
  <c r="X82" i="18"/>
  <c r="T82" i="18"/>
  <c r="Z82" i="18" s="1"/>
  <c r="P82" i="18"/>
  <c r="H82" i="18"/>
  <c r="N82" i="18" s="1"/>
  <c r="D82" i="18"/>
  <c r="B82" i="18"/>
  <c r="X81" i="18"/>
  <c r="Z81" i="18" s="1"/>
  <c r="N81" i="18"/>
  <c r="L81" i="18"/>
  <c r="J81" i="18"/>
  <c r="B81" i="18"/>
  <c r="Z80" i="18"/>
  <c r="X80" i="18"/>
  <c r="N80" i="18"/>
  <c r="L80" i="18"/>
  <c r="J80" i="18"/>
  <c r="B80" i="18"/>
  <c r="V79" i="18"/>
  <c r="T79" i="18"/>
  <c r="Z79" i="18" s="1"/>
  <c r="P79" i="18"/>
  <c r="X79" i="18" s="1"/>
  <c r="H79" i="18"/>
  <c r="D79" i="18"/>
  <c r="L79" i="18" s="1"/>
  <c r="B79" i="18"/>
  <c r="Z78" i="18"/>
  <c r="X78" i="18"/>
  <c r="L78" i="18"/>
  <c r="N78" i="18" s="1"/>
  <c r="B78" i="18"/>
  <c r="T77" i="18"/>
  <c r="P77" i="18"/>
  <c r="X77" i="18" s="1"/>
  <c r="N77" i="18"/>
  <c r="L77" i="18"/>
  <c r="H77" i="18"/>
  <c r="D77" i="18"/>
  <c r="B77" i="18"/>
  <c r="X76" i="18"/>
  <c r="Z76" i="18" s="1"/>
  <c r="V76" i="18"/>
  <c r="N76" i="18"/>
  <c r="L76" i="18"/>
  <c r="B76" i="18"/>
  <c r="X75" i="18"/>
  <c r="Z75" i="18" s="1"/>
  <c r="T75" i="18"/>
  <c r="P75" i="18"/>
  <c r="H75" i="18"/>
  <c r="L75" i="18" s="1"/>
  <c r="D75" i="18"/>
  <c r="B75" i="18"/>
  <c r="X74" i="18"/>
  <c r="Z74" i="18" s="1"/>
  <c r="N74" i="18"/>
  <c r="L74" i="18"/>
  <c r="B74" i="18"/>
  <c r="Z73" i="18"/>
  <c r="T73" i="18"/>
  <c r="X73" i="18" s="1"/>
  <c r="P73" i="18"/>
  <c r="H73" i="18"/>
  <c r="N73" i="18" s="1"/>
  <c r="D73" i="18"/>
  <c r="L73" i="18" s="1"/>
  <c r="B73" i="18"/>
  <c r="Z72" i="18"/>
  <c r="X72" i="18"/>
  <c r="N72" i="18"/>
  <c r="L72" i="18"/>
  <c r="B72" i="18"/>
  <c r="Z71" i="18"/>
  <c r="X71" i="18"/>
  <c r="N71" i="18"/>
  <c r="L71" i="18"/>
  <c r="B71" i="18"/>
  <c r="X70" i="18"/>
  <c r="Z70" i="18" s="1"/>
  <c r="N70" i="18"/>
  <c r="L70" i="18"/>
  <c r="B70" i="18"/>
  <c r="Z69" i="18"/>
  <c r="X69" i="18"/>
  <c r="V69" i="18"/>
  <c r="L69" i="18"/>
  <c r="N69" i="18" s="1"/>
  <c r="B69" i="18"/>
  <c r="Z68" i="18"/>
  <c r="X68" i="18"/>
  <c r="V68" i="18"/>
  <c r="N68" i="18"/>
  <c r="L68" i="18"/>
  <c r="B68" i="18"/>
  <c r="Z67" i="18"/>
  <c r="X67" i="18"/>
  <c r="L67" i="18"/>
  <c r="N67" i="18" s="1"/>
  <c r="B67" i="18"/>
  <c r="Z66" i="18"/>
  <c r="X66" i="18"/>
  <c r="L66" i="18"/>
  <c r="N66" i="18" s="1"/>
  <c r="B66" i="18"/>
  <c r="Z65" i="18"/>
  <c r="X65" i="18"/>
  <c r="N65" i="18"/>
  <c r="L65" i="18"/>
  <c r="B65" i="18"/>
  <c r="Z64" i="18"/>
  <c r="X64" i="18"/>
  <c r="L64" i="18"/>
  <c r="N64" i="18" s="1"/>
  <c r="J64" i="18"/>
  <c r="B64" i="18"/>
  <c r="X63" i="18"/>
  <c r="Z63" i="18" s="1"/>
  <c r="L63" i="18"/>
  <c r="N63" i="18" s="1"/>
  <c r="B63" i="18"/>
  <c r="T62" i="18"/>
  <c r="P62" i="18"/>
  <c r="H62" i="18"/>
  <c r="D62" i="18"/>
  <c r="B62" i="18"/>
  <c r="Z61" i="18"/>
  <c r="X61" i="18"/>
  <c r="N61" i="18"/>
  <c r="L61" i="18"/>
  <c r="B61" i="18"/>
  <c r="Z60" i="18"/>
  <c r="X60" i="18"/>
  <c r="L60" i="18"/>
  <c r="N60" i="18" s="1"/>
  <c r="B60" i="18"/>
  <c r="X59" i="18"/>
  <c r="Z59" i="18" s="1"/>
  <c r="L59" i="18"/>
  <c r="N59" i="18" s="1"/>
  <c r="B59" i="18"/>
  <c r="Z58" i="18"/>
  <c r="X58" i="18"/>
  <c r="N58" i="18"/>
  <c r="L58" i="18"/>
  <c r="B58" i="18"/>
  <c r="Z57" i="18"/>
  <c r="X57" i="18"/>
  <c r="V57" i="18"/>
  <c r="N57" i="18"/>
  <c r="L57" i="18"/>
  <c r="B57" i="18"/>
  <c r="X56" i="18"/>
  <c r="Z56" i="18" s="1"/>
  <c r="V56" i="18"/>
  <c r="N56" i="18"/>
  <c r="L56" i="18"/>
  <c r="B56" i="18"/>
  <c r="Z55" i="18"/>
  <c r="X55" i="18"/>
  <c r="L55" i="18"/>
  <c r="N55" i="18" s="1"/>
  <c r="B55" i="18"/>
  <c r="Z54" i="18"/>
  <c r="X54" i="18"/>
  <c r="L54" i="18"/>
  <c r="N54" i="18" s="1"/>
  <c r="B54" i="18"/>
  <c r="X53" i="18"/>
  <c r="Z53" i="18" s="1"/>
  <c r="N53" i="18"/>
  <c r="L53" i="18"/>
  <c r="J53" i="18"/>
  <c r="B53" i="18"/>
  <c r="Z52" i="18"/>
  <c r="X52" i="18"/>
  <c r="L52" i="18"/>
  <c r="N52" i="18" s="1"/>
  <c r="B52" i="18"/>
  <c r="T51" i="18"/>
  <c r="Z51" i="18" s="1"/>
  <c r="P51" i="18"/>
  <c r="X51" i="18" s="1"/>
  <c r="H51" i="18"/>
  <c r="D51" i="18"/>
  <c r="L51" i="18" s="1"/>
  <c r="B51" i="18"/>
  <c r="T50" i="18"/>
  <c r="P50" i="18"/>
  <c r="X50" i="18" s="1"/>
  <c r="Z50" i="18" s="1"/>
  <c r="H50" i="18"/>
  <c r="D50" i="18"/>
  <c r="L50" i="18" s="1"/>
  <c r="Z46" i="18"/>
  <c r="X46" i="18"/>
  <c r="N46" i="18"/>
  <c r="L46" i="18"/>
  <c r="B46" i="18"/>
  <c r="Z45" i="18"/>
  <c r="X45" i="18"/>
  <c r="N45" i="18"/>
  <c r="L45" i="18"/>
  <c r="B45" i="18"/>
  <c r="Z44" i="18"/>
  <c r="X44" i="18"/>
  <c r="N44" i="18"/>
  <c r="L44" i="18"/>
  <c r="B44" i="18"/>
  <c r="Z43" i="18"/>
  <c r="X43" i="18"/>
  <c r="V43" i="18"/>
  <c r="N43" i="18"/>
  <c r="L43" i="18"/>
  <c r="B43" i="18"/>
  <c r="Z42" i="18"/>
  <c r="X42" i="18"/>
  <c r="N42" i="18"/>
  <c r="L42" i="18"/>
  <c r="B42" i="18"/>
  <c r="Z41" i="18"/>
  <c r="X41" i="18"/>
  <c r="N41" i="18"/>
  <c r="L41" i="18"/>
  <c r="B41" i="18"/>
  <c r="Z40" i="18"/>
  <c r="X40" i="18"/>
  <c r="V40" i="18"/>
  <c r="N40" i="18"/>
  <c r="L40" i="18"/>
  <c r="B40" i="18"/>
  <c r="Z39" i="18"/>
  <c r="X39" i="18"/>
  <c r="N39" i="18"/>
  <c r="L39" i="18"/>
  <c r="B39" i="18"/>
  <c r="Z38" i="18"/>
  <c r="X38" i="18"/>
  <c r="N38" i="18"/>
  <c r="L38" i="18"/>
  <c r="B38" i="18"/>
  <c r="Z37" i="18"/>
  <c r="X37" i="18"/>
  <c r="N37" i="18"/>
  <c r="L37" i="18"/>
  <c r="B37" i="18"/>
  <c r="Z36" i="18"/>
  <c r="X36" i="18"/>
  <c r="N36" i="18"/>
  <c r="L36" i="18"/>
  <c r="B36" i="18"/>
  <c r="Z35" i="18"/>
  <c r="X35" i="18"/>
  <c r="N35" i="18"/>
  <c r="L35" i="18"/>
  <c r="B35" i="18"/>
  <c r="Z34" i="18"/>
  <c r="X34" i="18"/>
  <c r="N34" i="18"/>
  <c r="L34" i="18"/>
  <c r="B34" i="18"/>
  <c r="Z33" i="18"/>
  <c r="X33" i="18"/>
  <c r="V33" i="18"/>
  <c r="N33" i="18"/>
  <c r="L33" i="18"/>
  <c r="B33" i="18"/>
  <c r="Z32" i="18"/>
  <c r="X32" i="18"/>
  <c r="V32" i="18"/>
  <c r="N32" i="18"/>
  <c r="L32" i="18"/>
  <c r="B32" i="18"/>
  <c r="Z31" i="18"/>
  <c r="X31" i="18"/>
  <c r="N31" i="18"/>
  <c r="L31" i="18"/>
  <c r="B31" i="18"/>
  <c r="Z30" i="18"/>
  <c r="X30" i="18"/>
  <c r="N30" i="18"/>
  <c r="L30" i="18"/>
  <c r="B30" i="18"/>
  <c r="Z29" i="18"/>
  <c r="X29" i="18"/>
  <c r="N29" i="18"/>
  <c r="L29" i="18"/>
  <c r="B29" i="18"/>
  <c r="Z28" i="18"/>
  <c r="X28" i="18"/>
  <c r="N28" i="18"/>
  <c r="L28" i="18"/>
  <c r="B28" i="18"/>
  <c r="Z27" i="18"/>
  <c r="X27" i="18"/>
  <c r="V27" i="18"/>
  <c r="N27" i="18"/>
  <c r="L27" i="18"/>
  <c r="B27" i="18"/>
  <c r="Z26" i="18"/>
  <c r="X26" i="18"/>
  <c r="N26" i="18"/>
  <c r="L26" i="18"/>
  <c r="B26" i="18"/>
  <c r="Z25" i="18"/>
  <c r="X25" i="18"/>
  <c r="N25" i="18"/>
  <c r="L25" i="18"/>
  <c r="B25" i="18"/>
  <c r="Z24" i="18"/>
  <c r="X24" i="18"/>
  <c r="V24" i="18"/>
  <c r="N24" i="18"/>
  <c r="L24" i="18"/>
  <c r="B24" i="18"/>
  <c r="Z23" i="18"/>
  <c r="X23" i="18"/>
  <c r="N23" i="18"/>
  <c r="L23" i="18"/>
  <c r="B23" i="18"/>
  <c r="Z22" i="18"/>
  <c r="X22" i="18"/>
  <c r="N22" i="18"/>
  <c r="L22" i="18"/>
  <c r="B22" i="18"/>
  <c r="Z21" i="18"/>
  <c r="X21" i="18"/>
  <c r="N21" i="18"/>
  <c r="L21" i="18"/>
  <c r="B21" i="18"/>
  <c r="X20" i="18"/>
  <c r="Z20" i="18" s="1"/>
  <c r="L20" i="18"/>
  <c r="N20" i="18" s="1"/>
  <c r="B20" i="18"/>
  <c r="Z19" i="18"/>
  <c r="T19" i="18"/>
  <c r="P19" i="18"/>
  <c r="X19" i="18" s="1"/>
  <c r="H19" i="18"/>
  <c r="D19" i="18"/>
  <c r="Z17" i="18"/>
  <c r="X17" i="18"/>
  <c r="P17" i="18"/>
  <c r="N17" i="18"/>
  <c r="D17" i="18"/>
  <c r="L17" i="18" s="1"/>
  <c r="B17" i="18"/>
  <c r="Z16" i="18"/>
  <c r="P16" i="18"/>
  <c r="X16" i="18" s="1"/>
  <c r="N16" i="18"/>
  <c r="D16" i="18"/>
  <c r="L16" i="18" s="1"/>
  <c r="B16" i="18"/>
  <c r="Z15" i="18"/>
  <c r="P15" i="18"/>
  <c r="X15" i="18" s="1"/>
  <c r="N15" i="18"/>
  <c r="L15" i="18"/>
  <c r="D15" i="18"/>
  <c r="B15" i="18"/>
  <c r="Z14" i="18"/>
  <c r="X14" i="18"/>
  <c r="P14" i="18"/>
  <c r="D14" i="18"/>
  <c r="L14" i="18" s="1"/>
  <c r="N14" i="18" s="1"/>
  <c r="B14" i="18"/>
  <c r="X13" i="18"/>
  <c r="Z13" i="18" s="1"/>
  <c r="P13" i="18"/>
  <c r="L13" i="18"/>
  <c r="N13" i="18" s="1"/>
  <c r="D13" i="18"/>
  <c r="B13" i="18"/>
  <c r="T12" i="18"/>
  <c r="P12" i="18"/>
  <c r="R25" i="18" s="1"/>
  <c r="H12" i="18"/>
  <c r="J109" i="18" s="1"/>
  <c r="D4" i="18"/>
  <c r="B39" i="17"/>
  <c r="B38" i="17"/>
  <c r="T34" i="17"/>
  <c r="Z34" i="17" s="1"/>
  <c r="P34" i="17"/>
  <c r="H34" i="17"/>
  <c r="N34" i="17" s="1"/>
  <c r="D34" i="17"/>
  <c r="T33" i="17"/>
  <c r="P33" i="17"/>
  <c r="H33" i="17"/>
  <c r="N33" i="17" s="1"/>
  <c r="D33" i="17"/>
  <c r="T29" i="17"/>
  <c r="P29" i="17"/>
  <c r="H29" i="17"/>
  <c r="N29" i="17" s="1"/>
  <c r="D29" i="17"/>
  <c r="T25" i="17"/>
  <c r="P25" i="17"/>
  <c r="H25" i="17"/>
  <c r="N25" i="17" s="1"/>
  <c r="D25" i="17"/>
  <c r="B25" i="17"/>
  <c r="T24" i="17"/>
  <c r="P24" i="17"/>
  <c r="H24" i="17"/>
  <c r="N24" i="17" s="1"/>
  <c r="D24" i="17"/>
  <c r="T22" i="17"/>
  <c r="Z22" i="17" s="1"/>
  <c r="P22" i="17"/>
  <c r="H22" i="17"/>
  <c r="N22" i="17" s="1"/>
  <c r="D22" i="17"/>
  <c r="B22" i="17"/>
  <c r="T21" i="17"/>
  <c r="Z21" i="17" s="1"/>
  <c r="P21" i="17"/>
  <c r="H21" i="17"/>
  <c r="N21" i="17" s="1"/>
  <c r="D21" i="17"/>
  <c r="B21" i="17"/>
  <c r="T20" i="17"/>
  <c r="Z20" i="17" s="1"/>
  <c r="P20" i="17"/>
  <c r="H20" i="17"/>
  <c r="N20" i="17" s="1"/>
  <c r="D20" i="17"/>
  <c r="T16" i="17"/>
  <c r="Z16" i="17" s="1"/>
  <c r="P16" i="17"/>
  <c r="H16" i="17"/>
  <c r="N16" i="17" s="1"/>
  <c r="D16" i="17"/>
  <c r="B16" i="17"/>
  <c r="T15" i="17"/>
  <c r="Z15" i="17" s="1"/>
  <c r="P15" i="17"/>
  <c r="H15" i="17"/>
  <c r="N15" i="17" s="1"/>
  <c r="D15" i="17"/>
  <c r="T13" i="17"/>
  <c r="Z13" i="17" s="1"/>
  <c r="P13" i="17"/>
  <c r="H13" i="17"/>
  <c r="N13" i="17" s="1"/>
  <c r="D13" i="17"/>
  <c r="B13" i="17"/>
  <c r="T12" i="17"/>
  <c r="V21" i="17" s="1"/>
  <c r="P12" i="17"/>
  <c r="R31" i="17" s="1"/>
  <c r="H12" i="17"/>
  <c r="D12" i="17"/>
  <c r="F33" i="17" s="1"/>
  <c r="D5" i="17"/>
  <c r="D4" i="17"/>
  <c r="B39" i="16"/>
  <c r="B38" i="16"/>
  <c r="T34" i="16"/>
  <c r="P34" i="16"/>
  <c r="H34" i="16"/>
  <c r="N34" i="16" s="1"/>
  <c r="D34" i="16"/>
  <c r="T33" i="16"/>
  <c r="Z33" i="16" s="1"/>
  <c r="P33" i="16"/>
  <c r="H33" i="16"/>
  <c r="N33" i="16" s="1"/>
  <c r="D33" i="16"/>
  <c r="T29" i="16"/>
  <c r="Z29" i="16" s="1"/>
  <c r="P29" i="16"/>
  <c r="H29" i="16"/>
  <c r="N29" i="16" s="1"/>
  <c r="D29" i="16"/>
  <c r="T25" i="16"/>
  <c r="Z25" i="16" s="1"/>
  <c r="P25" i="16"/>
  <c r="H25" i="16"/>
  <c r="N25" i="16" s="1"/>
  <c r="D25" i="16"/>
  <c r="B25" i="16"/>
  <c r="T24" i="16"/>
  <c r="Z24" i="16" s="1"/>
  <c r="P24" i="16"/>
  <c r="H24" i="16"/>
  <c r="N24" i="16" s="1"/>
  <c r="D24" i="16"/>
  <c r="T22" i="16"/>
  <c r="Z22" i="16" s="1"/>
  <c r="P22" i="16"/>
  <c r="H22" i="16"/>
  <c r="D22" i="16"/>
  <c r="B22" i="16"/>
  <c r="T21" i="16"/>
  <c r="Z21" i="16" s="1"/>
  <c r="P21" i="16"/>
  <c r="H21" i="16"/>
  <c r="D21" i="16"/>
  <c r="B21" i="16"/>
  <c r="T20" i="16"/>
  <c r="Z20" i="16" s="1"/>
  <c r="P20" i="16"/>
  <c r="H20" i="16"/>
  <c r="N20" i="16" s="1"/>
  <c r="D20" i="16"/>
  <c r="T16" i="16"/>
  <c r="Z16" i="16" s="1"/>
  <c r="P16" i="16"/>
  <c r="H16" i="16"/>
  <c r="N16" i="16" s="1"/>
  <c r="D16" i="16"/>
  <c r="B16" i="16"/>
  <c r="T15" i="16"/>
  <c r="Z15" i="16" s="1"/>
  <c r="P15" i="16"/>
  <c r="H15" i="16"/>
  <c r="D15" i="16"/>
  <c r="T13" i="16"/>
  <c r="Z13" i="16" s="1"/>
  <c r="P13" i="16"/>
  <c r="H13" i="16"/>
  <c r="N13" i="16" s="1"/>
  <c r="D13" i="16"/>
  <c r="B13" i="16"/>
  <c r="T12" i="16"/>
  <c r="V24" i="16" s="1"/>
  <c r="P12" i="16"/>
  <c r="R34" i="16" s="1"/>
  <c r="H12" i="16"/>
  <c r="J20" i="16" s="1"/>
  <c r="D12" i="16"/>
  <c r="F22" i="16" s="1"/>
  <c r="D5" i="16"/>
  <c r="D4" i="16"/>
  <c r="Z141" i="15"/>
  <c r="X141" i="15"/>
  <c r="N141" i="15"/>
  <c r="L141" i="15"/>
  <c r="Z137" i="15"/>
  <c r="P137" i="15"/>
  <c r="X137" i="15" s="1"/>
  <c r="N137" i="15"/>
  <c r="L137" i="15"/>
  <c r="D137" i="15"/>
  <c r="B137" i="15"/>
  <c r="Z136" i="15"/>
  <c r="X136" i="15"/>
  <c r="P136" i="15"/>
  <c r="N136" i="15"/>
  <c r="D136" i="15"/>
  <c r="L136" i="15" s="1"/>
  <c r="B136" i="15"/>
  <c r="Z135" i="15"/>
  <c r="P135" i="15"/>
  <c r="X135" i="15" s="1"/>
  <c r="N135" i="15"/>
  <c r="L135" i="15"/>
  <c r="D135" i="15"/>
  <c r="B135" i="15"/>
  <c r="X134" i="15"/>
  <c r="Z134" i="15" s="1"/>
  <c r="P134" i="15"/>
  <c r="D134" i="15"/>
  <c r="L134" i="15" s="1"/>
  <c r="N134" i="15" s="1"/>
  <c r="B134" i="15"/>
  <c r="T133" i="15"/>
  <c r="J133" i="15"/>
  <c r="H133" i="15"/>
  <c r="Z131" i="15"/>
  <c r="X131" i="15"/>
  <c r="N131" i="15"/>
  <c r="L131" i="15"/>
  <c r="B131" i="15"/>
  <c r="T130" i="15"/>
  <c r="P130" i="15"/>
  <c r="H130" i="15"/>
  <c r="D130" i="15"/>
  <c r="L130" i="15" s="1"/>
  <c r="B130" i="15"/>
  <c r="X129" i="15"/>
  <c r="Z129" i="15" s="1"/>
  <c r="N129" i="15"/>
  <c r="L129" i="15"/>
  <c r="J129" i="15"/>
  <c r="B129" i="15"/>
  <c r="Z128" i="15"/>
  <c r="X128" i="15"/>
  <c r="L128" i="15"/>
  <c r="N128" i="15" s="1"/>
  <c r="B128" i="15"/>
  <c r="Z127" i="15"/>
  <c r="X127" i="15"/>
  <c r="N127" i="15"/>
  <c r="L127" i="15"/>
  <c r="B127" i="15"/>
  <c r="T126" i="15"/>
  <c r="P126" i="15"/>
  <c r="H126" i="15"/>
  <c r="N126" i="15" s="1"/>
  <c r="D126" i="15"/>
  <c r="L126" i="15" s="1"/>
  <c r="B126" i="15"/>
  <c r="X125" i="15"/>
  <c r="Z125" i="15" s="1"/>
  <c r="N125" i="15"/>
  <c r="L125" i="15"/>
  <c r="J125" i="15"/>
  <c r="B125" i="15"/>
  <c r="Z124" i="15"/>
  <c r="X124" i="15"/>
  <c r="N124" i="15"/>
  <c r="L124" i="15"/>
  <c r="B124" i="15"/>
  <c r="T123" i="15"/>
  <c r="Z123" i="15" s="1"/>
  <c r="P123" i="15"/>
  <c r="X123" i="15" s="1"/>
  <c r="L123" i="15"/>
  <c r="N123" i="15" s="1"/>
  <c r="H123" i="15"/>
  <c r="D123" i="15"/>
  <c r="B123" i="15"/>
  <c r="X122" i="15"/>
  <c r="Z122" i="15" s="1"/>
  <c r="L122" i="15"/>
  <c r="N122" i="15" s="1"/>
  <c r="B122" i="15"/>
  <c r="X121" i="15"/>
  <c r="Z121" i="15" s="1"/>
  <c r="N121" i="15"/>
  <c r="L121" i="15"/>
  <c r="J121" i="15"/>
  <c r="B121" i="15"/>
  <c r="Z120" i="15"/>
  <c r="X120" i="15"/>
  <c r="L120" i="15"/>
  <c r="N120" i="15" s="1"/>
  <c r="B120" i="15"/>
  <c r="Z119" i="15"/>
  <c r="X119" i="15"/>
  <c r="N119" i="15"/>
  <c r="L119" i="15"/>
  <c r="B119" i="15"/>
  <c r="X118" i="15"/>
  <c r="Z118" i="15" s="1"/>
  <c r="L118" i="15"/>
  <c r="N118" i="15" s="1"/>
  <c r="B118" i="15"/>
  <c r="Z117" i="15"/>
  <c r="X117" i="15"/>
  <c r="V117" i="15"/>
  <c r="L117" i="15"/>
  <c r="N117" i="15" s="1"/>
  <c r="B117" i="15"/>
  <c r="X116" i="15"/>
  <c r="T116" i="15"/>
  <c r="Z116" i="15" s="1"/>
  <c r="P116" i="15"/>
  <c r="H116" i="15"/>
  <c r="D116" i="15"/>
  <c r="B116" i="15"/>
  <c r="Z115" i="15"/>
  <c r="X115" i="15"/>
  <c r="N115" i="15"/>
  <c r="L115" i="15"/>
  <c r="B115" i="15"/>
  <c r="X114" i="15"/>
  <c r="Z114" i="15" s="1"/>
  <c r="L114" i="15"/>
  <c r="N114" i="15" s="1"/>
  <c r="B114" i="15"/>
  <c r="V113" i="15"/>
  <c r="T113" i="15"/>
  <c r="P113" i="15"/>
  <c r="X113" i="15" s="1"/>
  <c r="Z113" i="15" s="1"/>
  <c r="H113" i="15"/>
  <c r="D113" i="15"/>
  <c r="L113" i="15" s="1"/>
  <c r="B113" i="15"/>
  <c r="Z112" i="15"/>
  <c r="X112" i="15"/>
  <c r="N112" i="15"/>
  <c r="L112" i="15"/>
  <c r="B112" i="15"/>
  <c r="Z111" i="15"/>
  <c r="X111" i="15"/>
  <c r="N111" i="15"/>
  <c r="L111" i="15"/>
  <c r="B111" i="15"/>
  <c r="X110" i="15"/>
  <c r="Z110" i="15" s="1"/>
  <c r="L110" i="15"/>
  <c r="N110" i="15" s="1"/>
  <c r="B110" i="15"/>
  <c r="V109" i="15"/>
  <c r="T109" i="15"/>
  <c r="P109" i="15"/>
  <c r="X109" i="15" s="1"/>
  <c r="Z109" i="15" s="1"/>
  <c r="H109" i="15"/>
  <c r="D109" i="15"/>
  <c r="L109" i="15" s="1"/>
  <c r="B109" i="15"/>
  <c r="Z108" i="15"/>
  <c r="X108" i="15"/>
  <c r="L108" i="15"/>
  <c r="N108" i="15" s="1"/>
  <c r="B108" i="15"/>
  <c r="Z107" i="15"/>
  <c r="X107" i="15"/>
  <c r="N107" i="15"/>
  <c r="L107" i="15"/>
  <c r="B107" i="15"/>
  <c r="X106" i="15"/>
  <c r="Z106" i="15" s="1"/>
  <c r="L106" i="15"/>
  <c r="N106" i="15" s="1"/>
  <c r="B106" i="15"/>
  <c r="Z105" i="15"/>
  <c r="X105" i="15"/>
  <c r="V105" i="15"/>
  <c r="L105" i="15"/>
  <c r="N105" i="15" s="1"/>
  <c r="B105" i="15"/>
  <c r="X104" i="15"/>
  <c r="T104" i="15"/>
  <c r="P104" i="15"/>
  <c r="H104" i="15"/>
  <c r="D104" i="15"/>
  <c r="B104" i="15"/>
  <c r="Z103" i="15"/>
  <c r="X103" i="15"/>
  <c r="N103" i="15"/>
  <c r="L103" i="15"/>
  <c r="B103" i="15"/>
  <c r="X102" i="15"/>
  <c r="Z102" i="15" s="1"/>
  <c r="L102" i="15"/>
  <c r="N102" i="15" s="1"/>
  <c r="B102" i="15"/>
  <c r="Z101" i="15"/>
  <c r="X101" i="15"/>
  <c r="V101" i="15"/>
  <c r="L101" i="15"/>
  <c r="N101" i="15" s="1"/>
  <c r="B101" i="15"/>
  <c r="X100" i="15"/>
  <c r="Z100" i="15" s="1"/>
  <c r="N100" i="15"/>
  <c r="L100" i="15"/>
  <c r="B100" i="15"/>
  <c r="Z99" i="15"/>
  <c r="T99" i="15"/>
  <c r="X99" i="15" s="1"/>
  <c r="P99" i="15"/>
  <c r="J99" i="15"/>
  <c r="H99" i="15"/>
  <c r="D99" i="15"/>
  <c r="L99" i="15" s="1"/>
  <c r="N99" i="15" s="1"/>
  <c r="B99" i="15"/>
  <c r="X98" i="15"/>
  <c r="Z98" i="15" s="1"/>
  <c r="L98" i="15"/>
  <c r="N98" i="15" s="1"/>
  <c r="B98" i="15"/>
  <c r="V97" i="15"/>
  <c r="T97" i="15"/>
  <c r="P97" i="15"/>
  <c r="X97" i="15" s="1"/>
  <c r="Z97" i="15" s="1"/>
  <c r="H97" i="15"/>
  <c r="D97" i="15"/>
  <c r="L97" i="15" s="1"/>
  <c r="B97" i="15"/>
  <c r="Z96" i="15"/>
  <c r="X96" i="15"/>
  <c r="L96" i="15"/>
  <c r="N96" i="15" s="1"/>
  <c r="B96" i="15"/>
  <c r="T95" i="15"/>
  <c r="P95" i="15"/>
  <c r="X95" i="15" s="1"/>
  <c r="L95" i="15"/>
  <c r="N95" i="15" s="1"/>
  <c r="H95" i="15"/>
  <c r="D95" i="15"/>
  <c r="B95" i="15"/>
  <c r="X94" i="15"/>
  <c r="Z94" i="15" s="1"/>
  <c r="L94" i="15"/>
  <c r="N94" i="15" s="1"/>
  <c r="B94" i="15"/>
  <c r="X93" i="15"/>
  <c r="Z93" i="15" s="1"/>
  <c r="T93" i="15"/>
  <c r="P93" i="15"/>
  <c r="N93" i="15"/>
  <c r="H93" i="15"/>
  <c r="L93" i="15" s="1"/>
  <c r="D93" i="15"/>
  <c r="B93" i="15"/>
  <c r="X92" i="15"/>
  <c r="Z92" i="15" s="1"/>
  <c r="N92" i="15"/>
  <c r="L92" i="15"/>
  <c r="B92" i="15"/>
  <c r="Z91" i="15"/>
  <c r="T91" i="15"/>
  <c r="X91" i="15" s="1"/>
  <c r="P91" i="15"/>
  <c r="J91" i="15"/>
  <c r="H91" i="15"/>
  <c r="D91" i="15"/>
  <c r="L91" i="15" s="1"/>
  <c r="N91" i="15" s="1"/>
  <c r="B91" i="15"/>
  <c r="X90" i="15"/>
  <c r="Z90" i="15" s="1"/>
  <c r="L90" i="15"/>
  <c r="N90" i="15" s="1"/>
  <c r="B90" i="15"/>
  <c r="Z89" i="15"/>
  <c r="X89" i="15"/>
  <c r="V89" i="15"/>
  <c r="L89" i="15"/>
  <c r="N89" i="15" s="1"/>
  <c r="B89" i="15"/>
  <c r="X88" i="15"/>
  <c r="T88" i="15"/>
  <c r="P88" i="15"/>
  <c r="H88" i="15"/>
  <c r="D88" i="15"/>
  <c r="B88" i="15"/>
  <c r="X87" i="15"/>
  <c r="Z87" i="15" s="1"/>
  <c r="N87" i="15"/>
  <c r="L87" i="15"/>
  <c r="B87" i="15"/>
  <c r="X86" i="15"/>
  <c r="Z86" i="15" s="1"/>
  <c r="L86" i="15"/>
  <c r="N86" i="15" s="1"/>
  <c r="B86" i="15"/>
  <c r="V85" i="15"/>
  <c r="T85" i="15"/>
  <c r="P85" i="15"/>
  <c r="X85" i="15" s="1"/>
  <c r="Z85" i="15" s="1"/>
  <c r="H85" i="15"/>
  <c r="D85" i="15"/>
  <c r="L85" i="15" s="1"/>
  <c r="B85" i="15"/>
  <c r="Z84" i="15"/>
  <c r="X84" i="15"/>
  <c r="L84" i="15"/>
  <c r="N84" i="15" s="1"/>
  <c r="B84" i="15"/>
  <c r="T83" i="15"/>
  <c r="P83" i="15"/>
  <c r="X83" i="15" s="1"/>
  <c r="L83" i="15"/>
  <c r="N83" i="15" s="1"/>
  <c r="H83" i="15"/>
  <c r="D83" i="15"/>
  <c r="B83" i="15"/>
  <c r="X82" i="15"/>
  <c r="Z82" i="15" s="1"/>
  <c r="L82" i="15"/>
  <c r="N82" i="15" s="1"/>
  <c r="B82" i="15"/>
  <c r="X81" i="15"/>
  <c r="Z81" i="15" s="1"/>
  <c r="T81" i="15"/>
  <c r="P81" i="15"/>
  <c r="H81" i="15"/>
  <c r="L81" i="15" s="1"/>
  <c r="N81" i="15" s="1"/>
  <c r="D81" i="15"/>
  <c r="B81" i="15"/>
  <c r="X80" i="15"/>
  <c r="Z80" i="15" s="1"/>
  <c r="N80" i="15"/>
  <c r="L80" i="15"/>
  <c r="B80" i="15"/>
  <c r="T79" i="15"/>
  <c r="X79" i="15" s="1"/>
  <c r="Z79" i="15" s="1"/>
  <c r="P79" i="15"/>
  <c r="J79" i="15"/>
  <c r="H79" i="15"/>
  <c r="D79" i="15"/>
  <c r="L79" i="15" s="1"/>
  <c r="N79" i="15" s="1"/>
  <c r="B79" i="15"/>
  <c r="Z78" i="15"/>
  <c r="X78" i="15"/>
  <c r="N78" i="15"/>
  <c r="L78" i="15"/>
  <c r="B78" i="15"/>
  <c r="Z77" i="15"/>
  <c r="X77" i="15"/>
  <c r="V77" i="15"/>
  <c r="N77" i="15"/>
  <c r="L77" i="15"/>
  <c r="B77" i="15"/>
  <c r="X76" i="15"/>
  <c r="T76" i="15"/>
  <c r="Z76" i="15" s="1"/>
  <c r="P76" i="15"/>
  <c r="H76" i="15"/>
  <c r="D76" i="15"/>
  <c r="B76" i="15"/>
  <c r="X75" i="15"/>
  <c r="Z75" i="15" s="1"/>
  <c r="N75" i="15"/>
  <c r="L75" i="15"/>
  <c r="B75" i="15"/>
  <c r="Z74" i="15"/>
  <c r="X74" i="15"/>
  <c r="N74" i="15"/>
  <c r="L74" i="15"/>
  <c r="B74" i="15"/>
  <c r="V73" i="15"/>
  <c r="T73" i="15"/>
  <c r="P73" i="15"/>
  <c r="X73" i="15" s="1"/>
  <c r="Z73" i="15" s="1"/>
  <c r="H73" i="15"/>
  <c r="N73" i="15" s="1"/>
  <c r="D73" i="15"/>
  <c r="L73" i="15" s="1"/>
  <c r="B73" i="15"/>
  <c r="Z72" i="15"/>
  <c r="X72" i="15"/>
  <c r="L72" i="15"/>
  <c r="N72" i="15" s="1"/>
  <c r="B72" i="15"/>
  <c r="T71" i="15"/>
  <c r="Z71" i="15" s="1"/>
  <c r="P71" i="15"/>
  <c r="X71" i="15" s="1"/>
  <c r="L71" i="15"/>
  <c r="N71" i="15" s="1"/>
  <c r="H71" i="15"/>
  <c r="D71" i="15"/>
  <c r="B71" i="15"/>
  <c r="X70" i="15"/>
  <c r="Z70" i="15" s="1"/>
  <c r="L70" i="15"/>
  <c r="N70" i="15" s="1"/>
  <c r="B70" i="15"/>
  <c r="X69" i="15"/>
  <c r="Z69" i="15" s="1"/>
  <c r="T69" i="15"/>
  <c r="P69" i="15"/>
  <c r="H69" i="15"/>
  <c r="L69" i="15" s="1"/>
  <c r="N69" i="15" s="1"/>
  <c r="D69" i="15"/>
  <c r="B69" i="15"/>
  <c r="X68" i="15"/>
  <c r="Z68" i="15" s="1"/>
  <c r="N68" i="15"/>
  <c r="L68" i="15"/>
  <c r="B68" i="15"/>
  <c r="T67" i="15"/>
  <c r="X67" i="15" s="1"/>
  <c r="Z67" i="15" s="1"/>
  <c r="P67" i="15"/>
  <c r="J67" i="15"/>
  <c r="H67" i="15"/>
  <c r="D67" i="15"/>
  <c r="L67" i="15" s="1"/>
  <c r="N67" i="15" s="1"/>
  <c r="B67" i="15"/>
  <c r="Z66" i="15"/>
  <c r="X66" i="15"/>
  <c r="N66" i="15"/>
  <c r="L66" i="15"/>
  <c r="J66" i="15"/>
  <c r="B66" i="15"/>
  <c r="Z65" i="15"/>
  <c r="X65" i="15"/>
  <c r="V65" i="15"/>
  <c r="N65" i="15"/>
  <c r="L65" i="15"/>
  <c r="B65" i="15"/>
  <c r="X64" i="15"/>
  <c r="Z64" i="15" s="1"/>
  <c r="N64" i="15"/>
  <c r="L64" i="15"/>
  <c r="B64" i="15"/>
  <c r="Z63" i="15"/>
  <c r="X63" i="15"/>
  <c r="L63" i="15"/>
  <c r="N63" i="15" s="1"/>
  <c r="B63" i="15"/>
  <c r="Z62" i="15"/>
  <c r="X62" i="15"/>
  <c r="N62" i="15"/>
  <c r="L62" i="15"/>
  <c r="B62" i="15"/>
  <c r="X61" i="15"/>
  <c r="Z61" i="15" s="1"/>
  <c r="N61" i="15"/>
  <c r="L61" i="15"/>
  <c r="J61" i="15"/>
  <c r="B61" i="15"/>
  <c r="Z60" i="15"/>
  <c r="X60" i="15"/>
  <c r="L60" i="15"/>
  <c r="N60" i="15" s="1"/>
  <c r="B60" i="15"/>
  <c r="Z59" i="15"/>
  <c r="X59" i="15"/>
  <c r="N59" i="15"/>
  <c r="L59" i="15"/>
  <c r="B59" i="15"/>
  <c r="X58" i="15"/>
  <c r="Z58" i="15" s="1"/>
  <c r="L58" i="15"/>
  <c r="N58" i="15" s="1"/>
  <c r="J58" i="15"/>
  <c r="B58" i="15"/>
  <c r="Z57" i="15"/>
  <c r="X57" i="15"/>
  <c r="V57" i="15"/>
  <c r="L57" i="15"/>
  <c r="N57" i="15" s="1"/>
  <c r="B57" i="15"/>
  <c r="X56" i="15"/>
  <c r="T56" i="15"/>
  <c r="Z56" i="15" s="1"/>
  <c r="P56" i="15"/>
  <c r="H56" i="15"/>
  <c r="D56" i="15"/>
  <c r="B56" i="15"/>
  <c r="X55" i="15"/>
  <c r="Z55" i="15" s="1"/>
  <c r="N55" i="15"/>
  <c r="L55" i="15"/>
  <c r="J55" i="15"/>
  <c r="B55" i="15"/>
  <c r="X54" i="15"/>
  <c r="Z54" i="15" s="1"/>
  <c r="L54" i="15"/>
  <c r="N54" i="15" s="1"/>
  <c r="J54" i="15"/>
  <c r="B54" i="15"/>
  <c r="Z53" i="15"/>
  <c r="X53" i="15"/>
  <c r="V53" i="15"/>
  <c r="L53" i="15"/>
  <c r="N53" i="15" s="1"/>
  <c r="B53" i="15"/>
  <c r="Z52" i="15"/>
  <c r="X52" i="15"/>
  <c r="N52" i="15"/>
  <c r="L52" i="15"/>
  <c r="B52" i="15"/>
  <c r="Z51" i="15"/>
  <c r="X51" i="15"/>
  <c r="N51" i="15"/>
  <c r="L51" i="15"/>
  <c r="J51" i="15"/>
  <c r="B51" i="15"/>
  <c r="X50" i="15"/>
  <c r="Z50" i="15" s="1"/>
  <c r="V50" i="15"/>
  <c r="L50" i="15"/>
  <c r="N50" i="15" s="1"/>
  <c r="B50" i="15"/>
  <c r="X49" i="15"/>
  <c r="Z49" i="15" s="1"/>
  <c r="N49" i="15"/>
  <c r="L49" i="15"/>
  <c r="J49" i="15"/>
  <c r="B49" i="15"/>
  <c r="Z48" i="15"/>
  <c r="X48" i="15"/>
  <c r="L48" i="15"/>
  <c r="N48" i="15" s="1"/>
  <c r="B48" i="15"/>
  <c r="X47" i="15"/>
  <c r="Z47" i="15" s="1"/>
  <c r="V47" i="15"/>
  <c r="N47" i="15"/>
  <c r="L47" i="15"/>
  <c r="J47" i="15"/>
  <c r="B47" i="15"/>
  <c r="X46" i="15"/>
  <c r="Z46" i="15" s="1"/>
  <c r="L46" i="15"/>
  <c r="N46" i="15" s="1"/>
  <c r="J46" i="15"/>
  <c r="B46" i="15"/>
  <c r="V45" i="15"/>
  <c r="T45" i="15"/>
  <c r="P45" i="15"/>
  <c r="X45" i="15" s="1"/>
  <c r="Z45" i="15" s="1"/>
  <c r="J45" i="15"/>
  <c r="H45" i="15"/>
  <c r="D45" i="15"/>
  <c r="L45" i="15" s="1"/>
  <c r="B45" i="15"/>
  <c r="T44" i="15"/>
  <c r="P44" i="15"/>
  <c r="X44" i="15" s="1"/>
  <c r="H44" i="15"/>
  <c r="D44" i="15"/>
  <c r="L44" i="15" s="1"/>
  <c r="H42" i="15"/>
  <c r="Z40" i="15"/>
  <c r="X40" i="15"/>
  <c r="N40" i="15"/>
  <c r="L40" i="15"/>
  <c r="B40" i="15"/>
  <c r="Z39" i="15"/>
  <c r="X39" i="15"/>
  <c r="V39" i="15"/>
  <c r="N39" i="15"/>
  <c r="L39" i="15"/>
  <c r="J39" i="15"/>
  <c r="B39" i="15"/>
  <c r="Z38" i="15"/>
  <c r="X38" i="15"/>
  <c r="N38" i="15"/>
  <c r="L38" i="15"/>
  <c r="J38" i="15"/>
  <c r="B38" i="15"/>
  <c r="Z37" i="15"/>
  <c r="X37" i="15"/>
  <c r="V37" i="15"/>
  <c r="N37" i="15"/>
  <c r="L37" i="15"/>
  <c r="B37" i="15"/>
  <c r="Z36" i="15"/>
  <c r="X36" i="15"/>
  <c r="N36" i="15"/>
  <c r="L36" i="15"/>
  <c r="B36" i="15"/>
  <c r="Z35" i="15"/>
  <c r="X35" i="15"/>
  <c r="V35" i="15"/>
  <c r="N35" i="15"/>
  <c r="L35" i="15"/>
  <c r="J35" i="15"/>
  <c r="B35" i="15"/>
  <c r="Z34" i="15"/>
  <c r="X34" i="15"/>
  <c r="V34" i="15"/>
  <c r="N34" i="15"/>
  <c r="L34" i="15"/>
  <c r="B34" i="15"/>
  <c r="Z33" i="15"/>
  <c r="X33" i="15"/>
  <c r="N33" i="15"/>
  <c r="L33" i="15"/>
  <c r="J33" i="15"/>
  <c r="B33" i="15"/>
  <c r="Z32" i="15"/>
  <c r="X32" i="15"/>
  <c r="N32" i="15"/>
  <c r="L32" i="15"/>
  <c r="B32" i="15"/>
  <c r="Z31" i="15"/>
  <c r="X31" i="15"/>
  <c r="V31" i="15"/>
  <c r="N31" i="15"/>
  <c r="L31" i="15"/>
  <c r="J31" i="15"/>
  <c r="B31" i="15"/>
  <c r="Z30" i="15"/>
  <c r="X30" i="15"/>
  <c r="N30" i="15"/>
  <c r="L30" i="15"/>
  <c r="J30" i="15"/>
  <c r="B30" i="15"/>
  <c r="Z29" i="15"/>
  <c r="X29" i="15"/>
  <c r="V29" i="15"/>
  <c r="N29" i="15"/>
  <c r="L29" i="15"/>
  <c r="B29" i="15"/>
  <c r="Z28" i="15"/>
  <c r="X28" i="15"/>
  <c r="N28" i="15"/>
  <c r="L28" i="15"/>
  <c r="B28" i="15"/>
  <c r="Z27" i="15"/>
  <c r="X27" i="15"/>
  <c r="V27" i="15"/>
  <c r="N27" i="15"/>
  <c r="L27" i="15"/>
  <c r="J27" i="15"/>
  <c r="B27" i="15"/>
  <c r="Z26" i="15"/>
  <c r="X26" i="15"/>
  <c r="V26" i="15"/>
  <c r="N26" i="15"/>
  <c r="L26" i="15"/>
  <c r="B26" i="15"/>
  <c r="Z25" i="15"/>
  <c r="X25" i="15"/>
  <c r="N25" i="15"/>
  <c r="L25" i="15"/>
  <c r="J25" i="15"/>
  <c r="B25" i="15"/>
  <c r="Z24" i="15"/>
  <c r="X24" i="15"/>
  <c r="N24" i="15"/>
  <c r="L24" i="15"/>
  <c r="J24" i="15"/>
  <c r="B24" i="15"/>
  <c r="Z23" i="15"/>
  <c r="X23" i="15"/>
  <c r="V23" i="15"/>
  <c r="N23" i="15"/>
  <c r="L23" i="15"/>
  <c r="J23" i="15"/>
  <c r="B23" i="15"/>
  <c r="Z22" i="15"/>
  <c r="X22" i="15"/>
  <c r="N22" i="15"/>
  <c r="L22" i="15"/>
  <c r="J22" i="15"/>
  <c r="B22" i="15"/>
  <c r="Z21" i="15"/>
  <c r="X21" i="15"/>
  <c r="V21" i="15"/>
  <c r="N21" i="15"/>
  <c r="L21" i="15"/>
  <c r="J21" i="15"/>
  <c r="B21" i="15"/>
  <c r="X20" i="15"/>
  <c r="Z20" i="15" s="1"/>
  <c r="N20" i="15"/>
  <c r="L20" i="15"/>
  <c r="B20" i="15"/>
  <c r="Z19" i="15"/>
  <c r="T19" i="15"/>
  <c r="X19" i="15" s="1"/>
  <c r="P19" i="15"/>
  <c r="J19" i="15"/>
  <c r="H19" i="15"/>
  <c r="D19" i="15"/>
  <c r="L19" i="15" s="1"/>
  <c r="N19" i="15" s="1"/>
  <c r="Z17" i="15"/>
  <c r="P17" i="15"/>
  <c r="X17" i="15" s="1"/>
  <c r="N17" i="15"/>
  <c r="L17" i="15"/>
  <c r="D17" i="15"/>
  <c r="B17" i="15"/>
  <c r="Z16" i="15"/>
  <c r="X16" i="15"/>
  <c r="P16" i="15"/>
  <c r="N16" i="15"/>
  <c r="D16" i="15"/>
  <c r="B16" i="15"/>
  <c r="Z15" i="15"/>
  <c r="X15" i="15"/>
  <c r="P15" i="15"/>
  <c r="N15" i="15"/>
  <c r="L15" i="15"/>
  <c r="D15" i="15"/>
  <c r="B15" i="15"/>
  <c r="P14" i="15"/>
  <c r="X14" i="15" s="1"/>
  <c r="Z14" i="15" s="1"/>
  <c r="D14" i="15"/>
  <c r="L14" i="15" s="1"/>
  <c r="N14" i="15" s="1"/>
  <c r="B14" i="15"/>
  <c r="Z13" i="15"/>
  <c r="P13" i="15"/>
  <c r="X13" i="15" s="1"/>
  <c r="N13" i="15"/>
  <c r="L13" i="15"/>
  <c r="D13" i="15"/>
  <c r="B13" i="15"/>
  <c r="T12" i="15"/>
  <c r="V136" i="15" s="1"/>
  <c r="H12" i="15"/>
  <c r="J135" i="15" s="1"/>
  <c r="D4" i="15"/>
  <c r="B39" i="14"/>
  <c r="B38" i="14"/>
  <c r="T34" i="14"/>
  <c r="Z34" i="14" s="1"/>
  <c r="P34" i="14"/>
  <c r="H34" i="14"/>
  <c r="N34" i="14" s="1"/>
  <c r="D34" i="14"/>
  <c r="T33" i="14"/>
  <c r="Z33" i="14" s="1"/>
  <c r="P33" i="14"/>
  <c r="H33" i="14"/>
  <c r="N33" i="14" s="1"/>
  <c r="D33" i="14"/>
  <c r="T29" i="14"/>
  <c r="Z29" i="14" s="1"/>
  <c r="P29" i="14"/>
  <c r="H29" i="14"/>
  <c r="N29" i="14" s="1"/>
  <c r="D29" i="14"/>
  <c r="T25" i="14"/>
  <c r="Z25" i="14" s="1"/>
  <c r="P25" i="14"/>
  <c r="H25" i="14"/>
  <c r="N25" i="14" s="1"/>
  <c r="D25" i="14"/>
  <c r="B25" i="14"/>
  <c r="T24" i="14"/>
  <c r="Z24" i="14" s="1"/>
  <c r="P24" i="14"/>
  <c r="H24" i="14"/>
  <c r="D24" i="14"/>
  <c r="T22" i="14"/>
  <c r="Z22" i="14" s="1"/>
  <c r="P22" i="14"/>
  <c r="H22" i="14"/>
  <c r="N22" i="14" s="1"/>
  <c r="D22" i="14"/>
  <c r="B22" i="14"/>
  <c r="T21" i="14"/>
  <c r="P21" i="14"/>
  <c r="H21" i="14"/>
  <c r="N21" i="14" s="1"/>
  <c r="D21" i="14"/>
  <c r="B21" i="14"/>
  <c r="T20" i="14"/>
  <c r="P20" i="14"/>
  <c r="H20" i="14"/>
  <c r="N20" i="14" s="1"/>
  <c r="D20" i="14"/>
  <c r="T16" i="14"/>
  <c r="P16" i="14"/>
  <c r="H16" i="14"/>
  <c r="N16" i="14" s="1"/>
  <c r="D16" i="14"/>
  <c r="B16" i="14"/>
  <c r="T15" i="14"/>
  <c r="Z15" i="14" s="1"/>
  <c r="P15" i="14"/>
  <c r="H15" i="14"/>
  <c r="N15" i="14" s="1"/>
  <c r="D15" i="14"/>
  <c r="T13" i="14"/>
  <c r="Z13" i="14" s="1"/>
  <c r="P13" i="14"/>
  <c r="H13" i="14"/>
  <c r="N13" i="14" s="1"/>
  <c r="D13" i="14"/>
  <c r="B13" i="14"/>
  <c r="T12" i="14"/>
  <c r="V24" i="14" s="1"/>
  <c r="P12" i="14"/>
  <c r="R20" i="14" s="1"/>
  <c r="H12" i="14"/>
  <c r="J18" i="14" s="1"/>
  <c r="D12" i="14"/>
  <c r="F24" i="14" s="1"/>
  <c r="D5" i="14"/>
  <c r="D4" i="14"/>
  <c r="B39" i="13"/>
  <c r="B38" i="13"/>
  <c r="T34" i="13"/>
  <c r="Z34" i="13" s="1"/>
  <c r="P34" i="13"/>
  <c r="H34" i="13"/>
  <c r="D34" i="13"/>
  <c r="T33" i="13"/>
  <c r="Z33" i="13" s="1"/>
  <c r="P33" i="13"/>
  <c r="H33" i="13"/>
  <c r="N33" i="13" s="1"/>
  <c r="D33" i="13"/>
  <c r="T29" i="13"/>
  <c r="Z29" i="13" s="1"/>
  <c r="P29" i="13"/>
  <c r="H29" i="13"/>
  <c r="N29" i="13" s="1"/>
  <c r="D29" i="13"/>
  <c r="T25" i="13"/>
  <c r="Z25" i="13" s="1"/>
  <c r="P25" i="13"/>
  <c r="H25" i="13"/>
  <c r="N25" i="13" s="1"/>
  <c r="D25" i="13"/>
  <c r="B25" i="13"/>
  <c r="T24" i="13"/>
  <c r="P24" i="13"/>
  <c r="H24" i="13"/>
  <c r="N24" i="13" s="1"/>
  <c r="D24" i="13"/>
  <c r="T22" i="13"/>
  <c r="Z22" i="13" s="1"/>
  <c r="P22" i="13"/>
  <c r="H22" i="13"/>
  <c r="N22" i="13" s="1"/>
  <c r="D22" i="13"/>
  <c r="B22" i="13"/>
  <c r="T21" i="13"/>
  <c r="Z21" i="13" s="1"/>
  <c r="P21" i="13"/>
  <c r="H21" i="13"/>
  <c r="N21" i="13" s="1"/>
  <c r="D21" i="13"/>
  <c r="B21" i="13"/>
  <c r="T20" i="13"/>
  <c r="Z20" i="13" s="1"/>
  <c r="P20" i="13"/>
  <c r="H20" i="13"/>
  <c r="N20" i="13" s="1"/>
  <c r="D20" i="13"/>
  <c r="T16" i="13"/>
  <c r="Z16" i="13" s="1"/>
  <c r="P16" i="13"/>
  <c r="H16" i="13"/>
  <c r="N16" i="13" s="1"/>
  <c r="D16" i="13"/>
  <c r="B16" i="13"/>
  <c r="T15" i="13"/>
  <c r="Z15" i="13" s="1"/>
  <c r="P15" i="13"/>
  <c r="H15" i="13"/>
  <c r="N15" i="13" s="1"/>
  <c r="D15" i="13"/>
  <c r="T13" i="13"/>
  <c r="Z13" i="13" s="1"/>
  <c r="P13" i="13"/>
  <c r="H13" i="13"/>
  <c r="N13" i="13" s="1"/>
  <c r="D13" i="13"/>
  <c r="B13" i="13"/>
  <c r="T12" i="13"/>
  <c r="V34" i="13" s="1"/>
  <c r="P12" i="13"/>
  <c r="H12" i="13"/>
  <c r="J21" i="13" s="1"/>
  <c r="D12" i="13"/>
  <c r="F34" i="13" s="1"/>
  <c r="D5" i="13"/>
  <c r="D4" i="13"/>
  <c r="X145" i="12"/>
  <c r="Z145" i="12" s="1"/>
  <c r="N145" i="12"/>
  <c r="L145" i="12"/>
  <c r="J145" i="12"/>
  <c r="Z141" i="12"/>
  <c r="V141" i="12"/>
  <c r="P141" i="12"/>
  <c r="X141" i="12" s="1"/>
  <c r="N141" i="12"/>
  <c r="D141" i="12"/>
  <c r="L141" i="12" s="1"/>
  <c r="B141" i="12"/>
  <c r="Z140" i="12"/>
  <c r="X140" i="12"/>
  <c r="P140" i="12"/>
  <c r="N140" i="12"/>
  <c r="J140" i="12"/>
  <c r="D140" i="12"/>
  <c r="L140" i="12" s="1"/>
  <c r="B140" i="12"/>
  <c r="Z139" i="12"/>
  <c r="P139" i="12"/>
  <c r="X139" i="12" s="1"/>
  <c r="N139" i="12"/>
  <c r="L139" i="12"/>
  <c r="D139" i="12"/>
  <c r="B139" i="12"/>
  <c r="X138" i="12"/>
  <c r="Z138" i="12" s="1"/>
  <c r="P138" i="12"/>
  <c r="D138" i="12"/>
  <c r="B138" i="12"/>
  <c r="T137" i="12"/>
  <c r="H137" i="12"/>
  <c r="Z135" i="12"/>
  <c r="X135" i="12"/>
  <c r="V135" i="12"/>
  <c r="L135" i="12"/>
  <c r="N135" i="12" s="1"/>
  <c r="B135" i="12"/>
  <c r="X134" i="12"/>
  <c r="T134" i="12"/>
  <c r="P134" i="12"/>
  <c r="H134" i="12"/>
  <c r="D134" i="12"/>
  <c r="B134" i="12"/>
  <c r="Z133" i="12"/>
  <c r="X133" i="12"/>
  <c r="N133" i="12"/>
  <c r="L133" i="12"/>
  <c r="B133" i="12"/>
  <c r="X132" i="12"/>
  <c r="Z132" i="12" s="1"/>
  <c r="L132" i="12"/>
  <c r="N132" i="12" s="1"/>
  <c r="B132" i="12"/>
  <c r="Z131" i="12"/>
  <c r="X131" i="12"/>
  <c r="V131" i="12"/>
  <c r="L131" i="12"/>
  <c r="N131" i="12" s="1"/>
  <c r="B131" i="12"/>
  <c r="X130" i="12"/>
  <c r="T130" i="12"/>
  <c r="Z130" i="12" s="1"/>
  <c r="P130" i="12"/>
  <c r="H130" i="12"/>
  <c r="D130" i="12"/>
  <c r="B130" i="12"/>
  <c r="Z129" i="12"/>
  <c r="X129" i="12"/>
  <c r="N129" i="12"/>
  <c r="L129" i="12"/>
  <c r="B129" i="12"/>
  <c r="X128" i="12"/>
  <c r="Z128" i="12" s="1"/>
  <c r="L128" i="12"/>
  <c r="N128" i="12" s="1"/>
  <c r="B128" i="12"/>
  <c r="V127" i="12"/>
  <c r="T127" i="12"/>
  <c r="P127" i="12"/>
  <c r="X127" i="12" s="1"/>
  <c r="Z127" i="12" s="1"/>
  <c r="H127" i="12"/>
  <c r="D127" i="12"/>
  <c r="L127" i="12" s="1"/>
  <c r="N127" i="12" s="1"/>
  <c r="B127" i="12"/>
  <c r="Z126" i="12"/>
  <c r="X126" i="12"/>
  <c r="L126" i="12"/>
  <c r="N126" i="12" s="1"/>
  <c r="B126" i="12"/>
  <c r="Z125" i="12"/>
  <c r="X125" i="12"/>
  <c r="N125" i="12"/>
  <c r="L125" i="12"/>
  <c r="B125" i="12"/>
  <c r="X124" i="12"/>
  <c r="Z124" i="12" s="1"/>
  <c r="L124" i="12"/>
  <c r="N124" i="12" s="1"/>
  <c r="B124" i="12"/>
  <c r="Z123" i="12"/>
  <c r="X123" i="12"/>
  <c r="V123" i="12"/>
  <c r="L123" i="12"/>
  <c r="N123" i="12" s="1"/>
  <c r="B123" i="12"/>
  <c r="X122" i="12"/>
  <c r="Z122" i="12" s="1"/>
  <c r="N122" i="12"/>
  <c r="L122" i="12"/>
  <c r="B122" i="12"/>
  <c r="Z121" i="12"/>
  <c r="X121" i="12"/>
  <c r="N121" i="12"/>
  <c r="L121" i="12"/>
  <c r="B121" i="12"/>
  <c r="Z120" i="12"/>
  <c r="X120" i="12"/>
  <c r="N120" i="12"/>
  <c r="L120" i="12"/>
  <c r="B120" i="12"/>
  <c r="X119" i="12"/>
  <c r="Z119" i="12" s="1"/>
  <c r="T119" i="12"/>
  <c r="P119" i="12"/>
  <c r="H119" i="12"/>
  <c r="L119" i="12" s="1"/>
  <c r="N119" i="12" s="1"/>
  <c r="D119" i="12"/>
  <c r="B119" i="12"/>
  <c r="X118" i="12"/>
  <c r="Z118" i="12" s="1"/>
  <c r="N118" i="12"/>
  <c r="L118" i="12"/>
  <c r="B118" i="12"/>
  <c r="Z117" i="12"/>
  <c r="X117" i="12"/>
  <c r="N117" i="12"/>
  <c r="L117" i="12"/>
  <c r="B117" i="12"/>
  <c r="T116" i="12"/>
  <c r="P116" i="12"/>
  <c r="X116" i="12" s="1"/>
  <c r="Z116" i="12" s="1"/>
  <c r="L116" i="12"/>
  <c r="H116" i="12"/>
  <c r="D116" i="12"/>
  <c r="B116" i="12"/>
  <c r="Z115" i="12"/>
  <c r="X115" i="12"/>
  <c r="V115" i="12"/>
  <c r="N115" i="12"/>
  <c r="L115" i="12"/>
  <c r="B115" i="12"/>
  <c r="X114" i="12"/>
  <c r="Z114" i="12" s="1"/>
  <c r="N114" i="12"/>
  <c r="L114" i="12"/>
  <c r="B114" i="12"/>
  <c r="Z113" i="12"/>
  <c r="X113" i="12"/>
  <c r="N113" i="12"/>
  <c r="L113" i="12"/>
  <c r="B113" i="12"/>
  <c r="T112" i="12"/>
  <c r="Z112" i="12" s="1"/>
  <c r="P112" i="12"/>
  <c r="X112" i="12" s="1"/>
  <c r="L112" i="12"/>
  <c r="H112" i="12"/>
  <c r="N112" i="12" s="1"/>
  <c r="D112" i="12"/>
  <c r="B112" i="12"/>
  <c r="Z111" i="12"/>
  <c r="X111" i="12"/>
  <c r="V111" i="12"/>
  <c r="L111" i="12"/>
  <c r="N111" i="12" s="1"/>
  <c r="B111" i="12"/>
  <c r="Z110" i="12"/>
  <c r="X110" i="12"/>
  <c r="N110" i="12"/>
  <c r="L110" i="12"/>
  <c r="B110" i="12"/>
  <c r="Z109" i="12"/>
  <c r="X109" i="12"/>
  <c r="N109" i="12"/>
  <c r="L109" i="12"/>
  <c r="B109" i="12"/>
  <c r="X108" i="12"/>
  <c r="Z108" i="12" s="1"/>
  <c r="L108" i="12"/>
  <c r="N108" i="12" s="1"/>
  <c r="B108" i="12"/>
  <c r="X107" i="12"/>
  <c r="Z107" i="12" s="1"/>
  <c r="T107" i="12"/>
  <c r="P107" i="12"/>
  <c r="N107" i="12"/>
  <c r="H107" i="12"/>
  <c r="L107" i="12" s="1"/>
  <c r="D107" i="12"/>
  <c r="B107" i="12"/>
  <c r="X106" i="12"/>
  <c r="Z106" i="12" s="1"/>
  <c r="N106" i="12"/>
  <c r="L106" i="12"/>
  <c r="B106" i="12"/>
  <c r="Z105" i="12"/>
  <c r="X105" i="12"/>
  <c r="L105" i="12"/>
  <c r="N105" i="12" s="1"/>
  <c r="B105" i="12"/>
  <c r="X104" i="12"/>
  <c r="Z104" i="12" s="1"/>
  <c r="L104" i="12"/>
  <c r="N104" i="12" s="1"/>
  <c r="B104" i="12"/>
  <c r="X103" i="12"/>
  <c r="Z103" i="12" s="1"/>
  <c r="N103" i="12"/>
  <c r="L103" i="12"/>
  <c r="J103" i="12"/>
  <c r="B103" i="12"/>
  <c r="T102" i="12"/>
  <c r="P102" i="12"/>
  <c r="X102" i="12" s="1"/>
  <c r="H102" i="12"/>
  <c r="D102" i="12"/>
  <c r="L102" i="12" s="1"/>
  <c r="N102" i="12" s="1"/>
  <c r="B102" i="12"/>
  <c r="Z101" i="12"/>
  <c r="X101" i="12"/>
  <c r="L101" i="12"/>
  <c r="N101" i="12" s="1"/>
  <c r="B101" i="12"/>
  <c r="T100" i="12"/>
  <c r="P100" i="12"/>
  <c r="X100" i="12" s="1"/>
  <c r="Z100" i="12" s="1"/>
  <c r="L100" i="12"/>
  <c r="H100" i="12"/>
  <c r="D100" i="12"/>
  <c r="B100" i="12"/>
  <c r="Z99" i="12"/>
  <c r="X99" i="12"/>
  <c r="V99" i="12"/>
  <c r="L99" i="12"/>
  <c r="N99" i="12" s="1"/>
  <c r="B99" i="12"/>
  <c r="X98" i="12"/>
  <c r="T98" i="12"/>
  <c r="P98" i="12"/>
  <c r="H98" i="12"/>
  <c r="D98" i="12"/>
  <c r="B98" i="12"/>
  <c r="X97" i="12"/>
  <c r="Z97" i="12" s="1"/>
  <c r="N97" i="12"/>
  <c r="L97" i="12"/>
  <c r="B97" i="12"/>
  <c r="T96" i="12"/>
  <c r="P96" i="12"/>
  <c r="H96" i="12"/>
  <c r="D96" i="12"/>
  <c r="L96" i="12" s="1"/>
  <c r="B96" i="12"/>
  <c r="X95" i="12"/>
  <c r="Z95" i="12" s="1"/>
  <c r="N95" i="12"/>
  <c r="L95" i="12"/>
  <c r="J95" i="12"/>
  <c r="B95" i="12"/>
  <c r="T94" i="12"/>
  <c r="P94" i="12"/>
  <c r="X94" i="12" s="1"/>
  <c r="H94" i="12"/>
  <c r="D94" i="12"/>
  <c r="L94" i="12" s="1"/>
  <c r="N94" i="12" s="1"/>
  <c r="B94" i="12"/>
  <c r="Z93" i="12"/>
  <c r="X93" i="12"/>
  <c r="N93" i="12"/>
  <c r="L93" i="12"/>
  <c r="B93" i="12"/>
  <c r="T92" i="12"/>
  <c r="P92" i="12"/>
  <c r="X92" i="12" s="1"/>
  <c r="Z92" i="12" s="1"/>
  <c r="L92" i="12"/>
  <c r="H92" i="12"/>
  <c r="D92" i="12"/>
  <c r="B92" i="12"/>
  <c r="Z91" i="12"/>
  <c r="X91" i="12"/>
  <c r="V91" i="12"/>
  <c r="L91" i="12"/>
  <c r="N91" i="12" s="1"/>
  <c r="B91" i="12"/>
  <c r="X90" i="12"/>
  <c r="Z90" i="12" s="1"/>
  <c r="N90" i="12"/>
  <c r="L90" i="12"/>
  <c r="B90" i="12"/>
  <c r="T89" i="12"/>
  <c r="X89" i="12" s="1"/>
  <c r="Z89" i="12" s="1"/>
  <c r="P89" i="12"/>
  <c r="J89" i="12"/>
  <c r="H89" i="12"/>
  <c r="D89" i="12"/>
  <c r="L89" i="12" s="1"/>
  <c r="N89" i="12" s="1"/>
  <c r="B89" i="12"/>
  <c r="X88" i="12"/>
  <c r="Z88" i="12" s="1"/>
  <c r="L88" i="12"/>
  <c r="N88" i="12" s="1"/>
  <c r="B88" i="12"/>
  <c r="Z87" i="12"/>
  <c r="X87" i="12"/>
  <c r="V87" i="12"/>
  <c r="L87" i="12"/>
  <c r="N87" i="12" s="1"/>
  <c r="B87" i="12"/>
  <c r="X86" i="12"/>
  <c r="T86" i="12"/>
  <c r="Z86" i="12" s="1"/>
  <c r="P86" i="12"/>
  <c r="H86" i="12"/>
  <c r="D86" i="12"/>
  <c r="B86" i="12"/>
  <c r="Z85" i="12"/>
  <c r="X85" i="12"/>
  <c r="N85" i="12"/>
  <c r="L85" i="12"/>
  <c r="B85" i="12"/>
  <c r="T84" i="12"/>
  <c r="P84" i="12"/>
  <c r="H84" i="12"/>
  <c r="N84" i="12" s="1"/>
  <c r="D84" i="12"/>
  <c r="L84" i="12" s="1"/>
  <c r="B84" i="12"/>
  <c r="X83" i="12"/>
  <c r="Z83" i="12" s="1"/>
  <c r="N83" i="12"/>
  <c r="L83" i="12"/>
  <c r="J83" i="12"/>
  <c r="B83" i="12"/>
  <c r="T82" i="12"/>
  <c r="Z82" i="12" s="1"/>
  <c r="P82" i="12"/>
  <c r="X82" i="12" s="1"/>
  <c r="H82" i="12"/>
  <c r="D82" i="12"/>
  <c r="L82" i="12" s="1"/>
  <c r="N82" i="12" s="1"/>
  <c r="B82" i="12"/>
  <c r="Z81" i="12"/>
  <c r="X81" i="12"/>
  <c r="N81" i="12"/>
  <c r="L81" i="12"/>
  <c r="B81" i="12"/>
  <c r="T80" i="12"/>
  <c r="P80" i="12"/>
  <c r="X80" i="12" s="1"/>
  <c r="Z80" i="12" s="1"/>
  <c r="L80" i="12"/>
  <c r="H80" i="12"/>
  <c r="D80" i="12"/>
  <c r="B80" i="12"/>
  <c r="Z79" i="12"/>
  <c r="X79" i="12"/>
  <c r="V79" i="12"/>
  <c r="N79" i="12"/>
  <c r="L79" i="12"/>
  <c r="B79" i="12"/>
  <c r="Z78" i="12"/>
  <c r="X78" i="12"/>
  <c r="N78" i="12"/>
  <c r="L78" i="12"/>
  <c r="B78" i="12"/>
  <c r="Z77" i="12"/>
  <c r="T77" i="12"/>
  <c r="X77" i="12" s="1"/>
  <c r="P77" i="12"/>
  <c r="N77" i="12"/>
  <c r="J77" i="12"/>
  <c r="H77" i="12"/>
  <c r="D77" i="12"/>
  <c r="L77" i="12" s="1"/>
  <c r="B77" i="12"/>
  <c r="X76" i="12"/>
  <c r="Z76" i="12" s="1"/>
  <c r="L76" i="12"/>
  <c r="N76" i="12" s="1"/>
  <c r="B76" i="12"/>
  <c r="Z75" i="12"/>
  <c r="X75" i="12"/>
  <c r="V75" i="12"/>
  <c r="N75" i="12"/>
  <c r="L75" i="12"/>
  <c r="B75" i="12"/>
  <c r="X74" i="12"/>
  <c r="T74" i="12"/>
  <c r="P74" i="12"/>
  <c r="H74" i="12"/>
  <c r="D74" i="12"/>
  <c r="B74" i="12"/>
  <c r="Z73" i="12"/>
  <c r="X73" i="12"/>
  <c r="V73" i="12"/>
  <c r="N73" i="12"/>
  <c r="L73" i="12"/>
  <c r="B73" i="12"/>
  <c r="T72" i="12"/>
  <c r="P72" i="12"/>
  <c r="H72" i="12"/>
  <c r="D72" i="12"/>
  <c r="L72" i="12" s="1"/>
  <c r="B72" i="12"/>
  <c r="X71" i="12"/>
  <c r="Z71" i="12" s="1"/>
  <c r="N71" i="12"/>
  <c r="L71" i="12"/>
  <c r="J71" i="12"/>
  <c r="B71" i="12"/>
  <c r="T70" i="12"/>
  <c r="P70" i="12"/>
  <c r="X70" i="12" s="1"/>
  <c r="H70" i="12"/>
  <c r="N70" i="12" s="1"/>
  <c r="D70" i="12"/>
  <c r="L70" i="12" s="1"/>
  <c r="B70" i="12"/>
  <c r="Z69" i="12"/>
  <c r="X69" i="12"/>
  <c r="N69" i="12"/>
  <c r="L69" i="12"/>
  <c r="J69" i="12"/>
  <c r="B69" i="12"/>
  <c r="T68" i="12"/>
  <c r="Z68" i="12" s="1"/>
  <c r="P68" i="12"/>
  <c r="X68" i="12" s="1"/>
  <c r="L68" i="12"/>
  <c r="H68" i="12"/>
  <c r="D68" i="12"/>
  <c r="B68" i="12"/>
  <c r="Z67" i="12"/>
  <c r="X67" i="12"/>
  <c r="V67" i="12"/>
  <c r="N67" i="12"/>
  <c r="L67" i="12"/>
  <c r="B67" i="12"/>
  <c r="Z66" i="12"/>
  <c r="X66" i="12"/>
  <c r="N66" i="12"/>
  <c r="L66" i="12"/>
  <c r="B66" i="12"/>
  <c r="Z65" i="12"/>
  <c r="X65" i="12"/>
  <c r="N65" i="12"/>
  <c r="L65" i="12"/>
  <c r="J65" i="12"/>
  <c r="B65" i="12"/>
  <c r="X64" i="12"/>
  <c r="Z64" i="12" s="1"/>
  <c r="L64" i="12"/>
  <c r="N64" i="12" s="1"/>
  <c r="B64" i="12"/>
  <c r="Z63" i="12"/>
  <c r="X63" i="12"/>
  <c r="N63" i="12"/>
  <c r="L63" i="12"/>
  <c r="J63" i="12"/>
  <c r="B63" i="12"/>
  <c r="Z62" i="12"/>
  <c r="X62" i="12"/>
  <c r="L62" i="12"/>
  <c r="N62" i="12" s="1"/>
  <c r="B62" i="12"/>
  <c r="Z61" i="12"/>
  <c r="X61" i="12"/>
  <c r="V61" i="12"/>
  <c r="N61" i="12"/>
  <c r="L61" i="12"/>
  <c r="B61" i="12"/>
  <c r="Z60" i="12"/>
  <c r="X60" i="12"/>
  <c r="N60" i="12"/>
  <c r="L60" i="12"/>
  <c r="B60" i="12"/>
  <c r="Z59" i="12"/>
  <c r="X59" i="12"/>
  <c r="V59" i="12"/>
  <c r="N59" i="12"/>
  <c r="L59" i="12"/>
  <c r="B59" i="12"/>
  <c r="X58" i="12"/>
  <c r="Z58" i="12" s="1"/>
  <c r="N58" i="12"/>
  <c r="L58" i="12"/>
  <c r="B58" i="12"/>
  <c r="Z57" i="12"/>
  <c r="T57" i="12"/>
  <c r="X57" i="12" s="1"/>
  <c r="P57" i="12"/>
  <c r="N57" i="12"/>
  <c r="J57" i="12"/>
  <c r="H57" i="12"/>
  <c r="D57" i="12"/>
  <c r="L57" i="12" s="1"/>
  <c r="B57" i="12"/>
  <c r="X56" i="12"/>
  <c r="Z56" i="12" s="1"/>
  <c r="L56" i="12"/>
  <c r="N56" i="12" s="1"/>
  <c r="B56" i="12"/>
  <c r="Z55" i="12"/>
  <c r="X55" i="12"/>
  <c r="V55" i="12"/>
  <c r="N55" i="12"/>
  <c r="L55" i="12"/>
  <c r="B55" i="12"/>
  <c r="X54" i="12"/>
  <c r="Z54" i="12" s="1"/>
  <c r="N54" i="12"/>
  <c r="L54" i="12"/>
  <c r="B54" i="12"/>
  <c r="Z53" i="12"/>
  <c r="X53" i="12"/>
  <c r="N53" i="12"/>
  <c r="L53" i="12"/>
  <c r="J53" i="12"/>
  <c r="B53" i="12"/>
  <c r="Z52" i="12"/>
  <c r="X52" i="12"/>
  <c r="N52" i="12"/>
  <c r="L52" i="12"/>
  <c r="B52" i="12"/>
  <c r="Z51" i="12"/>
  <c r="X51" i="12"/>
  <c r="N51" i="12"/>
  <c r="L51" i="12"/>
  <c r="J51" i="12"/>
  <c r="B51" i="12"/>
  <c r="Z50" i="12"/>
  <c r="X50" i="12"/>
  <c r="L50" i="12"/>
  <c r="N50" i="12" s="1"/>
  <c r="B50" i="12"/>
  <c r="Z49" i="12"/>
  <c r="X49" i="12"/>
  <c r="V49" i="12"/>
  <c r="N49" i="12"/>
  <c r="L49" i="12"/>
  <c r="B49" i="12"/>
  <c r="X48" i="12"/>
  <c r="Z48" i="12" s="1"/>
  <c r="L48" i="12"/>
  <c r="N48" i="12" s="1"/>
  <c r="B48" i="12"/>
  <c r="Z47" i="12"/>
  <c r="X47" i="12"/>
  <c r="V47" i="12"/>
  <c r="N47" i="12"/>
  <c r="L47" i="12"/>
  <c r="B47" i="12"/>
  <c r="X46" i="12"/>
  <c r="T46" i="12"/>
  <c r="Z46" i="12" s="1"/>
  <c r="P46" i="12"/>
  <c r="L46" i="12"/>
  <c r="H46" i="12"/>
  <c r="D46" i="12"/>
  <c r="B46" i="12"/>
  <c r="T45" i="12"/>
  <c r="V45" i="12" s="1"/>
  <c r="P45" i="12"/>
  <c r="H45" i="12"/>
  <c r="D45" i="12"/>
  <c r="L45" i="12" s="1"/>
  <c r="N45" i="12" s="1"/>
  <c r="Z41" i="12"/>
  <c r="X41" i="12"/>
  <c r="V41" i="12"/>
  <c r="N41" i="12"/>
  <c r="L41" i="12"/>
  <c r="B41" i="12"/>
  <c r="Z40" i="12"/>
  <c r="X40" i="12"/>
  <c r="N40" i="12"/>
  <c r="L40" i="12"/>
  <c r="B40" i="12"/>
  <c r="Z39" i="12"/>
  <c r="X39" i="12"/>
  <c r="V39" i="12"/>
  <c r="N39" i="12"/>
  <c r="L39" i="12"/>
  <c r="B39" i="12"/>
  <c r="Z38" i="12"/>
  <c r="X38" i="12"/>
  <c r="N38" i="12"/>
  <c r="L38" i="12"/>
  <c r="B38" i="12"/>
  <c r="Z37" i="12"/>
  <c r="X37" i="12"/>
  <c r="N37" i="12"/>
  <c r="L37" i="12"/>
  <c r="J37" i="12"/>
  <c r="B37" i="12"/>
  <c r="Z36" i="12"/>
  <c r="X36" i="12"/>
  <c r="N36" i="12"/>
  <c r="L36" i="12"/>
  <c r="B36" i="12"/>
  <c r="Z35" i="12"/>
  <c r="X35" i="12"/>
  <c r="N35" i="12"/>
  <c r="L35" i="12"/>
  <c r="J35" i="12"/>
  <c r="B35" i="12"/>
  <c r="Z34" i="12"/>
  <c r="X34" i="12"/>
  <c r="N34" i="12"/>
  <c r="L34" i="12"/>
  <c r="B34" i="12"/>
  <c r="Z33" i="12"/>
  <c r="X33" i="12"/>
  <c r="V33" i="12"/>
  <c r="N33" i="12"/>
  <c r="L33" i="12"/>
  <c r="B33" i="12"/>
  <c r="Z32" i="12"/>
  <c r="X32" i="12"/>
  <c r="N32" i="12"/>
  <c r="L32" i="12"/>
  <c r="B32" i="12"/>
  <c r="Z31" i="12"/>
  <c r="X31" i="12"/>
  <c r="V31" i="12"/>
  <c r="N31" i="12"/>
  <c r="L31" i="12"/>
  <c r="B31" i="12"/>
  <c r="Z30" i="12"/>
  <c r="X30" i="12"/>
  <c r="N30" i="12"/>
  <c r="L30" i="12"/>
  <c r="B30" i="12"/>
  <c r="Z29" i="12"/>
  <c r="X29" i="12"/>
  <c r="N29" i="12"/>
  <c r="L29" i="12"/>
  <c r="J29" i="12"/>
  <c r="B29" i="12"/>
  <c r="Z28" i="12"/>
  <c r="X28" i="12"/>
  <c r="N28" i="12"/>
  <c r="L28" i="12"/>
  <c r="B28" i="12"/>
  <c r="Z27" i="12"/>
  <c r="X27" i="12"/>
  <c r="N27" i="12"/>
  <c r="L27" i="12"/>
  <c r="J27" i="12"/>
  <c r="B27" i="12"/>
  <c r="Z26" i="12"/>
  <c r="X26" i="12"/>
  <c r="N26" i="12"/>
  <c r="L26" i="12"/>
  <c r="B26" i="12"/>
  <c r="Z25" i="12"/>
  <c r="X25" i="12"/>
  <c r="V25" i="12"/>
  <c r="N25" i="12"/>
  <c r="L25" i="12"/>
  <c r="B25" i="12"/>
  <c r="Z24" i="12"/>
  <c r="X24" i="12"/>
  <c r="N24" i="12"/>
  <c r="L24" i="12"/>
  <c r="B24" i="12"/>
  <c r="Z23" i="12"/>
  <c r="X23" i="12"/>
  <c r="V23" i="12"/>
  <c r="N23" i="12"/>
  <c r="L23" i="12"/>
  <c r="B23" i="12"/>
  <c r="Z22" i="12"/>
  <c r="X22" i="12"/>
  <c r="N22" i="12"/>
  <c r="L22" i="12"/>
  <c r="B22" i="12"/>
  <c r="Z21" i="12"/>
  <c r="X21" i="12"/>
  <c r="N21" i="12"/>
  <c r="L21" i="12"/>
  <c r="J21" i="12"/>
  <c r="B21" i="12"/>
  <c r="X20" i="12"/>
  <c r="Z20" i="12" s="1"/>
  <c r="L20" i="12"/>
  <c r="N20" i="12" s="1"/>
  <c r="B20" i="12"/>
  <c r="T19" i="12"/>
  <c r="P19" i="12"/>
  <c r="X19" i="12" s="1"/>
  <c r="Z19" i="12" s="1"/>
  <c r="N19" i="12"/>
  <c r="H19" i="12"/>
  <c r="L19" i="12" s="1"/>
  <c r="D19" i="12"/>
  <c r="Z17" i="12"/>
  <c r="P17" i="12"/>
  <c r="X17" i="12" s="1"/>
  <c r="N17" i="12"/>
  <c r="L17" i="12"/>
  <c r="D17" i="12"/>
  <c r="B17" i="12"/>
  <c r="Z16" i="12"/>
  <c r="X16" i="12"/>
  <c r="P16" i="12"/>
  <c r="N16" i="12"/>
  <c r="D16" i="12"/>
  <c r="L16" i="12" s="1"/>
  <c r="B16" i="12"/>
  <c r="Z15" i="12"/>
  <c r="P15" i="12"/>
  <c r="X15" i="12" s="1"/>
  <c r="N15" i="12"/>
  <c r="L15" i="12"/>
  <c r="D15" i="12"/>
  <c r="B15" i="12"/>
  <c r="P14" i="12"/>
  <c r="X14" i="12" s="1"/>
  <c r="Z14" i="12" s="1"/>
  <c r="N14" i="12"/>
  <c r="D14" i="12"/>
  <c r="L14" i="12" s="1"/>
  <c r="B14" i="12"/>
  <c r="Z13" i="12"/>
  <c r="X13" i="12"/>
  <c r="P13" i="12"/>
  <c r="L13" i="12"/>
  <c r="N13" i="12" s="1"/>
  <c r="D13" i="12"/>
  <c r="B13" i="12"/>
  <c r="T12" i="12"/>
  <c r="V138" i="12" s="1"/>
  <c r="H12" i="12"/>
  <c r="J126" i="12" s="1"/>
  <c r="D4" i="12"/>
  <c r="B39" i="11"/>
  <c r="B38" i="11"/>
  <c r="T34" i="11"/>
  <c r="Z34" i="11" s="1"/>
  <c r="P34" i="11"/>
  <c r="H34" i="11"/>
  <c r="N34" i="11" s="1"/>
  <c r="D34" i="11"/>
  <c r="T33" i="11"/>
  <c r="Z33" i="11" s="1"/>
  <c r="P33" i="11"/>
  <c r="H33" i="11"/>
  <c r="N33" i="11" s="1"/>
  <c r="D33" i="11"/>
  <c r="T29" i="11"/>
  <c r="Z29" i="11" s="1"/>
  <c r="P29" i="11"/>
  <c r="H29" i="11"/>
  <c r="N29" i="11" s="1"/>
  <c r="D29" i="11"/>
  <c r="T25" i="11"/>
  <c r="Z25" i="11" s="1"/>
  <c r="P25" i="11"/>
  <c r="H25" i="11"/>
  <c r="N25" i="11" s="1"/>
  <c r="D25" i="11"/>
  <c r="B25" i="11"/>
  <c r="T24" i="11"/>
  <c r="Z24" i="11" s="1"/>
  <c r="P24" i="11"/>
  <c r="H24" i="11"/>
  <c r="N24" i="11" s="1"/>
  <c r="D24" i="11"/>
  <c r="T22" i="11"/>
  <c r="Z22" i="11" s="1"/>
  <c r="P22" i="11"/>
  <c r="H22" i="11"/>
  <c r="N22" i="11" s="1"/>
  <c r="D22" i="11"/>
  <c r="B22" i="11"/>
  <c r="T21" i="11"/>
  <c r="Z21" i="11" s="1"/>
  <c r="P21" i="11"/>
  <c r="H21" i="11"/>
  <c r="N21" i="11" s="1"/>
  <c r="D21" i="11"/>
  <c r="B21" i="11"/>
  <c r="T20" i="11"/>
  <c r="Z20" i="11" s="1"/>
  <c r="P20" i="11"/>
  <c r="H20" i="11"/>
  <c r="N20" i="11" s="1"/>
  <c r="D20" i="11"/>
  <c r="T16" i="11"/>
  <c r="Z16" i="11" s="1"/>
  <c r="P16" i="11"/>
  <c r="H16" i="11"/>
  <c r="N16" i="11" s="1"/>
  <c r="D16" i="11"/>
  <c r="B16" i="11"/>
  <c r="T15" i="11"/>
  <c r="Z15" i="11" s="1"/>
  <c r="P15" i="11"/>
  <c r="H15" i="11"/>
  <c r="N15" i="11" s="1"/>
  <c r="D15" i="11"/>
  <c r="T13" i="11"/>
  <c r="Z13" i="11" s="1"/>
  <c r="P13" i="11"/>
  <c r="H13" i="11"/>
  <c r="N13" i="11" s="1"/>
  <c r="D13" i="11"/>
  <c r="B13" i="11"/>
  <c r="T12" i="11"/>
  <c r="V22" i="11" s="1"/>
  <c r="P12" i="11"/>
  <c r="R22" i="11" s="1"/>
  <c r="H12" i="11"/>
  <c r="N12" i="11" s="1"/>
  <c r="D12" i="11"/>
  <c r="F33" i="11" s="1"/>
  <c r="D5" i="11"/>
  <c r="D4" i="11"/>
  <c r="B39" i="10"/>
  <c r="B38" i="10"/>
  <c r="T34" i="10"/>
  <c r="Z34" i="10" s="1"/>
  <c r="P34" i="10"/>
  <c r="H34" i="10"/>
  <c r="N34" i="10" s="1"/>
  <c r="D34" i="10"/>
  <c r="T33" i="10"/>
  <c r="Z33" i="10" s="1"/>
  <c r="P33" i="10"/>
  <c r="H33" i="10"/>
  <c r="N33" i="10" s="1"/>
  <c r="D33" i="10"/>
  <c r="T29" i="10"/>
  <c r="Z29" i="10" s="1"/>
  <c r="P29" i="10"/>
  <c r="H29" i="10"/>
  <c r="N29" i="10" s="1"/>
  <c r="D29" i="10"/>
  <c r="T25" i="10"/>
  <c r="Z25" i="10" s="1"/>
  <c r="P25" i="10"/>
  <c r="H25" i="10"/>
  <c r="N25" i="10" s="1"/>
  <c r="D25" i="10"/>
  <c r="B25" i="10"/>
  <c r="T24" i="10"/>
  <c r="Z24" i="10" s="1"/>
  <c r="P24" i="10"/>
  <c r="H24" i="10"/>
  <c r="N24" i="10" s="1"/>
  <c r="D24" i="10"/>
  <c r="T22" i="10"/>
  <c r="Z22" i="10" s="1"/>
  <c r="P22" i="10"/>
  <c r="H22" i="10"/>
  <c r="N22" i="10" s="1"/>
  <c r="D22" i="10"/>
  <c r="B22" i="10"/>
  <c r="T21" i="10"/>
  <c r="Z21" i="10" s="1"/>
  <c r="P21" i="10"/>
  <c r="H21" i="10"/>
  <c r="N21" i="10" s="1"/>
  <c r="D21" i="10"/>
  <c r="B21" i="10"/>
  <c r="T20" i="10"/>
  <c r="Z20" i="10" s="1"/>
  <c r="P20" i="10"/>
  <c r="H20" i="10"/>
  <c r="N20" i="10" s="1"/>
  <c r="D20" i="10"/>
  <c r="T16" i="10"/>
  <c r="Z16" i="10" s="1"/>
  <c r="P16" i="10"/>
  <c r="H16" i="10"/>
  <c r="N16" i="10" s="1"/>
  <c r="D16" i="10"/>
  <c r="B16" i="10"/>
  <c r="T15" i="10"/>
  <c r="Z15" i="10" s="1"/>
  <c r="P15" i="10"/>
  <c r="H15" i="10"/>
  <c r="N15" i="10" s="1"/>
  <c r="D15" i="10"/>
  <c r="T13" i="10"/>
  <c r="Z13" i="10" s="1"/>
  <c r="P13" i="10"/>
  <c r="H13" i="10"/>
  <c r="N13" i="10" s="1"/>
  <c r="D13" i="10"/>
  <c r="B13" i="10"/>
  <c r="T12" i="10"/>
  <c r="V36" i="10" s="1"/>
  <c r="P12" i="10"/>
  <c r="R34" i="10" s="1"/>
  <c r="H12" i="10"/>
  <c r="J36" i="10" s="1"/>
  <c r="D12" i="10"/>
  <c r="F21" i="10" s="1"/>
  <c r="D5" i="10"/>
  <c r="D4" i="10"/>
  <c r="Z97" i="9"/>
  <c r="X97" i="9"/>
  <c r="N97" i="9"/>
  <c r="L97" i="9"/>
  <c r="Z93" i="9"/>
  <c r="X93" i="9"/>
  <c r="T93" i="9"/>
  <c r="P93" i="9"/>
  <c r="H93" i="9"/>
  <c r="N93" i="9" s="1"/>
  <c r="D93" i="9"/>
  <c r="L93" i="9" s="1"/>
  <c r="Z91" i="9"/>
  <c r="X91" i="9"/>
  <c r="N91" i="9"/>
  <c r="L91" i="9"/>
  <c r="B91" i="9"/>
  <c r="Z90" i="9"/>
  <c r="T90" i="9"/>
  <c r="R90" i="9"/>
  <c r="P90" i="9"/>
  <c r="X90" i="9" s="1"/>
  <c r="N90" i="9"/>
  <c r="H90" i="9"/>
  <c r="D90" i="9"/>
  <c r="L90" i="9" s="1"/>
  <c r="B90" i="9"/>
  <c r="Z89" i="9"/>
  <c r="X89" i="9"/>
  <c r="N89" i="9"/>
  <c r="L89" i="9"/>
  <c r="F89" i="9"/>
  <c r="B89" i="9"/>
  <c r="T88" i="9"/>
  <c r="P88" i="9"/>
  <c r="X88" i="9" s="1"/>
  <c r="Z88" i="9" s="1"/>
  <c r="N88" i="9"/>
  <c r="L88" i="9"/>
  <c r="H88" i="9"/>
  <c r="D88" i="9"/>
  <c r="B88" i="9"/>
  <c r="X87" i="9"/>
  <c r="Z87" i="9" s="1"/>
  <c r="L87" i="9"/>
  <c r="N87" i="9" s="1"/>
  <c r="B87" i="9"/>
  <c r="Z86" i="9"/>
  <c r="X86" i="9"/>
  <c r="N86" i="9"/>
  <c r="L86" i="9"/>
  <c r="B86" i="9"/>
  <c r="T85" i="9"/>
  <c r="P85" i="9"/>
  <c r="L85" i="9"/>
  <c r="N85" i="9" s="1"/>
  <c r="H85" i="9"/>
  <c r="D85" i="9"/>
  <c r="B85" i="9"/>
  <c r="Z84" i="9"/>
  <c r="X84" i="9"/>
  <c r="V84" i="9"/>
  <c r="N84" i="9"/>
  <c r="L84" i="9"/>
  <c r="J84" i="9"/>
  <c r="B84" i="9"/>
  <c r="X83" i="9"/>
  <c r="Z83" i="9" s="1"/>
  <c r="L83" i="9"/>
  <c r="N83" i="9" s="1"/>
  <c r="B83" i="9"/>
  <c r="Z82" i="9"/>
  <c r="X82" i="9"/>
  <c r="N82" i="9"/>
  <c r="L82" i="9"/>
  <c r="B82" i="9"/>
  <c r="Z81" i="9"/>
  <c r="X81" i="9"/>
  <c r="N81" i="9"/>
  <c r="L81" i="9"/>
  <c r="J81" i="9"/>
  <c r="F81" i="9"/>
  <c r="B81" i="9"/>
  <c r="Z80" i="9"/>
  <c r="X80" i="9"/>
  <c r="N80" i="9"/>
  <c r="L80" i="9"/>
  <c r="J80" i="9"/>
  <c r="B80" i="9"/>
  <c r="X79" i="9"/>
  <c r="Z79" i="9" s="1"/>
  <c r="L79" i="9"/>
  <c r="N79" i="9" s="1"/>
  <c r="B79" i="9"/>
  <c r="T78" i="9"/>
  <c r="R78" i="9"/>
  <c r="P78" i="9"/>
  <c r="X78" i="9" s="1"/>
  <c r="Z78" i="9" s="1"/>
  <c r="J78" i="9"/>
  <c r="H78" i="9"/>
  <c r="D78" i="9"/>
  <c r="L78" i="9" s="1"/>
  <c r="N78" i="9" s="1"/>
  <c r="B78" i="9"/>
  <c r="X77" i="9"/>
  <c r="Z77" i="9" s="1"/>
  <c r="N77" i="9"/>
  <c r="L77" i="9"/>
  <c r="J77" i="9"/>
  <c r="F77" i="9"/>
  <c r="B77" i="9"/>
  <c r="T76" i="9"/>
  <c r="P76" i="9"/>
  <c r="X76" i="9" s="1"/>
  <c r="Z76" i="9" s="1"/>
  <c r="N76" i="9"/>
  <c r="L76" i="9"/>
  <c r="J76" i="9"/>
  <c r="H76" i="9"/>
  <c r="D76" i="9"/>
  <c r="B76" i="9"/>
  <c r="X75" i="9"/>
  <c r="Z75" i="9" s="1"/>
  <c r="L75" i="9"/>
  <c r="N75" i="9" s="1"/>
  <c r="J75" i="9"/>
  <c r="B75" i="9"/>
  <c r="Z74" i="9"/>
  <c r="X74" i="9"/>
  <c r="N74" i="9"/>
  <c r="L74" i="9"/>
  <c r="B74" i="9"/>
  <c r="T73" i="9"/>
  <c r="P73" i="9"/>
  <c r="L73" i="9"/>
  <c r="N73" i="9" s="1"/>
  <c r="J73" i="9"/>
  <c r="H73" i="9"/>
  <c r="D73" i="9"/>
  <c r="B73" i="9"/>
  <c r="X72" i="9"/>
  <c r="Z72" i="9" s="1"/>
  <c r="V72" i="9"/>
  <c r="N72" i="9"/>
  <c r="L72" i="9"/>
  <c r="J72" i="9"/>
  <c r="B72" i="9"/>
  <c r="X71" i="9"/>
  <c r="Z71" i="9" s="1"/>
  <c r="L71" i="9"/>
  <c r="N71" i="9" s="1"/>
  <c r="J71" i="9"/>
  <c r="B71" i="9"/>
  <c r="Z70" i="9"/>
  <c r="X70" i="9"/>
  <c r="N70" i="9"/>
  <c r="L70" i="9"/>
  <c r="B70" i="9"/>
  <c r="Z69" i="9"/>
  <c r="X69" i="9"/>
  <c r="N69" i="9"/>
  <c r="L69" i="9"/>
  <c r="J69" i="9"/>
  <c r="F69" i="9"/>
  <c r="B69" i="9"/>
  <c r="T68" i="9"/>
  <c r="Z68" i="9" s="1"/>
  <c r="P68" i="9"/>
  <c r="X68" i="9" s="1"/>
  <c r="N68" i="9"/>
  <c r="L68" i="9"/>
  <c r="J68" i="9"/>
  <c r="H68" i="9"/>
  <c r="D68" i="9"/>
  <c r="B68" i="9"/>
  <c r="X67" i="9"/>
  <c r="Z67" i="9" s="1"/>
  <c r="L67" i="9"/>
  <c r="N67" i="9" s="1"/>
  <c r="J67" i="9"/>
  <c r="B67" i="9"/>
  <c r="Z66" i="9"/>
  <c r="X66" i="9"/>
  <c r="N66" i="9"/>
  <c r="L66" i="9"/>
  <c r="B66" i="9"/>
  <c r="Z65" i="9"/>
  <c r="X65" i="9"/>
  <c r="N65" i="9"/>
  <c r="L65" i="9"/>
  <c r="J65" i="9"/>
  <c r="F65" i="9"/>
  <c r="B65" i="9"/>
  <c r="Z64" i="9"/>
  <c r="X64" i="9"/>
  <c r="L64" i="9"/>
  <c r="N64" i="9" s="1"/>
  <c r="J64" i="9"/>
  <c r="B64" i="9"/>
  <c r="T63" i="9"/>
  <c r="P63" i="9"/>
  <c r="X63" i="9" s="1"/>
  <c r="Z63" i="9" s="1"/>
  <c r="H63" i="9"/>
  <c r="D63" i="9"/>
  <c r="B63" i="9"/>
  <c r="Z62" i="9"/>
  <c r="X62" i="9"/>
  <c r="N62" i="9"/>
  <c r="L62" i="9"/>
  <c r="B62" i="9"/>
  <c r="T61" i="9"/>
  <c r="P61" i="9"/>
  <c r="L61" i="9"/>
  <c r="N61" i="9" s="1"/>
  <c r="J61" i="9"/>
  <c r="H61" i="9"/>
  <c r="D61" i="9"/>
  <c r="B61" i="9"/>
  <c r="Z60" i="9"/>
  <c r="X60" i="9"/>
  <c r="V60" i="9"/>
  <c r="N60" i="9"/>
  <c r="L60" i="9"/>
  <c r="J60" i="9"/>
  <c r="B60" i="9"/>
  <c r="Z59" i="9"/>
  <c r="X59" i="9"/>
  <c r="T59" i="9"/>
  <c r="P59" i="9"/>
  <c r="J59" i="9"/>
  <c r="H59" i="9"/>
  <c r="N59" i="9" s="1"/>
  <c r="D59" i="9"/>
  <c r="L59" i="9" s="1"/>
  <c r="B59" i="9"/>
  <c r="Z58" i="9"/>
  <c r="X58" i="9"/>
  <c r="N58" i="9"/>
  <c r="L58" i="9"/>
  <c r="J58" i="9"/>
  <c r="B58" i="9"/>
  <c r="T57" i="9"/>
  <c r="Z57" i="9" s="1"/>
  <c r="P57" i="9"/>
  <c r="X57" i="9" s="1"/>
  <c r="J57" i="9"/>
  <c r="H57" i="9"/>
  <c r="D57" i="9"/>
  <c r="L57" i="9" s="1"/>
  <c r="N57" i="9" s="1"/>
  <c r="B57" i="9"/>
  <c r="Z56" i="9"/>
  <c r="X56" i="9"/>
  <c r="L56" i="9"/>
  <c r="N56" i="9" s="1"/>
  <c r="J56" i="9"/>
  <c r="B56" i="9"/>
  <c r="T55" i="9"/>
  <c r="P55" i="9"/>
  <c r="X55" i="9" s="1"/>
  <c r="Z55" i="9" s="1"/>
  <c r="J55" i="9"/>
  <c r="H55" i="9"/>
  <c r="D55" i="9"/>
  <c r="B55" i="9"/>
  <c r="Z54" i="9"/>
  <c r="X54" i="9"/>
  <c r="N54" i="9"/>
  <c r="L54" i="9"/>
  <c r="B54" i="9"/>
  <c r="T53" i="9"/>
  <c r="P53" i="9"/>
  <c r="L53" i="9"/>
  <c r="N53" i="9" s="1"/>
  <c r="J53" i="9"/>
  <c r="H53" i="9"/>
  <c r="D53" i="9"/>
  <c r="B53" i="9"/>
  <c r="X52" i="9"/>
  <c r="Z52" i="9" s="1"/>
  <c r="V52" i="9"/>
  <c r="N52" i="9"/>
  <c r="L52" i="9"/>
  <c r="J52" i="9"/>
  <c r="B52" i="9"/>
  <c r="X51" i="9"/>
  <c r="Z51" i="9" s="1"/>
  <c r="T51" i="9"/>
  <c r="P51" i="9"/>
  <c r="J51" i="9"/>
  <c r="H51" i="9"/>
  <c r="D51" i="9"/>
  <c r="L51" i="9" s="1"/>
  <c r="B51" i="9"/>
  <c r="Z50" i="9"/>
  <c r="X50" i="9"/>
  <c r="N50" i="9"/>
  <c r="L50" i="9"/>
  <c r="J50" i="9"/>
  <c r="B50" i="9"/>
  <c r="Z49" i="9"/>
  <c r="X49" i="9"/>
  <c r="R49" i="9"/>
  <c r="L49" i="9"/>
  <c r="N49" i="9" s="1"/>
  <c r="J49" i="9"/>
  <c r="B49" i="9"/>
  <c r="X48" i="9"/>
  <c r="V48" i="9"/>
  <c r="T48" i="9"/>
  <c r="Z48" i="9" s="1"/>
  <c r="P48" i="9"/>
  <c r="H48" i="9"/>
  <c r="F48" i="9"/>
  <c r="D48" i="9"/>
  <c r="L48" i="9" s="1"/>
  <c r="B48" i="9"/>
  <c r="X47" i="9"/>
  <c r="Z47" i="9" s="1"/>
  <c r="L47" i="9"/>
  <c r="N47" i="9" s="1"/>
  <c r="J47" i="9"/>
  <c r="B47" i="9"/>
  <c r="T46" i="9"/>
  <c r="R46" i="9"/>
  <c r="P46" i="9"/>
  <c r="X46" i="9" s="1"/>
  <c r="J46" i="9"/>
  <c r="H46" i="9"/>
  <c r="D46" i="9"/>
  <c r="L46" i="9" s="1"/>
  <c r="N46" i="9" s="1"/>
  <c r="B46" i="9"/>
  <c r="X45" i="9"/>
  <c r="Z45" i="9" s="1"/>
  <c r="R45" i="9"/>
  <c r="N45" i="9"/>
  <c r="L45" i="9"/>
  <c r="J45" i="9"/>
  <c r="F45" i="9"/>
  <c r="B45" i="9"/>
  <c r="T44" i="9"/>
  <c r="P44" i="9"/>
  <c r="X44" i="9" s="1"/>
  <c r="Z44" i="9" s="1"/>
  <c r="N44" i="9"/>
  <c r="L44" i="9"/>
  <c r="J44" i="9"/>
  <c r="H44" i="9"/>
  <c r="D44" i="9"/>
  <c r="B44" i="9"/>
  <c r="X43" i="9"/>
  <c r="Z43" i="9" s="1"/>
  <c r="L43" i="9"/>
  <c r="N43" i="9" s="1"/>
  <c r="J43" i="9"/>
  <c r="B43" i="9"/>
  <c r="Z42" i="9"/>
  <c r="X42" i="9"/>
  <c r="T42" i="9"/>
  <c r="R42" i="9"/>
  <c r="P42" i="9"/>
  <c r="L42" i="9"/>
  <c r="J42" i="9"/>
  <c r="H42" i="9"/>
  <c r="N42" i="9" s="1"/>
  <c r="D42" i="9"/>
  <c r="B42" i="9"/>
  <c r="Z41" i="9"/>
  <c r="X41" i="9"/>
  <c r="R41" i="9"/>
  <c r="N41" i="9"/>
  <c r="L41" i="9"/>
  <c r="J41" i="9"/>
  <c r="B41" i="9"/>
  <c r="Z40" i="9"/>
  <c r="X40" i="9"/>
  <c r="V40" i="9"/>
  <c r="R40" i="9"/>
  <c r="N40" i="9"/>
  <c r="L40" i="9"/>
  <c r="J40" i="9"/>
  <c r="B40" i="9"/>
  <c r="Z39" i="9"/>
  <c r="X39" i="9"/>
  <c r="R39" i="9"/>
  <c r="N39" i="9"/>
  <c r="L39" i="9"/>
  <c r="J39" i="9"/>
  <c r="B39" i="9"/>
  <c r="Z38" i="9"/>
  <c r="X38" i="9"/>
  <c r="N38" i="9"/>
  <c r="L38" i="9"/>
  <c r="B38" i="9"/>
  <c r="Z37" i="9"/>
  <c r="X37" i="9"/>
  <c r="R37" i="9"/>
  <c r="N37" i="9"/>
  <c r="L37" i="9"/>
  <c r="J37" i="9"/>
  <c r="F37" i="9"/>
  <c r="B37" i="9"/>
  <c r="Z36" i="9"/>
  <c r="X36" i="9"/>
  <c r="R36" i="9"/>
  <c r="L36" i="9"/>
  <c r="N36" i="9" s="1"/>
  <c r="J36" i="9"/>
  <c r="B36" i="9"/>
  <c r="X35" i="9"/>
  <c r="Z35" i="9" s="1"/>
  <c r="L35" i="9"/>
  <c r="N35" i="9" s="1"/>
  <c r="J35" i="9"/>
  <c r="B35" i="9"/>
  <c r="Z34" i="9"/>
  <c r="X34" i="9"/>
  <c r="R34" i="9"/>
  <c r="N34" i="9"/>
  <c r="L34" i="9"/>
  <c r="J34" i="9"/>
  <c r="B34" i="9"/>
  <c r="Z33" i="9"/>
  <c r="X33" i="9"/>
  <c r="R33" i="9"/>
  <c r="L33" i="9"/>
  <c r="N33" i="9" s="1"/>
  <c r="J33" i="9"/>
  <c r="B33" i="9"/>
  <c r="X32" i="9"/>
  <c r="Z32" i="9" s="1"/>
  <c r="V32" i="9"/>
  <c r="R32" i="9"/>
  <c r="N32" i="9"/>
  <c r="L32" i="9"/>
  <c r="J32" i="9"/>
  <c r="B32" i="9"/>
  <c r="X31" i="9"/>
  <c r="Z31" i="9" s="1"/>
  <c r="T31" i="9"/>
  <c r="P31" i="9"/>
  <c r="J31" i="9"/>
  <c r="H31" i="9"/>
  <c r="D31" i="9"/>
  <c r="L31" i="9" s="1"/>
  <c r="B31" i="9"/>
  <c r="Z30" i="9"/>
  <c r="X30" i="9"/>
  <c r="R30" i="9"/>
  <c r="N30" i="9"/>
  <c r="L30" i="9"/>
  <c r="J30" i="9"/>
  <c r="B30" i="9"/>
  <c r="Z29" i="9"/>
  <c r="X29" i="9"/>
  <c r="R29" i="9"/>
  <c r="L29" i="9"/>
  <c r="N29" i="9" s="1"/>
  <c r="J29" i="9"/>
  <c r="B29" i="9"/>
  <c r="X28" i="9"/>
  <c r="Z28" i="9" s="1"/>
  <c r="V28" i="9"/>
  <c r="R28" i="9"/>
  <c r="N28" i="9"/>
  <c r="L28" i="9"/>
  <c r="J28" i="9"/>
  <c r="B28" i="9"/>
  <c r="X27" i="9"/>
  <c r="Z27" i="9" s="1"/>
  <c r="R27" i="9"/>
  <c r="L27" i="9"/>
  <c r="N27" i="9" s="1"/>
  <c r="J27" i="9"/>
  <c r="B27" i="9"/>
  <c r="Z26" i="9"/>
  <c r="X26" i="9"/>
  <c r="N26" i="9"/>
  <c r="L26" i="9"/>
  <c r="B26" i="9"/>
  <c r="X25" i="9"/>
  <c r="Z25" i="9" s="1"/>
  <c r="R25" i="9"/>
  <c r="N25" i="9"/>
  <c r="L25" i="9"/>
  <c r="J25" i="9"/>
  <c r="F25" i="9"/>
  <c r="B25" i="9"/>
  <c r="Z24" i="9"/>
  <c r="X24" i="9"/>
  <c r="R24" i="9"/>
  <c r="L24" i="9"/>
  <c r="N24" i="9" s="1"/>
  <c r="J24" i="9"/>
  <c r="B24" i="9"/>
  <c r="X23" i="9"/>
  <c r="Z23" i="9" s="1"/>
  <c r="L23" i="9"/>
  <c r="N23" i="9" s="1"/>
  <c r="J23" i="9"/>
  <c r="B23" i="9"/>
  <c r="Z22" i="9"/>
  <c r="X22" i="9"/>
  <c r="R22" i="9"/>
  <c r="N22" i="9"/>
  <c r="L22" i="9"/>
  <c r="J22" i="9"/>
  <c r="B22" i="9"/>
  <c r="Z21" i="9"/>
  <c r="X21" i="9"/>
  <c r="V21" i="9"/>
  <c r="R21" i="9"/>
  <c r="L21" i="9"/>
  <c r="N21" i="9" s="1"/>
  <c r="J21" i="9"/>
  <c r="B21" i="9"/>
  <c r="X20" i="9"/>
  <c r="Z20" i="9" s="1"/>
  <c r="V20" i="9"/>
  <c r="R20" i="9"/>
  <c r="N20" i="9"/>
  <c r="L20" i="9"/>
  <c r="J20" i="9"/>
  <c r="B20" i="9"/>
  <c r="X19" i="9"/>
  <c r="Z19" i="9" s="1"/>
  <c r="T19" i="9"/>
  <c r="P19" i="9"/>
  <c r="J19" i="9"/>
  <c r="H19" i="9"/>
  <c r="N19" i="9" s="1"/>
  <c r="D19" i="9"/>
  <c r="L19" i="9" s="1"/>
  <c r="B19" i="9"/>
  <c r="T18" i="9"/>
  <c r="R18" i="9"/>
  <c r="P18" i="9"/>
  <c r="X18" i="9" s="1"/>
  <c r="J18" i="9"/>
  <c r="H18" i="9"/>
  <c r="D18" i="9"/>
  <c r="L18" i="9" s="1"/>
  <c r="R16" i="9"/>
  <c r="J16" i="9"/>
  <c r="T14" i="9"/>
  <c r="Z14" i="9" s="1"/>
  <c r="R14" i="9"/>
  <c r="P14" i="9"/>
  <c r="P16" i="9" s="1"/>
  <c r="J14" i="9"/>
  <c r="H14" i="9"/>
  <c r="H16" i="9" s="1"/>
  <c r="D14" i="9"/>
  <c r="L14" i="9" s="1"/>
  <c r="Z12" i="9"/>
  <c r="X12" i="9"/>
  <c r="T12" i="9"/>
  <c r="V88" i="9" s="1"/>
  <c r="P12" i="9"/>
  <c r="R89" i="9" s="1"/>
  <c r="N12" i="9"/>
  <c r="H12" i="9"/>
  <c r="J90" i="9" s="1"/>
  <c r="D12" i="9"/>
  <c r="F88" i="9" s="1"/>
  <c r="D4" i="9"/>
  <c r="B39" i="8"/>
  <c r="B38" i="8"/>
  <c r="T34" i="8"/>
  <c r="Z34" i="8" s="1"/>
  <c r="P34" i="8"/>
  <c r="H34" i="8"/>
  <c r="N34" i="8" s="1"/>
  <c r="D34" i="8"/>
  <c r="T33" i="8"/>
  <c r="Z33" i="8" s="1"/>
  <c r="P33" i="8"/>
  <c r="H33" i="8"/>
  <c r="D33" i="8"/>
  <c r="T29" i="8"/>
  <c r="Z29" i="8" s="1"/>
  <c r="P29" i="8"/>
  <c r="H29" i="8"/>
  <c r="D29" i="8"/>
  <c r="T25" i="8"/>
  <c r="Z25" i="8" s="1"/>
  <c r="P25" i="8"/>
  <c r="H25" i="8"/>
  <c r="N25" i="8" s="1"/>
  <c r="D25" i="8"/>
  <c r="B25" i="8"/>
  <c r="T24" i="8"/>
  <c r="Z24" i="8" s="1"/>
  <c r="P24" i="8"/>
  <c r="H24" i="8"/>
  <c r="N24" i="8" s="1"/>
  <c r="D24" i="8"/>
  <c r="T22" i="8"/>
  <c r="Z22" i="8" s="1"/>
  <c r="P22" i="8"/>
  <c r="H22" i="8"/>
  <c r="N22" i="8" s="1"/>
  <c r="D22" i="8"/>
  <c r="B22" i="8"/>
  <c r="T21" i="8"/>
  <c r="P21" i="8"/>
  <c r="H21" i="8"/>
  <c r="N21" i="8" s="1"/>
  <c r="D21" i="8"/>
  <c r="B21" i="8"/>
  <c r="T20" i="8"/>
  <c r="Z20" i="8" s="1"/>
  <c r="P20" i="8"/>
  <c r="H20" i="8"/>
  <c r="N20" i="8" s="1"/>
  <c r="D20" i="8"/>
  <c r="T16" i="8"/>
  <c r="Z16" i="8" s="1"/>
  <c r="P16" i="8"/>
  <c r="H16" i="8"/>
  <c r="N16" i="8" s="1"/>
  <c r="D16" i="8"/>
  <c r="B16" i="8"/>
  <c r="T15" i="8"/>
  <c r="Z15" i="8" s="1"/>
  <c r="P15" i="8"/>
  <c r="H15" i="8"/>
  <c r="D15" i="8"/>
  <c r="T13" i="8"/>
  <c r="Z13" i="8" s="1"/>
  <c r="P13" i="8"/>
  <c r="H13" i="8"/>
  <c r="D13" i="8"/>
  <c r="B13" i="8"/>
  <c r="T12" i="8"/>
  <c r="V18" i="8" s="1"/>
  <c r="P12" i="8"/>
  <c r="R18" i="8" s="1"/>
  <c r="H12" i="8"/>
  <c r="J20" i="8" s="1"/>
  <c r="D12" i="8"/>
  <c r="F18" i="8" s="1"/>
  <c r="D5" i="8"/>
  <c r="D4" i="8"/>
  <c r="B39" i="7"/>
  <c r="B38" i="7"/>
  <c r="T34" i="7"/>
  <c r="Z34" i="7" s="1"/>
  <c r="P34" i="7"/>
  <c r="H34" i="7"/>
  <c r="N34" i="7" s="1"/>
  <c r="D34" i="7"/>
  <c r="T33" i="7"/>
  <c r="Z33" i="7" s="1"/>
  <c r="P33" i="7"/>
  <c r="H33" i="7"/>
  <c r="N33" i="7" s="1"/>
  <c r="D33" i="7"/>
  <c r="T29" i="7"/>
  <c r="Z29" i="7" s="1"/>
  <c r="P29" i="7"/>
  <c r="H29" i="7"/>
  <c r="N29" i="7" s="1"/>
  <c r="D29" i="7"/>
  <c r="T25" i="7"/>
  <c r="Z25" i="7" s="1"/>
  <c r="P25" i="7"/>
  <c r="H25" i="7"/>
  <c r="N25" i="7" s="1"/>
  <c r="D25" i="7"/>
  <c r="B25" i="7"/>
  <c r="T24" i="7"/>
  <c r="Z24" i="7" s="1"/>
  <c r="P24" i="7"/>
  <c r="H24" i="7"/>
  <c r="N24" i="7" s="1"/>
  <c r="D24" i="7"/>
  <c r="T22" i="7"/>
  <c r="Z22" i="7" s="1"/>
  <c r="P22" i="7"/>
  <c r="H22" i="7"/>
  <c r="N22" i="7" s="1"/>
  <c r="D22" i="7"/>
  <c r="B22" i="7"/>
  <c r="T21" i="7"/>
  <c r="Z21" i="7" s="1"/>
  <c r="P21" i="7"/>
  <c r="H21" i="7"/>
  <c r="N21" i="7" s="1"/>
  <c r="D21" i="7"/>
  <c r="B21" i="7"/>
  <c r="T20" i="7"/>
  <c r="Z20" i="7" s="1"/>
  <c r="P20" i="7"/>
  <c r="H20" i="7"/>
  <c r="N20" i="7" s="1"/>
  <c r="D20" i="7"/>
  <c r="T16" i="7"/>
  <c r="Z16" i="7" s="1"/>
  <c r="P16" i="7"/>
  <c r="H16" i="7"/>
  <c r="N16" i="7" s="1"/>
  <c r="D16" i="7"/>
  <c r="B16" i="7"/>
  <c r="T15" i="7"/>
  <c r="Z15" i="7" s="1"/>
  <c r="P15" i="7"/>
  <c r="H15" i="7"/>
  <c r="N15" i="7" s="1"/>
  <c r="D15" i="7"/>
  <c r="T13" i="7"/>
  <c r="Z13" i="7" s="1"/>
  <c r="P13" i="7"/>
  <c r="H13" i="7"/>
  <c r="N13" i="7" s="1"/>
  <c r="D13" i="7"/>
  <c r="B13" i="7"/>
  <c r="T12" i="7"/>
  <c r="V36" i="7" s="1"/>
  <c r="P12" i="7"/>
  <c r="R34" i="7" s="1"/>
  <c r="H12" i="7"/>
  <c r="J36" i="7" s="1"/>
  <c r="D12" i="7"/>
  <c r="F21" i="7" s="1"/>
  <c r="D5" i="7"/>
  <c r="D4" i="7"/>
  <c r="R31" i="6"/>
  <c r="F31" i="6"/>
  <c r="X29" i="6"/>
  <c r="Z29" i="6" s="1"/>
  <c r="T29" i="6"/>
  <c r="P29" i="6"/>
  <c r="J29" i="6"/>
  <c r="H29" i="6"/>
  <c r="N29" i="6" s="1"/>
  <c r="F29" i="6"/>
  <c r="D29" i="6"/>
  <c r="L29" i="6" s="1"/>
  <c r="T28" i="6"/>
  <c r="R28" i="6"/>
  <c r="P28" i="6"/>
  <c r="X28" i="6" s="1"/>
  <c r="Z28" i="6" s="1"/>
  <c r="N28" i="6"/>
  <c r="L28" i="6"/>
  <c r="H28" i="6"/>
  <c r="F28" i="6"/>
  <c r="D28" i="6"/>
  <c r="J26" i="6"/>
  <c r="F26" i="6"/>
  <c r="Z24" i="6"/>
  <c r="X24" i="6"/>
  <c r="N24" i="6"/>
  <c r="L24" i="6"/>
  <c r="J24" i="6"/>
  <c r="F24" i="6"/>
  <c r="R22" i="6"/>
  <c r="F22" i="6"/>
  <c r="Z20" i="6"/>
  <c r="X20" i="6"/>
  <c r="T20" i="6"/>
  <c r="P20" i="6"/>
  <c r="J20" i="6"/>
  <c r="H20" i="6"/>
  <c r="N20" i="6" s="1"/>
  <c r="F20" i="6"/>
  <c r="D20" i="6"/>
  <c r="L20" i="6" s="1"/>
  <c r="Z18" i="6"/>
  <c r="T18" i="6"/>
  <c r="R18" i="6"/>
  <c r="P18" i="6"/>
  <c r="X18" i="6" s="1"/>
  <c r="N18" i="6"/>
  <c r="L18" i="6"/>
  <c r="H18" i="6"/>
  <c r="F18" i="6"/>
  <c r="D18" i="6"/>
  <c r="J16" i="6"/>
  <c r="H16" i="6"/>
  <c r="H22" i="6" s="1"/>
  <c r="F16" i="6"/>
  <c r="D16" i="6"/>
  <c r="D22" i="6" s="1"/>
  <c r="Z14" i="6"/>
  <c r="T14" i="6"/>
  <c r="R14" i="6"/>
  <c r="P14" i="6"/>
  <c r="X14" i="6" s="1"/>
  <c r="N14" i="6"/>
  <c r="L14" i="6"/>
  <c r="H14" i="6"/>
  <c r="F14" i="6"/>
  <c r="D14" i="6"/>
  <c r="Z12" i="6"/>
  <c r="X12" i="6"/>
  <c r="T12" i="6"/>
  <c r="V31" i="6" s="1"/>
  <c r="P12" i="6"/>
  <c r="P16" i="6" s="1"/>
  <c r="H12" i="6"/>
  <c r="L12" i="6" s="1"/>
  <c r="D12" i="6"/>
  <c r="D4" i="6"/>
  <c r="B39" i="5"/>
  <c r="B38" i="5"/>
  <c r="T34" i="5"/>
  <c r="Z34" i="5" s="1"/>
  <c r="P34" i="5"/>
  <c r="H34" i="5"/>
  <c r="N34" i="5" s="1"/>
  <c r="D34" i="5"/>
  <c r="T33" i="5"/>
  <c r="Z33" i="5" s="1"/>
  <c r="P33" i="5"/>
  <c r="H33" i="5"/>
  <c r="N33" i="5" s="1"/>
  <c r="D33" i="5"/>
  <c r="T29" i="5"/>
  <c r="Z29" i="5" s="1"/>
  <c r="P29" i="5"/>
  <c r="H29" i="5"/>
  <c r="N29" i="5" s="1"/>
  <c r="D29" i="5"/>
  <c r="T25" i="5"/>
  <c r="Z25" i="5" s="1"/>
  <c r="P25" i="5"/>
  <c r="H25" i="5"/>
  <c r="N25" i="5" s="1"/>
  <c r="D25" i="5"/>
  <c r="B25" i="5"/>
  <c r="T24" i="5"/>
  <c r="Z24" i="5" s="1"/>
  <c r="P24" i="5"/>
  <c r="H24" i="5"/>
  <c r="N24" i="5" s="1"/>
  <c r="D24" i="5"/>
  <c r="T22" i="5"/>
  <c r="Z22" i="5" s="1"/>
  <c r="P22" i="5"/>
  <c r="H22" i="5"/>
  <c r="N22" i="5" s="1"/>
  <c r="D22" i="5"/>
  <c r="B22" i="5"/>
  <c r="T21" i="5"/>
  <c r="Z21" i="5" s="1"/>
  <c r="P21" i="5"/>
  <c r="H21" i="5"/>
  <c r="N21" i="5" s="1"/>
  <c r="D21" i="5"/>
  <c r="B21" i="5"/>
  <c r="T20" i="5"/>
  <c r="Z20" i="5" s="1"/>
  <c r="P20" i="5"/>
  <c r="H20" i="5"/>
  <c r="N20" i="5" s="1"/>
  <c r="D20" i="5"/>
  <c r="T16" i="5"/>
  <c r="Z16" i="5" s="1"/>
  <c r="P16" i="5"/>
  <c r="H16" i="5"/>
  <c r="N16" i="5" s="1"/>
  <c r="D16" i="5"/>
  <c r="B16" i="5"/>
  <c r="T15" i="5"/>
  <c r="Z15" i="5" s="1"/>
  <c r="P15" i="5"/>
  <c r="H15" i="5"/>
  <c r="N15" i="5" s="1"/>
  <c r="D15" i="5"/>
  <c r="T13" i="5"/>
  <c r="Z13" i="5" s="1"/>
  <c r="P13" i="5"/>
  <c r="H13" i="5"/>
  <c r="N13" i="5" s="1"/>
  <c r="D13" i="5"/>
  <c r="B13" i="5"/>
  <c r="T12" i="5"/>
  <c r="V36" i="5" s="1"/>
  <c r="P12" i="5"/>
  <c r="R21" i="5" s="1"/>
  <c r="H12" i="5"/>
  <c r="D12" i="5"/>
  <c r="F21" i="5" s="1"/>
  <c r="D5" i="5"/>
  <c r="D4" i="5"/>
  <c r="B39" i="4"/>
  <c r="B38" i="4"/>
  <c r="T34" i="4"/>
  <c r="Z34" i="4" s="1"/>
  <c r="P34" i="4"/>
  <c r="H34" i="4"/>
  <c r="N34" i="4" s="1"/>
  <c r="D34" i="4"/>
  <c r="T33" i="4"/>
  <c r="Z33" i="4" s="1"/>
  <c r="P33" i="4"/>
  <c r="H33" i="4"/>
  <c r="N33" i="4" s="1"/>
  <c r="D33" i="4"/>
  <c r="T29" i="4"/>
  <c r="Z29" i="4" s="1"/>
  <c r="P29" i="4"/>
  <c r="H29" i="4"/>
  <c r="N29" i="4" s="1"/>
  <c r="D29" i="4"/>
  <c r="T25" i="4"/>
  <c r="Z25" i="4" s="1"/>
  <c r="P25" i="4"/>
  <c r="H25" i="4"/>
  <c r="N25" i="4" s="1"/>
  <c r="D25" i="4"/>
  <c r="B25" i="4"/>
  <c r="T24" i="4"/>
  <c r="Z24" i="4" s="1"/>
  <c r="P24" i="4"/>
  <c r="H24" i="4"/>
  <c r="N24" i="4" s="1"/>
  <c r="D24" i="4"/>
  <c r="T22" i="4"/>
  <c r="Z22" i="4" s="1"/>
  <c r="P22" i="4"/>
  <c r="H22" i="4"/>
  <c r="N22" i="4" s="1"/>
  <c r="D22" i="4"/>
  <c r="B22" i="4"/>
  <c r="T21" i="4"/>
  <c r="Z21" i="4" s="1"/>
  <c r="P21" i="4"/>
  <c r="H21" i="4"/>
  <c r="D21" i="4"/>
  <c r="B21" i="4"/>
  <c r="T20" i="4"/>
  <c r="Z20" i="4" s="1"/>
  <c r="P20" i="4"/>
  <c r="H20" i="4"/>
  <c r="N20" i="4" s="1"/>
  <c r="D20" i="4"/>
  <c r="T16" i="4"/>
  <c r="Z16" i="4" s="1"/>
  <c r="P16" i="4"/>
  <c r="H16" i="4"/>
  <c r="N16" i="4" s="1"/>
  <c r="D16" i="4"/>
  <c r="B16" i="4"/>
  <c r="T15" i="4"/>
  <c r="Z15" i="4" s="1"/>
  <c r="P15" i="4"/>
  <c r="H15" i="4"/>
  <c r="N15" i="4" s="1"/>
  <c r="D15" i="4"/>
  <c r="T13" i="4"/>
  <c r="Z13" i="4" s="1"/>
  <c r="P13" i="4"/>
  <c r="H13" i="4"/>
  <c r="D13" i="4"/>
  <c r="B13" i="4"/>
  <c r="T12" i="4"/>
  <c r="V18" i="4" s="1"/>
  <c r="P12" i="4"/>
  <c r="R18" i="4" s="1"/>
  <c r="H12" i="4"/>
  <c r="J20" i="4" s="1"/>
  <c r="D12" i="4"/>
  <c r="F18" i="4" s="1"/>
  <c r="D5" i="4"/>
  <c r="D4" i="4"/>
  <c r="X172" i="3"/>
  <c r="V172" i="3"/>
  <c r="T172" i="3"/>
  <c r="Z172" i="3" s="1"/>
  <c r="P172" i="3"/>
  <c r="H172" i="3"/>
  <c r="N172" i="3" s="1"/>
  <c r="D172" i="3"/>
  <c r="L172" i="3" s="1"/>
  <c r="T171" i="3"/>
  <c r="P171" i="3"/>
  <c r="X171" i="3" s="1"/>
  <c r="Z171" i="3" s="1"/>
  <c r="N171" i="3"/>
  <c r="L171" i="3"/>
  <c r="H171" i="3"/>
  <c r="D171" i="3"/>
  <c r="Z167" i="3"/>
  <c r="X167" i="3"/>
  <c r="L167" i="3"/>
  <c r="N167" i="3" s="1"/>
  <c r="J167" i="3"/>
  <c r="Z163" i="3"/>
  <c r="X163" i="3"/>
  <c r="V163" i="3"/>
  <c r="P163" i="3"/>
  <c r="N163" i="3"/>
  <c r="D163" i="3"/>
  <c r="L163" i="3" s="1"/>
  <c r="B163" i="3"/>
  <c r="Z162" i="3"/>
  <c r="X162" i="3"/>
  <c r="P162" i="3"/>
  <c r="N162" i="3"/>
  <c r="L162" i="3"/>
  <c r="J162" i="3"/>
  <c r="D162" i="3"/>
  <c r="B162" i="3"/>
  <c r="Z161" i="3"/>
  <c r="P161" i="3"/>
  <c r="X161" i="3" s="1"/>
  <c r="N161" i="3"/>
  <c r="L161" i="3"/>
  <c r="D161" i="3"/>
  <c r="B161" i="3"/>
  <c r="X160" i="3"/>
  <c r="Z160" i="3" s="1"/>
  <c r="P160" i="3"/>
  <c r="D160" i="3"/>
  <c r="L160" i="3" s="1"/>
  <c r="N160" i="3" s="1"/>
  <c r="B160" i="3"/>
  <c r="Z159" i="3"/>
  <c r="P159" i="3"/>
  <c r="X159" i="3" s="1"/>
  <c r="N159" i="3"/>
  <c r="L159" i="3"/>
  <c r="D159" i="3"/>
  <c r="B159" i="3"/>
  <c r="Z158" i="3"/>
  <c r="P158" i="3"/>
  <c r="P157" i="3" s="1"/>
  <c r="X157" i="3" s="1"/>
  <c r="Z157" i="3" s="1"/>
  <c r="N158" i="3"/>
  <c r="L158" i="3"/>
  <c r="D158" i="3"/>
  <c r="B158" i="3"/>
  <c r="T157" i="3"/>
  <c r="J157" i="3"/>
  <c r="H157" i="3"/>
  <c r="X155" i="3"/>
  <c r="Z155" i="3" s="1"/>
  <c r="N155" i="3"/>
  <c r="L155" i="3"/>
  <c r="B155" i="3"/>
  <c r="T154" i="3"/>
  <c r="P154" i="3"/>
  <c r="X154" i="3" s="1"/>
  <c r="H154" i="3"/>
  <c r="D154" i="3"/>
  <c r="L154" i="3" s="1"/>
  <c r="N154" i="3" s="1"/>
  <c r="B154" i="3"/>
  <c r="Z153" i="3"/>
  <c r="X153" i="3"/>
  <c r="L153" i="3"/>
  <c r="N153" i="3" s="1"/>
  <c r="J153" i="3"/>
  <c r="B153" i="3"/>
  <c r="X152" i="3"/>
  <c r="Z152" i="3" s="1"/>
  <c r="L152" i="3"/>
  <c r="N152" i="3" s="1"/>
  <c r="B152" i="3"/>
  <c r="X151" i="3"/>
  <c r="Z151" i="3" s="1"/>
  <c r="N151" i="3"/>
  <c r="L151" i="3"/>
  <c r="B151" i="3"/>
  <c r="T150" i="3"/>
  <c r="Z150" i="3" s="1"/>
  <c r="P150" i="3"/>
  <c r="X150" i="3" s="1"/>
  <c r="H150" i="3"/>
  <c r="D150" i="3"/>
  <c r="L150" i="3" s="1"/>
  <c r="N150" i="3" s="1"/>
  <c r="B150" i="3"/>
  <c r="Z149" i="3"/>
  <c r="X149" i="3"/>
  <c r="L149" i="3"/>
  <c r="N149" i="3" s="1"/>
  <c r="J149" i="3"/>
  <c r="B149" i="3"/>
  <c r="T148" i="3"/>
  <c r="P148" i="3"/>
  <c r="X148" i="3" s="1"/>
  <c r="Z148" i="3" s="1"/>
  <c r="N148" i="3"/>
  <c r="L148" i="3"/>
  <c r="H148" i="3"/>
  <c r="D148" i="3"/>
  <c r="B148" i="3"/>
  <c r="Z147" i="3"/>
  <c r="X147" i="3"/>
  <c r="L147" i="3"/>
  <c r="N147" i="3" s="1"/>
  <c r="B147" i="3"/>
  <c r="Z146" i="3"/>
  <c r="X146" i="3"/>
  <c r="N146" i="3"/>
  <c r="L146" i="3"/>
  <c r="B146" i="3"/>
  <c r="T145" i="3"/>
  <c r="P145" i="3"/>
  <c r="X145" i="3" s="1"/>
  <c r="Z145" i="3" s="1"/>
  <c r="N145" i="3"/>
  <c r="L145" i="3"/>
  <c r="H145" i="3"/>
  <c r="D145" i="3"/>
  <c r="B145" i="3"/>
  <c r="X144" i="3"/>
  <c r="Z144" i="3" s="1"/>
  <c r="L144" i="3"/>
  <c r="N144" i="3" s="1"/>
  <c r="B144" i="3"/>
  <c r="Z143" i="3"/>
  <c r="X143" i="3"/>
  <c r="L143" i="3"/>
  <c r="N143" i="3" s="1"/>
  <c r="B143" i="3"/>
  <c r="Z142" i="3"/>
  <c r="X142" i="3"/>
  <c r="N142" i="3"/>
  <c r="L142" i="3"/>
  <c r="B142" i="3"/>
  <c r="Z141" i="3"/>
  <c r="X141" i="3"/>
  <c r="L141" i="3"/>
  <c r="N141" i="3" s="1"/>
  <c r="J141" i="3"/>
  <c r="B141" i="3"/>
  <c r="X140" i="3"/>
  <c r="Z140" i="3" s="1"/>
  <c r="L140" i="3"/>
  <c r="N140" i="3" s="1"/>
  <c r="B140" i="3"/>
  <c r="X139" i="3"/>
  <c r="Z139" i="3" s="1"/>
  <c r="N139" i="3"/>
  <c r="L139" i="3"/>
  <c r="B139" i="3"/>
  <c r="Z138" i="3"/>
  <c r="X138" i="3"/>
  <c r="N138" i="3"/>
  <c r="L138" i="3"/>
  <c r="B138" i="3"/>
  <c r="X137" i="3"/>
  <c r="Z137" i="3" s="1"/>
  <c r="V137" i="3"/>
  <c r="N137" i="3"/>
  <c r="L137" i="3"/>
  <c r="B137" i="3"/>
  <c r="X136" i="3"/>
  <c r="Z136" i="3" s="1"/>
  <c r="L136" i="3"/>
  <c r="N136" i="3" s="1"/>
  <c r="B136" i="3"/>
  <c r="Z135" i="3"/>
  <c r="X135" i="3"/>
  <c r="L135" i="3"/>
  <c r="N135" i="3" s="1"/>
  <c r="B135" i="3"/>
  <c r="Z134" i="3"/>
  <c r="X134" i="3"/>
  <c r="T134" i="3"/>
  <c r="P134" i="3"/>
  <c r="L134" i="3"/>
  <c r="N134" i="3" s="1"/>
  <c r="H134" i="3"/>
  <c r="D134" i="3"/>
  <c r="B134" i="3"/>
  <c r="X133" i="3"/>
  <c r="Z133" i="3" s="1"/>
  <c r="V133" i="3"/>
  <c r="N133" i="3"/>
  <c r="L133" i="3"/>
  <c r="B133" i="3"/>
  <c r="X132" i="3"/>
  <c r="Z132" i="3" s="1"/>
  <c r="L132" i="3"/>
  <c r="N132" i="3" s="1"/>
  <c r="B132" i="3"/>
  <c r="Z131" i="3"/>
  <c r="X131" i="3"/>
  <c r="T131" i="3"/>
  <c r="P131" i="3"/>
  <c r="L131" i="3"/>
  <c r="J131" i="3"/>
  <c r="H131" i="3"/>
  <c r="N131" i="3" s="1"/>
  <c r="D131" i="3"/>
  <c r="B131" i="3"/>
  <c r="Z130" i="3"/>
  <c r="X130" i="3"/>
  <c r="N130" i="3"/>
  <c r="L130" i="3"/>
  <c r="B130" i="3"/>
  <c r="X129" i="3"/>
  <c r="Z129" i="3" s="1"/>
  <c r="V129" i="3"/>
  <c r="N129" i="3"/>
  <c r="L129" i="3"/>
  <c r="B129" i="3"/>
  <c r="X128" i="3"/>
  <c r="Z128" i="3" s="1"/>
  <c r="L128" i="3"/>
  <c r="N128" i="3" s="1"/>
  <c r="B128" i="3"/>
  <c r="Z127" i="3"/>
  <c r="X127" i="3"/>
  <c r="L127" i="3"/>
  <c r="N127" i="3" s="1"/>
  <c r="B127" i="3"/>
  <c r="Z126" i="3"/>
  <c r="X126" i="3"/>
  <c r="N126" i="3"/>
  <c r="L126" i="3"/>
  <c r="B126" i="3"/>
  <c r="T125" i="3"/>
  <c r="P125" i="3"/>
  <c r="X125" i="3" s="1"/>
  <c r="Z125" i="3" s="1"/>
  <c r="N125" i="3"/>
  <c r="L125" i="3"/>
  <c r="H125" i="3"/>
  <c r="D125" i="3"/>
  <c r="B125" i="3"/>
  <c r="X124" i="3"/>
  <c r="Z124" i="3" s="1"/>
  <c r="L124" i="3"/>
  <c r="N124" i="3" s="1"/>
  <c r="B124" i="3"/>
  <c r="Z123" i="3"/>
  <c r="X123" i="3"/>
  <c r="N123" i="3"/>
  <c r="L123" i="3"/>
  <c r="B123" i="3"/>
  <c r="Z122" i="3"/>
  <c r="X122" i="3"/>
  <c r="N122" i="3"/>
  <c r="L122" i="3"/>
  <c r="B122" i="3"/>
  <c r="Z121" i="3"/>
  <c r="X121" i="3"/>
  <c r="L121" i="3"/>
  <c r="N121" i="3" s="1"/>
  <c r="J121" i="3"/>
  <c r="B121" i="3"/>
  <c r="T120" i="3"/>
  <c r="P120" i="3"/>
  <c r="X120" i="3" s="1"/>
  <c r="N120" i="3"/>
  <c r="L120" i="3"/>
  <c r="H120" i="3"/>
  <c r="D120" i="3"/>
  <c r="B120" i="3"/>
  <c r="Z119" i="3"/>
  <c r="X119" i="3"/>
  <c r="L119" i="3"/>
  <c r="N119" i="3" s="1"/>
  <c r="B119" i="3"/>
  <c r="Z118" i="3"/>
  <c r="X118" i="3"/>
  <c r="N118" i="3"/>
  <c r="L118" i="3"/>
  <c r="B118" i="3"/>
  <c r="Z117" i="3"/>
  <c r="X117" i="3"/>
  <c r="L117" i="3"/>
  <c r="N117" i="3" s="1"/>
  <c r="J117" i="3"/>
  <c r="B117" i="3"/>
  <c r="X116" i="3"/>
  <c r="Z116" i="3" s="1"/>
  <c r="L116" i="3"/>
  <c r="N116" i="3" s="1"/>
  <c r="B116" i="3"/>
  <c r="T115" i="3"/>
  <c r="P115" i="3"/>
  <c r="X115" i="3" s="1"/>
  <c r="H115" i="3"/>
  <c r="D115" i="3"/>
  <c r="L115" i="3" s="1"/>
  <c r="N115" i="3" s="1"/>
  <c r="B115" i="3"/>
  <c r="Z114" i="3"/>
  <c r="X114" i="3"/>
  <c r="N114" i="3"/>
  <c r="L114" i="3"/>
  <c r="B114" i="3"/>
  <c r="T113" i="3"/>
  <c r="P113" i="3"/>
  <c r="X113" i="3" s="1"/>
  <c r="Z113" i="3" s="1"/>
  <c r="N113" i="3"/>
  <c r="L113" i="3"/>
  <c r="H113" i="3"/>
  <c r="D113" i="3"/>
  <c r="B113" i="3"/>
  <c r="Z112" i="3"/>
  <c r="X112" i="3"/>
  <c r="N112" i="3"/>
  <c r="L112" i="3"/>
  <c r="B112" i="3"/>
  <c r="Z111" i="3"/>
  <c r="X111" i="3"/>
  <c r="T111" i="3"/>
  <c r="P111" i="3"/>
  <c r="L111" i="3"/>
  <c r="J111" i="3"/>
  <c r="H111" i="3"/>
  <c r="N111" i="3" s="1"/>
  <c r="D111" i="3"/>
  <c r="B111" i="3"/>
  <c r="Z110" i="3"/>
  <c r="X110" i="3"/>
  <c r="N110" i="3"/>
  <c r="L110" i="3"/>
  <c r="B110" i="3"/>
  <c r="X109" i="3"/>
  <c r="V109" i="3"/>
  <c r="T109" i="3"/>
  <c r="Z109" i="3" s="1"/>
  <c r="P109" i="3"/>
  <c r="H109" i="3"/>
  <c r="D109" i="3"/>
  <c r="L109" i="3" s="1"/>
  <c r="B109" i="3"/>
  <c r="X108" i="3"/>
  <c r="Z108" i="3" s="1"/>
  <c r="L108" i="3"/>
  <c r="N108" i="3" s="1"/>
  <c r="B108" i="3"/>
  <c r="T107" i="3"/>
  <c r="Z107" i="3" s="1"/>
  <c r="P107" i="3"/>
  <c r="X107" i="3" s="1"/>
  <c r="H107" i="3"/>
  <c r="D107" i="3"/>
  <c r="L107" i="3" s="1"/>
  <c r="N107" i="3" s="1"/>
  <c r="B107" i="3"/>
  <c r="Z106" i="3"/>
  <c r="X106" i="3"/>
  <c r="N106" i="3"/>
  <c r="L106" i="3"/>
  <c r="B106" i="3"/>
  <c r="T105" i="3"/>
  <c r="P105" i="3"/>
  <c r="X105" i="3" s="1"/>
  <c r="Z105" i="3" s="1"/>
  <c r="N105" i="3"/>
  <c r="L105" i="3"/>
  <c r="H105" i="3"/>
  <c r="D105" i="3"/>
  <c r="B105" i="3"/>
  <c r="X104" i="3"/>
  <c r="Z104" i="3" s="1"/>
  <c r="L104" i="3"/>
  <c r="N104" i="3" s="1"/>
  <c r="B104" i="3"/>
  <c r="Z103" i="3"/>
  <c r="X103" i="3"/>
  <c r="T103" i="3"/>
  <c r="P103" i="3"/>
  <c r="L103" i="3"/>
  <c r="J103" i="3"/>
  <c r="H103" i="3"/>
  <c r="N103" i="3" s="1"/>
  <c r="D103" i="3"/>
  <c r="B103" i="3"/>
  <c r="Z102" i="3"/>
  <c r="X102" i="3"/>
  <c r="N102" i="3"/>
  <c r="L102" i="3"/>
  <c r="B102" i="3"/>
  <c r="X101" i="3"/>
  <c r="Z101" i="3" s="1"/>
  <c r="V101" i="3"/>
  <c r="N101" i="3"/>
  <c r="L101" i="3"/>
  <c r="B101" i="3"/>
  <c r="X100" i="3"/>
  <c r="Z100" i="3" s="1"/>
  <c r="T100" i="3"/>
  <c r="P100" i="3"/>
  <c r="H100" i="3"/>
  <c r="D100" i="3"/>
  <c r="L100" i="3" s="1"/>
  <c r="B100" i="3"/>
  <c r="X99" i="3"/>
  <c r="Z99" i="3" s="1"/>
  <c r="N99" i="3"/>
  <c r="L99" i="3"/>
  <c r="B99" i="3"/>
  <c r="Z98" i="3"/>
  <c r="X98" i="3"/>
  <c r="N98" i="3"/>
  <c r="L98" i="3"/>
  <c r="B98" i="3"/>
  <c r="X97" i="3"/>
  <c r="V97" i="3"/>
  <c r="T97" i="3"/>
  <c r="Z97" i="3" s="1"/>
  <c r="P97" i="3"/>
  <c r="H97" i="3"/>
  <c r="D97" i="3"/>
  <c r="L97" i="3" s="1"/>
  <c r="B97" i="3"/>
  <c r="X96" i="3"/>
  <c r="Z96" i="3" s="1"/>
  <c r="L96" i="3"/>
  <c r="N96" i="3" s="1"/>
  <c r="B96" i="3"/>
  <c r="T95" i="3"/>
  <c r="Z95" i="3" s="1"/>
  <c r="P95" i="3"/>
  <c r="X95" i="3" s="1"/>
  <c r="H95" i="3"/>
  <c r="D95" i="3"/>
  <c r="L95" i="3" s="1"/>
  <c r="N95" i="3" s="1"/>
  <c r="B95" i="3"/>
  <c r="Z94" i="3"/>
  <c r="X94" i="3"/>
  <c r="N94" i="3"/>
  <c r="L94" i="3"/>
  <c r="B94" i="3"/>
  <c r="T93" i="3"/>
  <c r="P93" i="3"/>
  <c r="X93" i="3" s="1"/>
  <c r="Z93" i="3" s="1"/>
  <c r="N93" i="3"/>
  <c r="L93" i="3"/>
  <c r="H93" i="3"/>
  <c r="D93" i="3"/>
  <c r="B93" i="3"/>
  <c r="X92" i="3"/>
  <c r="Z92" i="3" s="1"/>
  <c r="L92" i="3"/>
  <c r="N92" i="3" s="1"/>
  <c r="B92" i="3"/>
  <c r="Z91" i="3"/>
  <c r="X91" i="3"/>
  <c r="T91" i="3"/>
  <c r="P91" i="3"/>
  <c r="L91" i="3"/>
  <c r="J91" i="3"/>
  <c r="H91" i="3"/>
  <c r="N91" i="3" s="1"/>
  <c r="D91" i="3"/>
  <c r="B91" i="3"/>
  <c r="Z90" i="3"/>
  <c r="X90" i="3"/>
  <c r="N90" i="3"/>
  <c r="L90" i="3"/>
  <c r="B90" i="3"/>
  <c r="Z89" i="3"/>
  <c r="X89" i="3"/>
  <c r="V89" i="3"/>
  <c r="N89" i="3"/>
  <c r="L89" i="3"/>
  <c r="B89" i="3"/>
  <c r="Z88" i="3"/>
  <c r="X88" i="3"/>
  <c r="T88" i="3"/>
  <c r="P88" i="3"/>
  <c r="H88" i="3"/>
  <c r="N88" i="3" s="1"/>
  <c r="D88" i="3"/>
  <c r="L88" i="3" s="1"/>
  <c r="B88" i="3"/>
  <c r="X87" i="3"/>
  <c r="Z87" i="3" s="1"/>
  <c r="N87" i="3"/>
  <c r="L87" i="3"/>
  <c r="B87" i="3"/>
  <c r="Z86" i="3"/>
  <c r="X86" i="3"/>
  <c r="N86" i="3"/>
  <c r="L86" i="3"/>
  <c r="B86" i="3"/>
  <c r="X85" i="3"/>
  <c r="V85" i="3"/>
  <c r="T85" i="3"/>
  <c r="Z85" i="3" s="1"/>
  <c r="P85" i="3"/>
  <c r="H85" i="3"/>
  <c r="N85" i="3" s="1"/>
  <c r="D85" i="3"/>
  <c r="L85" i="3" s="1"/>
  <c r="B85" i="3"/>
  <c r="X84" i="3"/>
  <c r="Z84" i="3" s="1"/>
  <c r="L84" i="3"/>
  <c r="N84" i="3" s="1"/>
  <c r="B84" i="3"/>
  <c r="T83" i="3"/>
  <c r="P83" i="3"/>
  <c r="X83" i="3" s="1"/>
  <c r="H83" i="3"/>
  <c r="D83" i="3"/>
  <c r="L83" i="3" s="1"/>
  <c r="N83" i="3" s="1"/>
  <c r="B83" i="3"/>
  <c r="Z82" i="3"/>
  <c r="X82" i="3"/>
  <c r="N82" i="3"/>
  <c r="L82" i="3"/>
  <c r="B82" i="3"/>
  <c r="T81" i="3"/>
  <c r="P81" i="3"/>
  <c r="X81" i="3" s="1"/>
  <c r="Z81" i="3" s="1"/>
  <c r="N81" i="3"/>
  <c r="L81" i="3"/>
  <c r="H81" i="3"/>
  <c r="D81" i="3"/>
  <c r="B81" i="3"/>
  <c r="X80" i="3"/>
  <c r="Z80" i="3" s="1"/>
  <c r="L80" i="3"/>
  <c r="N80" i="3" s="1"/>
  <c r="B80" i="3"/>
  <c r="Z79" i="3"/>
  <c r="X79" i="3"/>
  <c r="T79" i="3"/>
  <c r="P79" i="3"/>
  <c r="L79" i="3"/>
  <c r="J79" i="3"/>
  <c r="H79" i="3"/>
  <c r="N79" i="3" s="1"/>
  <c r="D79" i="3"/>
  <c r="B79" i="3"/>
  <c r="Z78" i="3"/>
  <c r="X78" i="3"/>
  <c r="N78" i="3"/>
  <c r="L78" i="3"/>
  <c r="B78" i="3"/>
  <c r="Z77" i="3"/>
  <c r="X77" i="3"/>
  <c r="V77" i="3"/>
  <c r="N77" i="3"/>
  <c r="L77" i="3"/>
  <c r="B77" i="3"/>
  <c r="X76" i="3"/>
  <c r="Z76" i="3" s="1"/>
  <c r="L76" i="3"/>
  <c r="N76" i="3" s="1"/>
  <c r="B76" i="3"/>
  <c r="Z75" i="3"/>
  <c r="X75" i="3"/>
  <c r="L75" i="3"/>
  <c r="N75" i="3" s="1"/>
  <c r="B75" i="3"/>
  <c r="Z74" i="3"/>
  <c r="X74" i="3"/>
  <c r="N74" i="3"/>
  <c r="L74" i="3"/>
  <c r="B74" i="3"/>
  <c r="Z73" i="3"/>
  <c r="X73" i="3"/>
  <c r="L73" i="3"/>
  <c r="N73" i="3" s="1"/>
  <c r="J73" i="3"/>
  <c r="B73" i="3"/>
  <c r="X72" i="3"/>
  <c r="Z72" i="3" s="1"/>
  <c r="L72" i="3"/>
  <c r="N72" i="3" s="1"/>
  <c r="B72" i="3"/>
  <c r="Z71" i="3"/>
  <c r="X71" i="3"/>
  <c r="N71" i="3"/>
  <c r="L71" i="3"/>
  <c r="B71" i="3"/>
  <c r="Z70" i="3"/>
  <c r="X70" i="3"/>
  <c r="N70" i="3"/>
  <c r="L70" i="3"/>
  <c r="B70" i="3"/>
  <c r="X69" i="3"/>
  <c r="Z69" i="3" s="1"/>
  <c r="V69" i="3"/>
  <c r="N69" i="3"/>
  <c r="L69" i="3"/>
  <c r="B69" i="3"/>
  <c r="X68" i="3"/>
  <c r="Z68" i="3" s="1"/>
  <c r="T68" i="3"/>
  <c r="P68" i="3"/>
  <c r="H68" i="3"/>
  <c r="N68" i="3" s="1"/>
  <c r="D68" i="3"/>
  <c r="L68" i="3" s="1"/>
  <c r="B68" i="3"/>
  <c r="X67" i="3"/>
  <c r="Z67" i="3" s="1"/>
  <c r="N67" i="3"/>
  <c r="L67" i="3"/>
  <c r="B67" i="3"/>
  <c r="Z66" i="3"/>
  <c r="X66" i="3"/>
  <c r="V66" i="3"/>
  <c r="N66" i="3"/>
  <c r="L66" i="3"/>
  <c r="B66" i="3"/>
  <c r="X65" i="3"/>
  <c r="Z65" i="3" s="1"/>
  <c r="V65" i="3"/>
  <c r="N65" i="3"/>
  <c r="L65" i="3"/>
  <c r="B65" i="3"/>
  <c r="Z64" i="3"/>
  <c r="X64" i="3"/>
  <c r="N64" i="3"/>
  <c r="L64" i="3"/>
  <c r="B64" i="3"/>
  <c r="Z63" i="3"/>
  <c r="X63" i="3"/>
  <c r="N63" i="3"/>
  <c r="L63" i="3"/>
  <c r="B63" i="3"/>
  <c r="Z62" i="3"/>
  <c r="X62" i="3"/>
  <c r="N62" i="3"/>
  <c r="L62" i="3"/>
  <c r="B62" i="3"/>
  <c r="Z61" i="3"/>
  <c r="X61" i="3"/>
  <c r="L61" i="3"/>
  <c r="N61" i="3" s="1"/>
  <c r="J61" i="3"/>
  <c r="B61" i="3"/>
  <c r="X60" i="3"/>
  <c r="Z60" i="3" s="1"/>
  <c r="L60" i="3"/>
  <c r="N60" i="3" s="1"/>
  <c r="B60" i="3"/>
  <c r="X59" i="3"/>
  <c r="Z59" i="3" s="1"/>
  <c r="N59" i="3"/>
  <c r="L59" i="3"/>
  <c r="B59" i="3"/>
  <c r="Z58" i="3"/>
  <c r="X58" i="3"/>
  <c r="V58" i="3"/>
  <c r="N58" i="3"/>
  <c r="L58" i="3"/>
  <c r="B58" i="3"/>
  <c r="X57" i="3"/>
  <c r="V57" i="3"/>
  <c r="T57" i="3"/>
  <c r="Z57" i="3" s="1"/>
  <c r="P57" i="3"/>
  <c r="H57" i="3"/>
  <c r="D57" i="3"/>
  <c r="L57" i="3" s="1"/>
  <c r="B57" i="3"/>
  <c r="T56" i="3"/>
  <c r="P56" i="3"/>
  <c r="X56" i="3" s="1"/>
  <c r="H56" i="3"/>
  <c r="D56" i="3"/>
  <c r="L56" i="3" s="1"/>
  <c r="N56" i="3" s="1"/>
  <c r="H54" i="3"/>
  <c r="Z52" i="3"/>
  <c r="X52" i="3"/>
  <c r="N52" i="3"/>
  <c r="L52" i="3"/>
  <c r="B52" i="3"/>
  <c r="Z51" i="3"/>
  <c r="X51" i="3"/>
  <c r="N51" i="3"/>
  <c r="L51" i="3"/>
  <c r="B51" i="3"/>
  <c r="Z50" i="3"/>
  <c r="X50" i="3"/>
  <c r="V50" i="3"/>
  <c r="N50" i="3"/>
  <c r="L50" i="3"/>
  <c r="B50" i="3"/>
  <c r="Z49" i="3"/>
  <c r="X49" i="3"/>
  <c r="V49" i="3"/>
  <c r="N49" i="3"/>
  <c r="L49" i="3"/>
  <c r="B49" i="3"/>
  <c r="Z48" i="3"/>
  <c r="X48" i="3"/>
  <c r="N48" i="3"/>
  <c r="L48" i="3"/>
  <c r="B48" i="3"/>
  <c r="Z47" i="3"/>
  <c r="X47" i="3"/>
  <c r="N47" i="3"/>
  <c r="L47" i="3"/>
  <c r="B47" i="3"/>
  <c r="Z46" i="3"/>
  <c r="X46" i="3"/>
  <c r="N46" i="3"/>
  <c r="L46" i="3"/>
  <c r="B46" i="3"/>
  <c r="Z45" i="3"/>
  <c r="X45" i="3"/>
  <c r="N45" i="3"/>
  <c r="L45" i="3"/>
  <c r="J45" i="3"/>
  <c r="B45" i="3"/>
  <c r="Z44" i="3"/>
  <c r="X44" i="3"/>
  <c r="N44" i="3"/>
  <c r="L44" i="3"/>
  <c r="B44" i="3"/>
  <c r="Z43" i="3"/>
  <c r="X43" i="3"/>
  <c r="N43" i="3"/>
  <c r="L43" i="3"/>
  <c r="B43" i="3"/>
  <c r="Z42" i="3"/>
  <c r="X42" i="3"/>
  <c r="V42" i="3"/>
  <c r="N42" i="3"/>
  <c r="L42" i="3"/>
  <c r="B42" i="3"/>
  <c r="Z41" i="3"/>
  <c r="X41" i="3"/>
  <c r="V41" i="3"/>
  <c r="N41" i="3"/>
  <c r="L41" i="3"/>
  <c r="B41" i="3"/>
  <c r="Z40" i="3"/>
  <c r="X40" i="3"/>
  <c r="N40" i="3"/>
  <c r="L40" i="3"/>
  <c r="B40" i="3"/>
  <c r="Z39" i="3"/>
  <c r="X39" i="3"/>
  <c r="N39" i="3"/>
  <c r="L39" i="3"/>
  <c r="B39" i="3"/>
  <c r="Z38" i="3"/>
  <c r="X38" i="3"/>
  <c r="N38" i="3"/>
  <c r="L38" i="3"/>
  <c r="B38" i="3"/>
  <c r="Z37" i="3"/>
  <c r="X37" i="3"/>
  <c r="N37" i="3"/>
  <c r="L37" i="3"/>
  <c r="J37" i="3"/>
  <c r="B37" i="3"/>
  <c r="Z36" i="3"/>
  <c r="X36" i="3"/>
  <c r="N36" i="3"/>
  <c r="L36" i="3"/>
  <c r="B36" i="3"/>
  <c r="Z35" i="3"/>
  <c r="X35" i="3"/>
  <c r="N35" i="3"/>
  <c r="L35" i="3"/>
  <c r="B35" i="3"/>
  <c r="Z34" i="3"/>
  <c r="X34" i="3"/>
  <c r="V34" i="3"/>
  <c r="N34" i="3"/>
  <c r="L34" i="3"/>
  <c r="B34" i="3"/>
  <c r="Z33" i="3"/>
  <c r="X33" i="3"/>
  <c r="V33" i="3"/>
  <c r="N33" i="3"/>
  <c r="L33" i="3"/>
  <c r="B33" i="3"/>
  <c r="Z32" i="3"/>
  <c r="X32" i="3"/>
  <c r="V32" i="3"/>
  <c r="N32" i="3"/>
  <c r="L32" i="3"/>
  <c r="B32" i="3"/>
  <c r="Z31" i="3"/>
  <c r="X31" i="3"/>
  <c r="N31" i="3"/>
  <c r="L31" i="3"/>
  <c r="B31" i="3"/>
  <c r="Z30" i="3"/>
  <c r="X30" i="3"/>
  <c r="N30" i="3"/>
  <c r="L30" i="3"/>
  <c r="B30" i="3"/>
  <c r="Z29" i="3"/>
  <c r="X29" i="3"/>
  <c r="N29" i="3"/>
  <c r="L29" i="3"/>
  <c r="J29" i="3"/>
  <c r="B29" i="3"/>
  <c r="Z28" i="3"/>
  <c r="X28" i="3"/>
  <c r="N28" i="3"/>
  <c r="L28" i="3"/>
  <c r="B28" i="3"/>
  <c r="Z27" i="3"/>
  <c r="X27" i="3"/>
  <c r="N27" i="3"/>
  <c r="L27" i="3"/>
  <c r="B27" i="3"/>
  <c r="Z26" i="3"/>
  <c r="X26" i="3"/>
  <c r="V26" i="3"/>
  <c r="N26" i="3"/>
  <c r="L26" i="3"/>
  <c r="B26" i="3"/>
  <c r="Z25" i="3"/>
  <c r="X25" i="3"/>
  <c r="V25" i="3"/>
  <c r="N25" i="3"/>
  <c r="L25" i="3"/>
  <c r="B25" i="3"/>
  <c r="X24" i="3"/>
  <c r="Z24" i="3" s="1"/>
  <c r="V24" i="3"/>
  <c r="L24" i="3"/>
  <c r="N24" i="3" s="1"/>
  <c r="B24" i="3"/>
  <c r="Z23" i="3"/>
  <c r="X23" i="3"/>
  <c r="T23" i="3"/>
  <c r="P23" i="3"/>
  <c r="L23" i="3"/>
  <c r="J23" i="3"/>
  <c r="H23" i="3"/>
  <c r="N23" i="3" s="1"/>
  <c r="D23" i="3"/>
  <c r="Z21" i="3"/>
  <c r="X21" i="3"/>
  <c r="P21" i="3"/>
  <c r="N21" i="3"/>
  <c r="L21" i="3"/>
  <c r="D21" i="3"/>
  <c r="B21" i="3"/>
  <c r="Z20" i="3"/>
  <c r="P20" i="3"/>
  <c r="X20" i="3" s="1"/>
  <c r="N20" i="3"/>
  <c r="D20" i="3"/>
  <c r="L20" i="3" s="1"/>
  <c r="B20" i="3"/>
  <c r="Z19" i="3"/>
  <c r="P19" i="3"/>
  <c r="X19" i="3" s="1"/>
  <c r="N19" i="3"/>
  <c r="D19" i="3"/>
  <c r="L19" i="3" s="1"/>
  <c r="B19" i="3"/>
  <c r="Z18" i="3"/>
  <c r="X18" i="3"/>
  <c r="P18" i="3"/>
  <c r="N18" i="3"/>
  <c r="L18" i="3"/>
  <c r="D18" i="3"/>
  <c r="B18" i="3"/>
  <c r="Z17" i="3"/>
  <c r="X17" i="3"/>
  <c r="P17" i="3"/>
  <c r="N17" i="3"/>
  <c r="D17" i="3"/>
  <c r="L17" i="3" s="1"/>
  <c r="B17" i="3"/>
  <c r="X16" i="3"/>
  <c r="Z16" i="3" s="1"/>
  <c r="P16" i="3"/>
  <c r="D16" i="3"/>
  <c r="L16" i="3" s="1"/>
  <c r="N16" i="3" s="1"/>
  <c r="B16" i="3"/>
  <c r="Z15" i="3"/>
  <c r="P15" i="3"/>
  <c r="X15" i="3" s="1"/>
  <c r="N15" i="3"/>
  <c r="L15" i="3"/>
  <c r="D15" i="3"/>
  <c r="B15" i="3"/>
  <c r="Z14" i="3"/>
  <c r="P14" i="3"/>
  <c r="X14" i="3" s="1"/>
  <c r="N14" i="3"/>
  <c r="L14" i="3"/>
  <c r="D14" i="3"/>
  <c r="B14" i="3"/>
  <c r="X13" i="3"/>
  <c r="Z13" i="3" s="1"/>
  <c r="P13" i="3"/>
  <c r="L13" i="3"/>
  <c r="N13" i="3" s="1"/>
  <c r="D13" i="3"/>
  <c r="D12" i="3" s="1"/>
  <c r="B13" i="3"/>
  <c r="T12" i="3"/>
  <c r="H12" i="3"/>
  <c r="J158" i="3" s="1"/>
  <c r="D4" i="3"/>
  <c r="Z21" i="24" l="1"/>
  <c r="Z18" i="57"/>
  <c r="Z18" i="62"/>
  <c r="Z20" i="74"/>
  <c r="P63" i="57"/>
  <c r="N32" i="65"/>
  <c r="X20" i="74"/>
  <c r="L19" i="84"/>
  <c r="N19" i="84" s="1"/>
  <c r="N18" i="85"/>
  <c r="N44" i="15"/>
  <c r="Z32" i="51"/>
  <c r="X19" i="84"/>
  <c r="Z19" i="84" s="1"/>
  <c r="L19" i="90"/>
  <c r="N19" i="90" s="1"/>
  <c r="X45" i="12"/>
  <c r="J44" i="15"/>
  <c r="N50" i="18"/>
  <c r="Z18" i="56"/>
  <c r="Z18" i="64"/>
  <c r="N32" i="70"/>
  <c r="N37" i="68"/>
  <c r="X21" i="72"/>
  <c r="J19" i="90"/>
  <c r="N25" i="80"/>
  <c r="Z44" i="15"/>
  <c r="N27" i="36"/>
  <c r="H73" i="58"/>
  <c r="N37" i="30"/>
  <c r="X18" i="55"/>
  <c r="Z18" i="55" s="1"/>
  <c r="T27" i="84"/>
  <c r="T31" i="84" s="1"/>
  <c r="D73" i="86"/>
  <c r="Z18" i="88"/>
  <c r="J37" i="30"/>
  <c r="Z25" i="42"/>
  <c r="L32" i="51"/>
  <c r="L18" i="64"/>
  <c r="L37" i="68"/>
  <c r="X18" i="79"/>
  <c r="Z18" i="79" s="1"/>
  <c r="L13" i="34"/>
  <c r="X21" i="92"/>
  <c r="X33" i="93"/>
  <c r="X16" i="13"/>
  <c r="X25" i="14"/>
  <c r="H18" i="17"/>
  <c r="L34" i="17"/>
  <c r="L13" i="20"/>
  <c r="L16" i="8"/>
  <c r="X13" i="10"/>
  <c r="X25" i="10"/>
  <c r="L20" i="19"/>
  <c r="X20" i="4"/>
  <c r="X29" i="5"/>
  <c r="X34" i="5"/>
  <c r="L29" i="11"/>
  <c r="L34" i="11"/>
  <c r="X24" i="13"/>
  <c r="L15" i="4"/>
  <c r="L34" i="4"/>
  <c r="X16" i="5"/>
  <c r="L24" i="5"/>
  <c r="X13" i="7"/>
  <c r="X21" i="26"/>
  <c r="L16" i="44"/>
  <c r="X22" i="44"/>
  <c r="X34" i="17"/>
  <c r="X33" i="20"/>
  <c r="L16" i="22"/>
  <c r="X22" i="31"/>
  <c r="L33" i="32"/>
  <c r="X15" i="35"/>
  <c r="X29" i="35"/>
  <c r="X34" i="35"/>
  <c r="X20" i="38"/>
  <c r="X16" i="40"/>
  <c r="X21" i="19"/>
  <c r="L25" i="26"/>
  <c r="L24" i="7"/>
  <c r="L15" i="13"/>
  <c r="X21" i="13"/>
  <c r="L34" i="52"/>
  <c r="L24" i="53"/>
  <c r="X13" i="46"/>
  <c r="L21" i="46"/>
  <c r="X25" i="46"/>
  <c r="X33" i="46"/>
  <c r="L13" i="49"/>
  <c r="X20" i="50"/>
  <c r="L22" i="50"/>
  <c r="X22" i="17"/>
  <c r="X20" i="29"/>
  <c r="L22" i="29"/>
  <c r="L24" i="32"/>
  <c r="X25" i="34"/>
  <c r="X25" i="38"/>
  <c r="X33" i="38"/>
  <c r="X25" i="4"/>
  <c r="L13" i="7"/>
  <c r="L25" i="7"/>
  <c r="L33" i="7"/>
  <c r="L13" i="10"/>
  <c r="L25" i="10"/>
  <c r="L33" i="10"/>
  <c r="X16" i="16"/>
  <c r="X29" i="20"/>
  <c r="X34" i="20"/>
  <c r="L34" i="23"/>
  <c r="L24" i="34"/>
  <c r="X33" i="35"/>
  <c r="L15" i="47"/>
  <c r="X13" i="8"/>
  <c r="L24" i="10"/>
  <c r="X13" i="11"/>
  <c r="X34" i="32"/>
  <c r="X34" i="37"/>
  <c r="L16" i="23"/>
  <c r="L24" i="31"/>
  <c r="X25" i="37"/>
  <c r="L16" i="38"/>
  <c r="X22" i="38"/>
  <c r="L20" i="40"/>
  <c r="X24" i="40"/>
  <c r="L15" i="41"/>
  <c r="L29" i="41"/>
  <c r="L34" i="41"/>
  <c r="L25" i="50"/>
  <c r="L33" i="50"/>
  <c r="L22" i="52"/>
  <c r="X15" i="53"/>
  <c r="X13" i="34"/>
  <c r="X34" i="53"/>
  <c r="X16" i="4"/>
  <c r="L13" i="11"/>
  <c r="L15" i="16"/>
  <c r="X21" i="16"/>
  <c r="X29" i="22"/>
  <c r="X34" i="22"/>
  <c r="X29" i="31"/>
  <c r="X24" i="32"/>
  <c r="L15" i="34"/>
  <c r="X24" i="37"/>
  <c r="L22" i="41"/>
  <c r="X24" i="44"/>
  <c r="L25" i="4"/>
  <c r="L33" i="4"/>
  <c r="L29" i="8"/>
  <c r="X15" i="14"/>
  <c r="X29" i="14"/>
  <c r="X29" i="17"/>
  <c r="X20" i="25"/>
  <c r="X13" i="25"/>
  <c r="X24" i="53"/>
  <c r="X29" i="53"/>
  <c r="X21" i="5"/>
  <c r="X25" i="28"/>
  <c r="X21" i="34"/>
  <c r="X15" i="43"/>
  <c r="X24" i="46"/>
  <c r="X13" i="19"/>
  <c r="X25" i="19"/>
  <c r="X29" i="25"/>
  <c r="L15" i="28"/>
  <c r="X21" i="28"/>
  <c r="X25" i="29"/>
  <c r="X33" i="29"/>
  <c r="L13" i="41"/>
  <c r="L25" i="41"/>
  <c r="X34" i="46"/>
  <c r="X21" i="20"/>
  <c r="L29" i="20"/>
  <c r="L13" i="47"/>
  <c r="L25" i="47"/>
  <c r="X34" i="47"/>
  <c r="L15" i="53"/>
  <c r="L21" i="7"/>
  <c r="L22" i="35"/>
  <c r="X25" i="44"/>
  <c r="L20" i="5"/>
  <c r="X24" i="31"/>
  <c r="L15" i="32"/>
  <c r="X21" i="32"/>
  <c r="L29" i="32"/>
  <c r="L20" i="43"/>
  <c r="X24" i="43"/>
  <c r="L15" i="44"/>
  <c r="X21" i="44"/>
  <c r="L29" i="44"/>
  <c r="L34" i="44"/>
  <c r="X29" i="13"/>
  <c r="X20" i="31"/>
  <c r="L29" i="91"/>
  <c r="L25" i="5"/>
  <c r="L33" i="5"/>
  <c r="X20" i="7"/>
  <c r="X29" i="8"/>
  <c r="X34" i="8"/>
  <c r="L22" i="14"/>
  <c r="X34" i="14"/>
  <c r="L16" i="16"/>
  <c r="L25" i="25"/>
  <c r="L33" i="25"/>
  <c r="L25" i="31"/>
  <c r="X29" i="34"/>
  <c r="L13" i="37"/>
  <c r="X15" i="38"/>
  <c r="X13" i="40"/>
  <c r="L21" i="40"/>
  <c r="L16" i="41"/>
  <c r="X22" i="41"/>
  <c r="L29" i="50"/>
  <c r="L13" i="4"/>
  <c r="L20" i="7"/>
  <c r="Z12" i="19"/>
  <c r="J15" i="19"/>
  <c r="X13" i="41"/>
  <c r="L16" i="43"/>
  <c r="L13" i="44"/>
  <c r="N12" i="49"/>
  <c r="L29" i="49"/>
  <c r="L34" i="49"/>
  <c r="X25" i="50"/>
  <c r="X13" i="4"/>
  <c r="L13" i="5"/>
  <c r="X24" i="7"/>
  <c r="L15" i="8"/>
  <c r="L34" i="8"/>
  <c r="L15" i="10"/>
  <c r="X33" i="14"/>
  <c r="L29" i="16"/>
  <c r="X15" i="19"/>
  <c r="X29" i="19"/>
  <c r="L20" i="20"/>
  <c r="L15" i="22"/>
  <c r="X21" i="22"/>
  <c r="L29" i="22"/>
  <c r="X22" i="23"/>
  <c r="L13" i="29"/>
  <c r="L34" i="31"/>
  <c r="X25" i="32"/>
  <c r="X22" i="34"/>
  <c r="L13" i="38"/>
  <c r="L25" i="38"/>
  <c r="L15" i="40"/>
  <c r="L24" i="41"/>
  <c r="L25" i="44"/>
  <c r="L33" i="44"/>
  <c r="L13" i="46"/>
  <c r="L22" i="47"/>
  <c r="X24" i="49"/>
  <c r="L15" i="50"/>
  <c r="X15" i="92"/>
  <c r="X34" i="92"/>
  <c r="L21" i="4"/>
  <c r="X21" i="14"/>
  <c r="L29" i="26"/>
  <c r="X22" i="47"/>
  <c r="X24" i="93"/>
  <c r="X29" i="11"/>
  <c r="R15" i="26"/>
  <c r="F24" i="5"/>
  <c r="L22" i="16"/>
  <c r="L33" i="31"/>
  <c r="L22" i="32"/>
  <c r="L29" i="38"/>
  <c r="X29" i="43"/>
  <c r="P18" i="91"/>
  <c r="X29" i="4"/>
  <c r="L29" i="5"/>
  <c r="X16" i="7"/>
  <c r="L16" i="10"/>
  <c r="L21" i="13"/>
  <c r="L25" i="17"/>
  <c r="L33" i="17"/>
  <c r="X20" i="28"/>
  <c r="L16" i="31"/>
  <c r="L29" i="35"/>
  <c r="X24" i="25"/>
  <c r="X29" i="38"/>
  <c r="X20" i="43"/>
  <c r="R20" i="91"/>
  <c r="V22" i="93"/>
  <c r="X29" i="7"/>
  <c r="X34" i="7"/>
  <c r="L20" i="8"/>
  <c r="X21" i="8"/>
  <c r="X24" i="8"/>
  <c r="L21" i="10"/>
  <c r="X33" i="17"/>
  <c r="X24" i="19"/>
  <c r="X25" i="22"/>
  <c r="X24" i="26"/>
  <c r="X33" i="26"/>
  <c r="L21" i="28"/>
  <c r="L33" i="28"/>
  <c r="X24" i="29"/>
  <c r="L22" i="31"/>
  <c r="L16" i="35"/>
  <c r="L33" i="37"/>
  <c r="L16" i="40"/>
  <c r="X22" i="40"/>
  <c r="X20" i="41"/>
  <c r="X34" i="44"/>
  <c r="X24" i="47"/>
  <c r="L33" i="49"/>
  <c r="L34" i="50"/>
  <c r="X16" i="52"/>
  <c r="L21" i="53"/>
  <c r="X25" i="53"/>
  <c r="X20" i="5"/>
  <c r="L16" i="11"/>
  <c r="J31" i="35"/>
  <c r="L12" i="44"/>
  <c r="F33" i="44"/>
  <c r="X16" i="91"/>
  <c r="L21" i="91"/>
  <c r="L15" i="92"/>
  <c r="V15" i="93"/>
  <c r="V21" i="93"/>
  <c r="L34" i="93"/>
  <c r="V20" i="46"/>
  <c r="X29" i="47"/>
  <c r="X15" i="10"/>
  <c r="L20" i="10"/>
  <c r="X16" i="11"/>
  <c r="X22" i="16"/>
  <c r="L33" i="16"/>
  <c r="X20" i="17"/>
  <c r="J16" i="31"/>
  <c r="L21" i="34"/>
  <c r="L33" i="38"/>
  <c r="X21" i="40"/>
  <c r="L34" i="40"/>
  <c r="X22" i="43"/>
  <c r="X13" i="50"/>
  <c r="X22" i="50"/>
  <c r="X12" i="53"/>
  <c r="L24" i="91"/>
  <c r="X25" i="91"/>
  <c r="J15" i="92"/>
  <c r="L20" i="92"/>
  <c r="X13" i="93"/>
  <c r="L16" i="93"/>
  <c r="L22" i="93"/>
  <c r="L21" i="5"/>
  <c r="X25" i="7"/>
  <c r="X12" i="13"/>
  <c r="L15" i="23"/>
  <c r="L15" i="26"/>
  <c r="X15" i="28"/>
  <c r="X24" i="28"/>
  <c r="X22" i="29"/>
  <c r="L29" i="37"/>
  <c r="X13" i="38"/>
  <c r="Z34" i="47"/>
  <c r="V34" i="5"/>
  <c r="X25" i="8"/>
  <c r="L33" i="8"/>
  <c r="X20" i="10"/>
  <c r="F29" i="11"/>
  <c r="X34" i="13"/>
  <c r="L12" i="16"/>
  <c r="L20" i="23"/>
  <c r="X21" i="23"/>
  <c r="L15" i="31"/>
  <c r="X29" i="32"/>
  <c r="F18" i="35"/>
  <c r="X12" i="49"/>
  <c r="L15" i="49"/>
  <c r="X20" i="52"/>
  <c r="L33" i="52"/>
  <c r="X20" i="53"/>
  <c r="J27" i="91"/>
  <c r="X22" i="93"/>
  <c r="X24" i="4"/>
  <c r="L12" i="5"/>
  <c r="X15" i="7"/>
  <c r="L34" i="7"/>
  <c r="X16" i="8"/>
  <c r="R25" i="8"/>
  <c r="L22" i="10"/>
  <c r="L22" i="13"/>
  <c r="X24" i="14"/>
  <c r="L21" i="17"/>
  <c r="L21" i="20"/>
  <c r="X25" i="20"/>
  <c r="L13" i="22"/>
  <c r="L25" i="22"/>
  <c r="X24" i="23"/>
  <c r="P18" i="26"/>
  <c r="P27" i="26" s="1"/>
  <c r="J21" i="26"/>
  <c r="X25" i="26"/>
  <c r="L33" i="26"/>
  <c r="L22" i="28"/>
  <c r="X29" i="28"/>
  <c r="L15" i="29"/>
  <c r="L20" i="29"/>
  <c r="L20" i="31"/>
  <c r="X24" i="34"/>
  <c r="X20" i="37"/>
  <c r="X20" i="40"/>
  <c r="L22" i="40"/>
  <c r="X34" i="40"/>
  <c r="L20" i="41"/>
  <c r="L34" i="43"/>
  <c r="X20" i="44"/>
  <c r="X29" i="44"/>
  <c r="L20" i="46"/>
  <c r="F27" i="50"/>
  <c r="L25" i="53"/>
  <c r="L33" i="53"/>
  <c r="L22" i="91"/>
  <c r="X12" i="93"/>
  <c r="R16" i="37"/>
  <c r="X21" i="4"/>
  <c r="L22" i="7"/>
  <c r="X15" i="8"/>
  <c r="R16" i="8"/>
  <c r="L24" i="8"/>
  <c r="L20" i="11"/>
  <c r="J24" i="11"/>
  <c r="L16" i="13"/>
  <c r="J24" i="13"/>
  <c r="F18" i="16"/>
  <c r="L25" i="16"/>
  <c r="F29" i="16"/>
  <c r="F36" i="16"/>
  <c r="V25" i="17"/>
  <c r="F16" i="19"/>
  <c r="X12" i="20"/>
  <c r="L15" i="20"/>
  <c r="L34" i="22"/>
  <c r="X34" i="23"/>
  <c r="R25" i="25"/>
  <c r="L29" i="28"/>
  <c r="N12" i="29"/>
  <c r="J21" i="29"/>
  <c r="F22" i="31"/>
  <c r="J18" i="32"/>
  <c r="J21" i="32"/>
  <c r="F18" i="34"/>
  <c r="X33" i="34"/>
  <c r="X12" i="35"/>
  <c r="J15" i="35"/>
  <c r="Z13" i="38"/>
  <c r="X15" i="40"/>
  <c r="D18" i="43"/>
  <c r="X16" i="44"/>
  <c r="V21" i="44"/>
  <c r="F25" i="44"/>
  <c r="L24" i="46"/>
  <c r="X22" i="49"/>
  <c r="X12" i="52"/>
  <c r="V18" i="52"/>
  <c r="R24" i="91"/>
  <c r="L22" i="92"/>
  <c r="X20" i="93"/>
  <c r="L16" i="4"/>
  <c r="X34" i="4"/>
  <c r="L13" i="8"/>
  <c r="R15" i="8"/>
  <c r="J31" i="10"/>
  <c r="X34" i="10"/>
  <c r="X24" i="11"/>
  <c r="X13" i="13"/>
  <c r="F16" i="13"/>
  <c r="L20" i="16"/>
  <c r="F25" i="16"/>
  <c r="X33" i="16"/>
  <c r="L22" i="17"/>
  <c r="L29" i="17"/>
  <c r="Z12" i="20"/>
  <c r="J15" i="20"/>
  <c r="V18" i="20"/>
  <c r="L34" i="20"/>
  <c r="X15" i="22"/>
  <c r="X16" i="22"/>
  <c r="R34" i="23"/>
  <c r="J16" i="25"/>
  <c r="L22" i="25"/>
  <c r="J18" i="26"/>
  <c r="X22" i="26"/>
  <c r="X29" i="26"/>
  <c r="L34" i="26"/>
  <c r="X33" i="28"/>
  <c r="R36" i="28"/>
  <c r="F16" i="29"/>
  <c r="R33" i="31"/>
  <c r="X15" i="32"/>
  <c r="X33" i="32"/>
  <c r="X15" i="34"/>
  <c r="J21" i="34"/>
  <c r="L21" i="35"/>
  <c r="X22" i="35"/>
  <c r="L15" i="37"/>
  <c r="L15" i="38"/>
  <c r="X16" i="38"/>
  <c r="L34" i="38"/>
  <c r="R15" i="40"/>
  <c r="X29" i="40"/>
  <c r="X16" i="41"/>
  <c r="L21" i="41"/>
  <c r="X25" i="41"/>
  <c r="X33" i="41"/>
  <c r="L13" i="43"/>
  <c r="X25" i="43"/>
  <c r="X33" i="43"/>
  <c r="L24" i="44"/>
  <c r="Z12" i="46"/>
  <c r="F15" i="46"/>
  <c r="X20" i="46"/>
  <c r="N24" i="46"/>
  <c r="F36" i="46"/>
  <c r="X25" i="47"/>
  <c r="R22" i="49"/>
  <c r="L25" i="49"/>
  <c r="X16" i="50"/>
  <c r="L24" i="50"/>
  <c r="X21" i="52"/>
  <c r="L29" i="52"/>
  <c r="L13" i="53"/>
  <c r="R33" i="53"/>
  <c r="X24" i="91"/>
  <c r="X29" i="92"/>
  <c r="D18" i="5"/>
  <c r="X12" i="7"/>
  <c r="R29" i="7"/>
  <c r="N33" i="8"/>
  <c r="X12" i="11"/>
  <c r="L15" i="14"/>
  <c r="F15" i="16"/>
  <c r="F16" i="16"/>
  <c r="X20" i="16"/>
  <c r="J24" i="16"/>
  <c r="J25" i="16"/>
  <c r="V15" i="17"/>
  <c r="F18" i="17"/>
  <c r="Z33" i="17"/>
  <c r="L15" i="19"/>
  <c r="F21" i="19"/>
  <c r="X22" i="19"/>
  <c r="L25" i="19"/>
  <c r="J29" i="19"/>
  <c r="Z21" i="20"/>
  <c r="V15" i="22"/>
  <c r="V18" i="22"/>
  <c r="Z12" i="25"/>
  <c r="L21" i="25"/>
  <c r="L25" i="28"/>
  <c r="R29" i="28"/>
  <c r="Z12" i="29"/>
  <c r="F24" i="29"/>
  <c r="X16" i="31"/>
  <c r="L13" i="35"/>
  <c r="J18" i="35"/>
  <c r="X21" i="35"/>
  <c r="R31" i="35"/>
  <c r="F16" i="43"/>
  <c r="D18" i="44"/>
  <c r="X15" i="49"/>
  <c r="X15" i="50"/>
  <c r="L20" i="50"/>
  <c r="R15" i="91"/>
  <c r="R18" i="91"/>
  <c r="X33" i="91"/>
  <c r="F21" i="92"/>
  <c r="Z12" i="4"/>
  <c r="X12" i="5"/>
  <c r="F15" i="5"/>
  <c r="L22" i="5"/>
  <c r="X24" i="5"/>
  <c r="V27" i="5"/>
  <c r="X33" i="5"/>
  <c r="V16" i="7"/>
  <c r="X20" i="8"/>
  <c r="L22" i="8"/>
  <c r="X33" i="10"/>
  <c r="X15" i="11"/>
  <c r="V16" i="11"/>
  <c r="X22" i="13"/>
  <c r="L25" i="13"/>
  <c r="H18" i="16"/>
  <c r="H27" i="16" s="1"/>
  <c r="X24" i="16"/>
  <c r="V18" i="17"/>
  <c r="X21" i="17"/>
  <c r="L20" i="22"/>
  <c r="L13" i="31"/>
  <c r="X21" i="31"/>
  <c r="J24" i="32"/>
  <c r="J24" i="34"/>
  <c r="F34" i="34"/>
  <c r="X13" i="35"/>
  <c r="J25" i="38"/>
  <c r="V15" i="44"/>
  <c r="T18" i="44"/>
  <c r="T27" i="44" s="1"/>
  <c r="F18" i="46"/>
  <c r="R29" i="52"/>
  <c r="X34" i="52"/>
  <c r="X16" i="53"/>
  <c r="L13" i="91"/>
  <c r="L20" i="91"/>
  <c r="X21" i="91"/>
  <c r="L25" i="91"/>
  <c r="R33" i="91"/>
  <c r="L13" i="92"/>
  <c r="L24" i="92"/>
  <c r="V34" i="92"/>
  <c r="X34" i="93"/>
  <c r="R25" i="4"/>
  <c r="R20" i="5"/>
  <c r="J18" i="4"/>
  <c r="V16" i="5"/>
  <c r="V31" i="7"/>
  <c r="F16" i="8"/>
  <c r="J18" i="11"/>
  <c r="Z12" i="13"/>
  <c r="F21" i="13"/>
  <c r="V21" i="14"/>
  <c r="F31" i="16"/>
  <c r="V22" i="17"/>
  <c r="F20" i="19"/>
  <c r="J25" i="19"/>
  <c r="N12" i="20"/>
  <c r="V27" i="20"/>
  <c r="V34" i="20"/>
  <c r="L12" i="22"/>
  <c r="X25" i="23"/>
  <c r="L13" i="25"/>
  <c r="L20" i="25"/>
  <c r="J21" i="25"/>
  <c r="V22" i="25"/>
  <c r="R29" i="25"/>
  <c r="L34" i="25"/>
  <c r="R15" i="31"/>
  <c r="J27" i="35"/>
  <c r="X21" i="37"/>
  <c r="F27" i="37"/>
  <c r="J36" i="38"/>
  <c r="X25" i="40"/>
  <c r="N12" i="43"/>
  <c r="L20" i="44"/>
  <c r="F29" i="44"/>
  <c r="R18" i="46"/>
  <c r="R22" i="46"/>
  <c r="X29" i="46"/>
  <c r="L22" i="49"/>
  <c r="J16" i="52"/>
  <c r="Z20" i="52"/>
  <c r="V27" i="92"/>
  <c r="X22" i="5"/>
  <c r="L34" i="5"/>
  <c r="V16" i="13"/>
  <c r="L24" i="13"/>
  <c r="X25" i="13"/>
  <c r="Z21" i="14"/>
  <c r="X15" i="16"/>
  <c r="N22" i="16"/>
  <c r="F27" i="16"/>
  <c r="L16" i="17"/>
  <c r="L22" i="20"/>
  <c r="J36" i="20"/>
  <c r="N12" i="22"/>
  <c r="X33" i="22"/>
  <c r="V15" i="23"/>
  <c r="L22" i="26"/>
  <c r="L20" i="28"/>
  <c r="V16" i="29"/>
  <c r="J22" i="29"/>
  <c r="X13" i="31"/>
  <c r="F24" i="31"/>
  <c r="H18" i="32"/>
  <c r="N18" i="32" s="1"/>
  <c r="J27" i="32"/>
  <c r="J34" i="32"/>
  <c r="X16" i="34"/>
  <c r="V27" i="34"/>
  <c r="L15" i="35"/>
  <c r="J22" i="43"/>
  <c r="F25" i="46"/>
  <c r="J34" i="47"/>
  <c r="X13" i="91"/>
  <c r="L16" i="91"/>
  <c r="L29" i="92"/>
  <c r="L25" i="93"/>
  <c r="R21" i="4"/>
  <c r="R21" i="11"/>
  <c r="V27" i="14"/>
  <c r="V34" i="14"/>
  <c r="D18" i="16"/>
  <c r="D18" i="17"/>
  <c r="L18" i="17" s="1"/>
  <c r="Z21" i="19"/>
  <c r="J24" i="19"/>
  <c r="R24" i="22"/>
  <c r="J20" i="25"/>
  <c r="L24" i="25"/>
  <c r="V29" i="25"/>
  <c r="R15" i="28"/>
  <c r="R34" i="28"/>
  <c r="J18" i="29"/>
  <c r="R36" i="31"/>
  <c r="J15" i="32"/>
  <c r="J33" i="32"/>
  <c r="J36" i="35"/>
  <c r="F25" i="43"/>
  <c r="V22" i="44"/>
  <c r="F16" i="46"/>
  <c r="R21" i="46"/>
  <c r="F16" i="49"/>
  <c r="Z12" i="53"/>
  <c r="J27" i="7"/>
  <c r="V16" i="4"/>
  <c r="N21" i="4"/>
  <c r="J24" i="4"/>
  <c r="J27" i="4"/>
  <c r="R16" i="5"/>
  <c r="X33" i="7"/>
  <c r="H18" i="8"/>
  <c r="H27" i="8" s="1"/>
  <c r="V20" i="8"/>
  <c r="X22" i="8"/>
  <c r="R24" i="8"/>
  <c r="J29" i="8"/>
  <c r="R25" i="10"/>
  <c r="R36" i="10"/>
  <c r="R15" i="11"/>
  <c r="J27" i="11"/>
  <c r="J31" i="11"/>
  <c r="J34" i="11"/>
  <c r="L20" i="13"/>
  <c r="V22" i="13"/>
  <c r="J29" i="14"/>
  <c r="J31" i="14"/>
  <c r="R16" i="16"/>
  <c r="L24" i="16"/>
  <c r="J29" i="17"/>
  <c r="L15" i="5"/>
  <c r="J34" i="7"/>
  <c r="X12" i="4"/>
  <c r="V20" i="4"/>
  <c r="J22" i="4"/>
  <c r="L24" i="4"/>
  <c r="J31" i="4"/>
  <c r="R36" i="4"/>
  <c r="J21" i="5"/>
  <c r="F22" i="5"/>
  <c r="F27" i="5"/>
  <c r="R33" i="7"/>
  <c r="V34" i="7"/>
  <c r="J15" i="8"/>
  <c r="J18" i="8"/>
  <c r="R21" i="8"/>
  <c r="R22" i="8"/>
  <c r="N29" i="8"/>
  <c r="J33" i="8"/>
  <c r="J34" i="8"/>
  <c r="J15" i="10"/>
  <c r="J20" i="11"/>
  <c r="L33" i="11"/>
  <c r="F20" i="13"/>
  <c r="F22" i="13"/>
  <c r="Z24" i="13"/>
  <c r="J15" i="14"/>
  <c r="L16" i="14"/>
  <c r="X22" i="14"/>
  <c r="V31" i="14"/>
  <c r="N12" i="16"/>
  <c r="J21" i="16"/>
  <c r="J22" i="16"/>
  <c r="F24" i="16"/>
  <c r="X29" i="16"/>
  <c r="J33" i="16"/>
  <c r="F24" i="17"/>
  <c r="F27" i="17"/>
  <c r="F25" i="17"/>
  <c r="F34" i="17"/>
  <c r="F31" i="17"/>
  <c r="F29" i="17"/>
  <c r="X13" i="17"/>
  <c r="X15" i="17"/>
  <c r="X16" i="17"/>
  <c r="L22" i="19"/>
  <c r="L29" i="19"/>
  <c r="X13" i="32"/>
  <c r="F16" i="4"/>
  <c r="L20" i="4"/>
  <c r="X22" i="4"/>
  <c r="R24" i="4"/>
  <c r="L29" i="4"/>
  <c r="Z12" i="5"/>
  <c r="L16" i="5"/>
  <c r="F18" i="5"/>
  <c r="F25" i="5"/>
  <c r="F31" i="5"/>
  <c r="R15" i="7"/>
  <c r="X22" i="7"/>
  <c r="R25" i="7"/>
  <c r="N12" i="8"/>
  <c r="N15" i="8"/>
  <c r="F20" i="8"/>
  <c r="Z21" i="8"/>
  <c r="R29" i="8"/>
  <c r="X33" i="8"/>
  <c r="R15" i="10"/>
  <c r="V16" i="10"/>
  <c r="X22" i="10"/>
  <c r="J27" i="10"/>
  <c r="J34" i="10"/>
  <c r="Z12" i="11"/>
  <c r="J21" i="11"/>
  <c r="J22" i="11"/>
  <c r="L24" i="11"/>
  <c r="L25" i="11"/>
  <c r="X34" i="11"/>
  <c r="F24" i="13"/>
  <c r="L13" i="14"/>
  <c r="L25" i="14"/>
  <c r="F27" i="14"/>
  <c r="R29" i="14"/>
  <c r="L33" i="14"/>
  <c r="L34" i="14"/>
  <c r="R20" i="16"/>
  <c r="R21" i="16"/>
  <c r="F24" i="20"/>
  <c r="F34" i="20"/>
  <c r="F31" i="20"/>
  <c r="F21" i="20"/>
  <c r="F20" i="20"/>
  <c r="F18" i="20"/>
  <c r="F34" i="23"/>
  <c r="F36" i="23"/>
  <c r="F18" i="23"/>
  <c r="F15" i="23"/>
  <c r="D18" i="23"/>
  <c r="F33" i="23"/>
  <c r="F29" i="23"/>
  <c r="F25" i="23"/>
  <c r="F22" i="23"/>
  <c r="F21" i="23"/>
  <c r="J22" i="28"/>
  <c r="J29" i="28"/>
  <c r="J31" i="28"/>
  <c r="J25" i="28"/>
  <c r="J24" i="28"/>
  <c r="J21" i="28"/>
  <c r="J18" i="28"/>
  <c r="H18" i="28"/>
  <c r="N18" i="28" s="1"/>
  <c r="J27" i="28"/>
  <c r="X21" i="50"/>
  <c r="Z21" i="50"/>
  <c r="F18" i="93"/>
  <c r="F27" i="93"/>
  <c r="F31" i="93"/>
  <c r="F34" i="93"/>
  <c r="F24" i="93"/>
  <c r="F22" i="93"/>
  <c r="F21" i="93"/>
  <c r="F15" i="93"/>
  <c r="F20" i="4"/>
  <c r="R22" i="4"/>
  <c r="J34" i="4"/>
  <c r="F16" i="5"/>
  <c r="J18" i="5"/>
  <c r="V20" i="5"/>
  <c r="J24" i="5"/>
  <c r="F29" i="5"/>
  <c r="V31" i="5"/>
  <c r="F36" i="5"/>
  <c r="V20" i="7"/>
  <c r="X21" i="7"/>
  <c r="R22" i="7"/>
  <c r="J31" i="7"/>
  <c r="R36" i="7"/>
  <c r="R33" i="8"/>
  <c r="X16" i="10"/>
  <c r="V20" i="10"/>
  <c r="X21" i="10"/>
  <c r="L29" i="10"/>
  <c r="F18" i="11"/>
  <c r="R20" i="11"/>
  <c r="X21" i="11"/>
  <c r="X33" i="11"/>
  <c r="L13" i="13"/>
  <c r="X15" i="13"/>
  <c r="X20" i="13"/>
  <c r="L33" i="13"/>
  <c r="N12" i="14"/>
  <c r="R15" i="14"/>
  <c r="L21" i="14"/>
  <c r="J25" i="14"/>
  <c r="J27" i="14"/>
  <c r="J33" i="14"/>
  <c r="F34" i="14"/>
  <c r="J36" i="14"/>
  <c r="J15" i="16"/>
  <c r="J18" i="16"/>
  <c r="R22" i="16"/>
  <c r="J36" i="16"/>
  <c r="V20" i="17"/>
  <c r="V29" i="17"/>
  <c r="V27" i="17"/>
  <c r="V36" i="17"/>
  <c r="V33" i="17"/>
  <c r="V31" i="17"/>
  <c r="F15" i="17"/>
  <c r="X25" i="17"/>
  <c r="Z25" i="17"/>
  <c r="L13" i="19"/>
  <c r="X22" i="22"/>
  <c r="J15" i="23"/>
  <c r="H18" i="23"/>
  <c r="H27" i="23" s="1"/>
  <c r="J16" i="23"/>
  <c r="L16" i="28"/>
  <c r="J33" i="28"/>
  <c r="X29" i="29"/>
  <c r="R20" i="32"/>
  <c r="R22" i="32"/>
  <c r="R33" i="32"/>
  <c r="R15" i="32"/>
  <c r="X12" i="32"/>
  <c r="P18" i="32"/>
  <c r="P27" i="32" s="1"/>
  <c r="R25" i="32"/>
  <c r="X16" i="32"/>
  <c r="L21" i="32"/>
  <c r="L22" i="34"/>
  <c r="X15" i="37"/>
  <c r="P18" i="37"/>
  <c r="J21" i="53"/>
  <c r="J27" i="53"/>
  <c r="J34" i="53"/>
  <c r="J31" i="53"/>
  <c r="J24" i="53"/>
  <c r="X13" i="53"/>
  <c r="Z13" i="53"/>
  <c r="R24" i="16"/>
  <c r="F18" i="25"/>
  <c r="F34" i="25"/>
  <c r="F31" i="25"/>
  <c r="F25" i="25"/>
  <c r="F22" i="25"/>
  <c r="F27" i="25"/>
  <c r="F16" i="25"/>
  <c r="F15" i="25"/>
  <c r="V24" i="32"/>
  <c r="V31" i="32"/>
  <c r="V34" i="32"/>
  <c r="V20" i="32"/>
  <c r="Z12" i="32"/>
  <c r="V27" i="32"/>
  <c r="V16" i="32"/>
  <c r="J22" i="17"/>
  <c r="J25" i="17"/>
  <c r="J33" i="17"/>
  <c r="J36" i="17"/>
  <c r="F16" i="11"/>
  <c r="P18" i="14"/>
  <c r="P27" i="14" s="1"/>
  <c r="N12" i="4"/>
  <c r="X15" i="4"/>
  <c r="R16" i="4"/>
  <c r="J21" i="4"/>
  <c r="R29" i="4"/>
  <c r="X33" i="4"/>
  <c r="F20" i="5"/>
  <c r="R22" i="5"/>
  <c r="F33" i="5"/>
  <c r="F34" i="5"/>
  <c r="Z12" i="7"/>
  <c r="L16" i="7"/>
  <c r="R18" i="7"/>
  <c r="V21" i="7"/>
  <c r="V22" i="7"/>
  <c r="V27" i="7"/>
  <c r="X12" i="8"/>
  <c r="R20" i="8"/>
  <c r="L21" i="8"/>
  <c r="L25" i="8"/>
  <c r="J31" i="8"/>
  <c r="J36" i="8"/>
  <c r="Z12" i="10"/>
  <c r="P18" i="10"/>
  <c r="P27" i="10" s="1"/>
  <c r="V21" i="10"/>
  <c r="X29" i="10"/>
  <c r="R33" i="10"/>
  <c r="J15" i="11"/>
  <c r="R18" i="11"/>
  <c r="X20" i="11"/>
  <c r="V20" i="13"/>
  <c r="R22" i="13"/>
  <c r="V18" i="14"/>
  <c r="J21" i="14"/>
  <c r="R24" i="14"/>
  <c r="J34" i="14"/>
  <c r="F20" i="16"/>
  <c r="L34" i="16"/>
  <c r="L13" i="17"/>
  <c r="J15" i="17"/>
  <c r="F16" i="17"/>
  <c r="L20" i="17"/>
  <c r="F21" i="17"/>
  <c r="F22" i="17"/>
  <c r="V34" i="17"/>
  <c r="F16" i="20"/>
  <c r="F27" i="20"/>
  <c r="L22" i="23"/>
  <c r="J15" i="28"/>
  <c r="J36" i="28"/>
  <c r="L29" i="31"/>
  <c r="R34" i="34"/>
  <c r="X12" i="34"/>
  <c r="R22" i="34"/>
  <c r="P18" i="7"/>
  <c r="P27" i="7" s="1"/>
  <c r="J21" i="8"/>
  <c r="J24" i="8"/>
  <c r="J27" i="8"/>
  <c r="V22" i="10"/>
  <c r="R36" i="14"/>
  <c r="R15" i="4"/>
  <c r="R20" i="4"/>
  <c r="L22" i="4"/>
  <c r="R33" i="4"/>
  <c r="X15" i="5"/>
  <c r="X25" i="5"/>
  <c r="L15" i="7"/>
  <c r="V18" i="7"/>
  <c r="L29" i="7"/>
  <c r="Z12" i="8"/>
  <c r="V16" i="8"/>
  <c r="J22" i="8"/>
  <c r="J25" i="8"/>
  <c r="R36" i="8"/>
  <c r="V18" i="10"/>
  <c r="R29" i="10"/>
  <c r="V24" i="11"/>
  <c r="F31" i="11"/>
  <c r="R18" i="13"/>
  <c r="L29" i="13"/>
  <c r="X33" i="13"/>
  <c r="X12" i="14"/>
  <c r="L20" i="14"/>
  <c r="J22" i="14"/>
  <c r="R25" i="14"/>
  <c r="L29" i="14"/>
  <c r="F31" i="14"/>
  <c r="R33" i="14"/>
  <c r="X13" i="16"/>
  <c r="F21" i="16"/>
  <c r="X25" i="16"/>
  <c r="J29" i="16"/>
  <c r="F33" i="16"/>
  <c r="F34" i="16"/>
  <c r="F20" i="17"/>
  <c r="F36" i="17"/>
  <c r="L33" i="19"/>
  <c r="X13" i="22"/>
  <c r="X34" i="25"/>
  <c r="R34" i="29"/>
  <c r="R24" i="29"/>
  <c r="R22" i="29"/>
  <c r="X12" i="29"/>
  <c r="R20" i="29"/>
  <c r="R16" i="29"/>
  <c r="L25" i="32"/>
  <c r="R36" i="32"/>
  <c r="V36" i="34"/>
  <c r="V21" i="34"/>
  <c r="V18" i="34"/>
  <c r="V34" i="34"/>
  <c r="V20" i="34"/>
  <c r="Z12" i="34"/>
  <c r="V16" i="34"/>
  <c r="H18" i="35"/>
  <c r="N18" i="35" s="1"/>
  <c r="N15" i="35"/>
  <c r="J18" i="19"/>
  <c r="L24" i="19"/>
  <c r="N22" i="20"/>
  <c r="J33" i="20"/>
  <c r="F16" i="22"/>
  <c r="F18" i="22"/>
  <c r="X20" i="22"/>
  <c r="J22" i="22"/>
  <c r="F29" i="22"/>
  <c r="F34" i="22"/>
  <c r="N16" i="23"/>
  <c r="L21" i="23"/>
  <c r="L25" i="23"/>
  <c r="L29" i="23"/>
  <c r="L33" i="23"/>
  <c r="L16" i="25"/>
  <c r="X21" i="25"/>
  <c r="X22" i="25"/>
  <c r="R24" i="25"/>
  <c r="L13" i="26"/>
  <c r="R16" i="26"/>
  <c r="R20" i="26"/>
  <c r="V20" i="28"/>
  <c r="R22" i="28"/>
  <c r="R25" i="28"/>
  <c r="X34" i="28"/>
  <c r="N15" i="29"/>
  <c r="X16" i="29"/>
  <c r="F20" i="29"/>
  <c r="L21" i="29"/>
  <c r="F22" i="29"/>
  <c r="P18" i="31"/>
  <c r="R25" i="31"/>
  <c r="Z34" i="32"/>
  <c r="J15" i="34"/>
  <c r="L20" i="34"/>
  <c r="R20" i="35"/>
  <c r="V24" i="37"/>
  <c r="V31" i="37"/>
  <c r="V34" i="37"/>
  <c r="R36" i="37"/>
  <c r="V20" i="38"/>
  <c r="Z12" i="38"/>
  <c r="V24" i="38"/>
  <c r="V24" i="47"/>
  <c r="V31" i="47"/>
  <c r="V27" i="47"/>
  <c r="V34" i="47"/>
  <c r="L24" i="52"/>
  <c r="N24" i="52"/>
  <c r="L15" i="91"/>
  <c r="N15" i="91"/>
  <c r="L16" i="19"/>
  <c r="F24" i="19"/>
  <c r="L16" i="20"/>
  <c r="J18" i="20"/>
  <c r="V20" i="20"/>
  <c r="V21" i="20"/>
  <c r="X22" i="20"/>
  <c r="X24" i="20"/>
  <c r="J18" i="22"/>
  <c r="R20" i="22"/>
  <c r="R21" i="22"/>
  <c r="X24" i="22"/>
  <c r="F33" i="22"/>
  <c r="X13" i="23"/>
  <c r="X15" i="23"/>
  <c r="X16" i="23"/>
  <c r="L24" i="23"/>
  <c r="R18" i="25"/>
  <c r="V20" i="25"/>
  <c r="R21" i="25"/>
  <c r="R22" i="25"/>
  <c r="X15" i="26"/>
  <c r="J34" i="26"/>
  <c r="L13" i="28"/>
  <c r="V21" i="28"/>
  <c r="L34" i="28"/>
  <c r="X15" i="29"/>
  <c r="F21" i="29"/>
  <c r="L24" i="29"/>
  <c r="R18" i="31"/>
  <c r="L34" i="32"/>
  <c r="J36" i="32"/>
  <c r="N12" i="34"/>
  <c r="F20" i="34"/>
  <c r="F21" i="34"/>
  <c r="F27" i="34"/>
  <c r="F31" i="34"/>
  <c r="F15" i="35"/>
  <c r="D18" i="35"/>
  <c r="D27" i="35" s="1"/>
  <c r="D31" i="35" s="1"/>
  <c r="F24" i="37"/>
  <c r="L24" i="43"/>
  <c r="N24" i="43"/>
  <c r="X21" i="49"/>
  <c r="X16" i="19"/>
  <c r="J33" i="19"/>
  <c r="F20" i="22"/>
  <c r="X20" i="23"/>
  <c r="R21" i="23"/>
  <c r="X29" i="23"/>
  <c r="R15" i="25"/>
  <c r="V25" i="25"/>
  <c r="R33" i="25"/>
  <c r="V34" i="25"/>
  <c r="R18" i="26"/>
  <c r="L21" i="26"/>
  <c r="V24" i="26"/>
  <c r="R25" i="26"/>
  <c r="X34" i="26"/>
  <c r="V27" i="28"/>
  <c r="L16" i="29"/>
  <c r="F18" i="29"/>
  <c r="J24" i="29"/>
  <c r="F31" i="29"/>
  <c r="F34" i="29"/>
  <c r="R16" i="31"/>
  <c r="J25" i="32"/>
  <c r="X20" i="34"/>
  <c r="J22" i="34"/>
  <c r="L25" i="34"/>
  <c r="L29" i="34"/>
  <c r="L33" i="34"/>
  <c r="L20" i="35"/>
  <c r="F24" i="35"/>
  <c r="F29" i="35"/>
  <c r="L34" i="35"/>
  <c r="R36" i="35"/>
  <c r="X13" i="37"/>
  <c r="R15" i="37"/>
  <c r="L22" i="37"/>
  <c r="F22" i="40"/>
  <c r="F33" i="40"/>
  <c r="F29" i="40"/>
  <c r="F25" i="40"/>
  <c r="F36" i="40"/>
  <c r="F15" i="40"/>
  <c r="D18" i="40"/>
  <c r="D27" i="40" s="1"/>
  <c r="L12" i="40"/>
  <c r="X20" i="19"/>
  <c r="J25" i="20"/>
  <c r="V31" i="20"/>
  <c r="F15" i="22"/>
  <c r="R16" i="22"/>
  <c r="F21" i="22"/>
  <c r="F36" i="22"/>
  <c r="V29" i="23"/>
  <c r="V33" i="23"/>
  <c r="R16" i="25"/>
  <c r="R29" i="26"/>
  <c r="R33" i="26"/>
  <c r="J21" i="35"/>
  <c r="J25" i="35"/>
  <c r="Z21" i="38"/>
  <c r="X21" i="38"/>
  <c r="R36" i="43"/>
  <c r="R16" i="43"/>
  <c r="R24" i="43"/>
  <c r="R20" i="43"/>
  <c r="R18" i="43"/>
  <c r="R22" i="43"/>
  <c r="R21" i="43"/>
  <c r="L24" i="17"/>
  <c r="V16" i="19"/>
  <c r="V21" i="19"/>
  <c r="V24" i="19"/>
  <c r="J36" i="19"/>
  <c r="X15" i="20"/>
  <c r="J21" i="20"/>
  <c r="J22" i="20"/>
  <c r="J24" i="20"/>
  <c r="J29" i="20"/>
  <c r="F22" i="22"/>
  <c r="L24" i="22"/>
  <c r="F25" i="22"/>
  <c r="F27" i="22"/>
  <c r="V21" i="23"/>
  <c r="V22" i="23"/>
  <c r="V25" i="23"/>
  <c r="Z29" i="23"/>
  <c r="V36" i="23"/>
  <c r="V15" i="25"/>
  <c r="X16" i="25"/>
  <c r="V27" i="25"/>
  <c r="R36" i="25"/>
  <c r="J27" i="26"/>
  <c r="R36" i="26"/>
  <c r="X12" i="28"/>
  <c r="X13" i="28"/>
  <c r="V16" i="28"/>
  <c r="R33" i="28"/>
  <c r="V18" i="29"/>
  <c r="V20" i="29"/>
  <c r="X34" i="29"/>
  <c r="R20" i="31"/>
  <c r="R29" i="31"/>
  <c r="X22" i="32"/>
  <c r="J31" i="32"/>
  <c r="L16" i="34"/>
  <c r="L12" i="35"/>
  <c r="X16" i="35"/>
  <c r="J22" i="35"/>
  <c r="J24" i="35"/>
  <c r="X25" i="35"/>
  <c r="J29" i="35"/>
  <c r="J33" i="35"/>
  <c r="J34" i="35"/>
  <c r="J20" i="37"/>
  <c r="J27" i="37"/>
  <c r="J34" i="37"/>
  <c r="L24" i="40"/>
  <c r="N24" i="40"/>
  <c r="F20" i="92"/>
  <c r="F31" i="92"/>
  <c r="F27" i="92"/>
  <c r="F18" i="92"/>
  <c r="F34" i="92"/>
  <c r="Z29" i="17"/>
  <c r="H18" i="19"/>
  <c r="Z24" i="19"/>
  <c r="X33" i="19"/>
  <c r="V16" i="20"/>
  <c r="X20" i="20"/>
  <c r="N29" i="20"/>
  <c r="J15" i="22"/>
  <c r="D18" i="22"/>
  <c r="D27" i="22" s="1"/>
  <c r="D31" i="22" s="1"/>
  <c r="D36" i="22" s="1"/>
  <c r="J21" i="22"/>
  <c r="L22" i="22"/>
  <c r="F24" i="22"/>
  <c r="R18" i="23"/>
  <c r="R27" i="23"/>
  <c r="X12" i="25"/>
  <c r="V16" i="25"/>
  <c r="R20" i="25"/>
  <c r="L29" i="25"/>
  <c r="V31" i="25"/>
  <c r="J31" i="26"/>
  <c r="Z12" i="28"/>
  <c r="X16" i="28"/>
  <c r="V31" i="28"/>
  <c r="V34" i="28"/>
  <c r="F27" i="29"/>
  <c r="R22" i="31"/>
  <c r="L13" i="32"/>
  <c r="X20" i="32"/>
  <c r="J29" i="32"/>
  <c r="H18" i="34"/>
  <c r="F16" i="34"/>
  <c r="X34" i="34"/>
  <c r="N12" i="35"/>
  <c r="R16" i="35"/>
  <c r="R21" i="35"/>
  <c r="N22" i="35"/>
  <c r="X24" i="35"/>
  <c r="R25" i="35"/>
  <c r="L33" i="35"/>
  <c r="R22" i="37"/>
  <c r="R33" i="37"/>
  <c r="R29" i="37"/>
  <c r="R21" i="37"/>
  <c r="R20" i="37"/>
  <c r="R25" i="37"/>
  <c r="L16" i="37"/>
  <c r="L20" i="37"/>
  <c r="J21" i="37"/>
  <c r="L25" i="37"/>
  <c r="N25" i="37"/>
  <c r="J31" i="37"/>
  <c r="Z29" i="91"/>
  <c r="X29" i="91"/>
  <c r="X33" i="92"/>
  <c r="Z33" i="92"/>
  <c r="T18" i="93"/>
  <c r="T27" i="93" s="1"/>
  <c r="Z15" i="93"/>
  <c r="H18" i="38"/>
  <c r="H27" i="38" s="1"/>
  <c r="N27" i="38" s="1"/>
  <c r="X24" i="38"/>
  <c r="X33" i="40"/>
  <c r="J18" i="43"/>
  <c r="F15" i="44"/>
  <c r="L21" i="44"/>
  <c r="F20" i="46"/>
  <c r="R29" i="47"/>
  <c r="X33" i="47"/>
  <c r="R16" i="49"/>
  <c r="V27" i="49"/>
  <c r="V31" i="49"/>
  <c r="F34" i="49"/>
  <c r="J25" i="50"/>
  <c r="L13" i="52"/>
  <c r="R15" i="52"/>
  <c r="R16" i="52"/>
  <c r="L21" i="52"/>
  <c r="R25" i="52"/>
  <c r="V29" i="52"/>
  <c r="V36" i="52"/>
  <c r="F16" i="53"/>
  <c r="R18" i="53"/>
  <c r="L22" i="53"/>
  <c r="R29" i="53"/>
  <c r="J21" i="91"/>
  <c r="J31" i="91"/>
  <c r="R36" i="91"/>
  <c r="N12" i="92"/>
  <c r="J21" i="92"/>
  <c r="V31" i="92"/>
  <c r="J36" i="92"/>
  <c r="L15" i="93"/>
  <c r="H18" i="93"/>
  <c r="H27" i="93" s="1"/>
  <c r="L21" i="93"/>
  <c r="L24" i="93"/>
  <c r="F16" i="38"/>
  <c r="J18" i="38"/>
  <c r="V15" i="40"/>
  <c r="V34" i="40"/>
  <c r="R15" i="41"/>
  <c r="V16" i="41"/>
  <c r="R20" i="41"/>
  <c r="L33" i="41"/>
  <c r="F22" i="44"/>
  <c r="X33" i="44"/>
  <c r="R15" i="46"/>
  <c r="R16" i="46"/>
  <c r="L22" i="46"/>
  <c r="F31" i="46"/>
  <c r="F34" i="46"/>
  <c r="X15" i="47"/>
  <c r="P18" i="47"/>
  <c r="P27" i="47" s="1"/>
  <c r="L21" i="47"/>
  <c r="F27" i="47"/>
  <c r="R33" i="47"/>
  <c r="R15" i="49"/>
  <c r="F24" i="49"/>
  <c r="H18" i="50"/>
  <c r="H27" i="50" s="1"/>
  <c r="F24" i="50"/>
  <c r="J29" i="50"/>
  <c r="F34" i="50"/>
  <c r="J20" i="52"/>
  <c r="X24" i="52"/>
  <c r="J31" i="52"/>
  <c r="R16" i="91"/>
  <c r="L34" i="91"/>
  <c r="X16" i="92"/>
  <c r="X20" i="92"/>
  <c r="J22" i="92"/>
  <c r="R24" i="92"/>
  <c r="J29" i="92"/>
  <c r="L33" i="92"/>
  <c r="X29" i="37"/>
  <c r="J15" i="38"/>
  <c r="L20" i="38"/>
  <c r="F22" i="38"/>
  <c r="L24" i="38"/>
  <c r="Z24" i="38"/>
  <c r="R31" i="38"/>
  <c r="R21" i="40"/>
  <c r="V25" i="40"/>
  <c r="V29" i="40"/>
  <c r="V33" i="40"/>
  <c r="X24" i="41"/>
  <c r="V18" i="43"/>
  <c r="F31" i="43"/>
  <c r="F34" i="43"/>
  <c r="X16" i="46"/>
  <c r="F22" i="46"/>
  <c r="F24" i="46"/>
  <c r="F27" i="46"/>
  <c r="L33" i="46"/>
  <c r="R15" i="47"/>
  <c r="R18" i="47"/>
  <c r="J21" i="47"/>
  <c r="J27" i="47"/>
  <c r="F31" i="47"/>
  <c r="J18" i="49"/>
  <c r="D18" i="50"/>
  <c r="D27" i="50" s="1"/>
  <c r="J18" i="50"/>
  <c r="F21" i="50"/>
  <c r="J33" i="50"/>
  <c r="X13" i="52"/>
  <c r="V15" i="52"/>
  <c r="R24" i="52"/>
  <c r="V25" i="52"/>
  <c r="R25" i="53"/>
  <c r="J22" i="91"/>
  <c r="F20" i="38"/>
  <c r="F21" i="38"/>
  <c r="F24" i="38"/>
  <c r="X12" i="40"/>
  <c r="P18" i="40"/>
  <c r="V22" i="40"/>
  <c r="V27" i="40"/>
  <c r="V31" i="40"/>
  <c r="X12" i="41"/>
  <c r="V20" i="41"/>
  <c r="X21" i="41"/>
  <c r="R22" i="41"/>
  <c r="R24" i="41"/>
  <c r="X34" i="41"/>
  <c r="Z20" i="43"/>
  <c r="L22" i="43"/>
  <c r="F27" i="43"/>
  <c r="X15" i="44"/>
  <c r="R21" i="44"/>
  <c r="V25" i="44"/>
  <c r="V29" i="44"/>
  <c r="V33" i="44"/>
  <c r="V16" i="46"/>
  <c r="L29" i="46"/>
  <c r="F33" i="46"/>
  <c r="L20" i="47"/>
  <c r="J31" i="47"/>
  <c r="L34" i="47"/>
  <c r="L20" i="49"/>
  <c r="J24" i="49"/>
  <c r="F15" i="50"/>
  <c r="R20" i="52"/>
  <c r="R22" i="53"/>
  <c r="N12" i="91"/>
  <c r="R21" i="91"/>
  <c r="L33" i="91"/>
  <c r="J34" i="91"/>
  <c r="X12" i="92"/>
  <c r="V16" i="92"/>
  <c r="V20" i="92"/>
  <c r="X22" i="92"/>
  <c r="X24" i="92"/>
  <c r="X25" i="92"/>
  <c r="J33" i="92"/>
  <c r="L13" i="93"/>
  <c r="J15" i="93"/>
  <c r="L20" i="93"/>
  <c r="X21" i="93"/>
  <c r="L33" i="93"/>
  <c r="X33" i="37"/>
  <c r="L22" i="38"/>
  <c r="R18" i="40"/>
  <c r="V21" i="40"/>
  <c r="L25" i="40"/>
  <c r="L29" i="40"/>
  <c r="L33" i="40"/>
  <c r="V36" i="40"/>
  <c r="P18" i="41"/>
  <c r="P27" i="41" s="1"/>
  <c r="R33" i="41"/>
  <c r="L12" i="43"/>
  <c r="X13" i="43"/>
  <c r="X16" i="43"/>
  <c r="F20" i="43"/>
  <c r="F22" i="43"/>
  <c r="F33" i="43"/>
  <c r="X13" i="44"/>
  <c r="F36" i="44"/>
  <c r="X12" i="46"/>
  <c r="L15" i="46"/>
  <c r="L16" i="46"/>
  <c r="R20" i="46"/>
  <c r="X21" i="46"/>
  <c r="X22" i="46"/>
  <c r="J24" i="46"/>
  <c r="L25" i="46"/>
  <c r="F29" i="46"/>
  <c r="X21" i="47"/>
  <c r="L29" i="47"/>
  <c r="F34" i="47"/>
  <c r="R36" i="47"/>
  <c r="L16" i="49"/>
  <c r="F20" i="49"/>
  <c r="J21" i="49"/>
  <c r="L16" i="50"/>
  <c r="F20" i="50"/>
  <c r="J21" i="50"/>
  <c r="X29" i="50"/>
  <c r="P18" i="52"/>
  <c r="R21" i="52"/>
  <c r="V22" i="52"/>
  <c r="R15" i="53"/>
  <c r="V16" i="53"/>
  <c r="X15" i="91"/>
  <c r="J18" i="91"/>
  <c r="X20" i="91"/>
  <c r="X22" i="91"/>
  <c r="R25" i="91"/>
  <c r="Z12" i="92"/>
  <c r="V21" i="92"/>
  <c r="J24" i="38"/>
  <c r="J29" i="38"/>
  <c r="J33" i="38"/>
  <c r="L13" i="40"/>
  <c r="T18" i="40"/>
  <c r="Z12" i="41"/>
  <c r="R18" i="41"/>
  <c r="V22" i="41"/>
  <c r="R36" i="41"/>
  <c r="L21" i="43"/>
  <c r="F24" i="43"/>
  <c r="F29" i="43"/>
  <c r="X34" i="43"/>
  <c r="V36" i="44"/>
  <c r="L16" i="47"/>
  <c r="L33" i="47"/>
  <c r="X25" i="49"/>
  <c r="X29" i="49"/>
  <c r="X33" i="49"/>
  <c r="L13" i="50"/>
  <c r="J15" i="50"/>
  <c r="F16" i="50"/>
  <c r="X33" i="50"/>
  <c r="J36" i="50"/>
  <c r="L15" i="52"/>
  <c r="R18" i="52"/>
  <c r="L25" i="52"/>
  <c r="R33" i="52"/>
  <c r="V20" i="53"/>
  <c r="X21" i="53"/>
  <c r="V22" i="53"/>
  <c r="L29" i="53"/>
  <c r="X33" i="53"/>
  <c r="R29" i="91"/>
  <c r="X34" i="91"/>
  <c r="H18" i="92"/>
  <c r="H27" i="92" s="1"/>
  <c r="L16" i="92"/>
  <c r="V18" i="92"/>
  <c r="L21" i="92"/>
  <c r="L25" i="92"/>
  <c r="X15" i="93"/>
  <c r="X16" i="93"/>
  <c r="L29" i="93"/>
  <c r="L34" i="37"/>
  <c r="R22" i="38"/>
  <c r="R16" i="41"/>
  <c r="F22" i="41"/>
  <c r="R29" i="41"/>
  <c r="F15" i="43"/>
  <c r="F18" i="43"/>
  <c r="F36" i="43"/>
  <c r="F21" i="44"/>
  <c r="Z20" i="46"/>
  <c r="V22" i="46"/>
  <c r="R24" i="46"/>
  <c r="X12" i="47"/>
  <c r="R25" i="47"/>
  <c r="R20" i="49"/>
  <c r="F27" i="49"/>
  <c r="F31" i="49"/>
  <c r="F31" i="50"/>
  <c r="V33" i="52"/>
  <c r="R36" i="52"/>
  <c r="P18" i="53"/>
  <c r="R36" i="53"/>
  <c r="J25" i="92"/>
  <c r="N57" i="3"/>
  <c r="F171" i="3"/>
  <c r="F161" i="3"/>
  <c r="F145" i="3"/>
  <c r="F138" i="3"/>
  <c r="F130" i="3"/>
  <c r="F125" i="3"/>
  <c r="F113" i="3"/>
  <c r="F110" i="3"/>
  <c r="F105" i="3"/>
  <c r="F102" i="3"/>
  <c r="F98" i="3"/>
  <c r="F93" i="3"/>
  <c r="F90" i="3"/>
  <c r="F86" i="3"/>
  <c r="F81" i="3"/>
  <c r="F78" i="3"/>
  <c r="F70" i="3"/>
  <c r="F66" i="3"/>
  <c r="F58" i="3"/>
  <c r="F50" i="3"/>
  <c r="F42" i="3"/>
  <c r="F34" i="3"/>
  <c r="F26" i="3"/>
  <c r="F172" i="3"/>
  <c r="F118" i="3"/>
  <c r="F114" i="3"/>
  <c r="F46" i="3"/>
  <c r="F158" i="3"/>
  <c r="F148" i="3"/>
  <c r="F137" i="3"/>
  <c r="F133" i="3"/>
  <c r="F129" i="3"/>
  <c r="F120" i="3"/>
  <c r="F101" i="3"/>
  <c r="F89" i="3"/>
  <c r="F77" i="3"/>
  <c r="F69" i="3"/>
  <c r="F65" i="3"/>
  <c r="F56" i="3"/>
  <c r="F49" i="3"/>
  <c r="F41" i="3"/>
  <c r="F33" i="3"/>
  <c r="F25" i="3"/>
  <c r="F47" i="3"/>
  <c r="F31" i="3"/>
  <c r="F38" i="3"/>
  <c r="F30" i="3"/>
  <c r="F163" i="3"/>
  <c r="F144" i="3"/>
  <c r="F136" i="3"/>
  <c r="F132" i="3"/>
  <c r="F128" i="3"/>
  <c r="F124" i="3"/>
  <c r="F115" i="3"/>
  <c r="F112" i="3"/>
  <c r="F107" i="3"/>
  <c r="F104" i="3"/>
  <c r="F95" i="3"/>
  <c r="F92" i="3"/>
  <c r="F83" i="3"/>
  <c r="F80" i="3"/>
  <c r="F76" i="3"/>
  <c r="F64" i="3"/>
  <c r="F48" i="3"/>
  <c r="F40" i="3"/>
  <c r="F32" i="3"/>
  <c r="F24" i="3"/>
  <c r="F146" i="3"/>
  <c r="F106" i="3"/>
  <c r="F160" i="3"/>
  <c r="F154" i="3"/>
  <c r="F150" i="3"/>
  <c r="F147" i="3"/>
  <c r="F143" i="3"/>
  <c r="F135" i="3"/>
  <c r="F127" i="3"/>
  <c r="F123" i="3"/>
  <c r="F119" i="3"/>
  <c r="F75" i="3"/>
  <c r="F63" i="3"/>
  <c r="F57" i="3"/>
  <c r="L12" i="3"/>
  <c r="F167" i="3"/>
  <c r="F162" i="3"/>
  <c r="F153" i="3"/>
  <c r="F149" i="3"/>
  <c r="F141" i="3"/>
  <c r="F121" i="3"/>
  <c r="F117" i="3"/>
  <c r="F100" i="3"/>
  <c r="F88" i="3"/>
  <c r="F73" i="3"/>
  <c r="F68" i="3"/>
  <c r="F61" i="3"/>
  <c r="F45" i="3"/>
  <c r="F37" i="3"/>
  <c r="F29" i="3"/>
  <c r="F82" i="3"/>
  <c r="F62" i="3"/>
  <c r="F159" i="3"/>
  <c r="F152" i="3"/>
  <c r="F140" i="3"/>
  <c r="F131" i="3"/>
  <c r="F116" i="3"/>
  <c r="F111" i="3"/>
  <c r="F108" i="3"/>
  <c r="F103" i="3"/>
  <c r="F96" i="3"/>
  <c r="F91" i="3"/>
  <c r="F84" i="3"/>
  <c r="F79" i="3"/>
  <c r="F72" i="3"/>
  <c r="F60" i="3"/>
  <c r="D54" i="3"/>
  <c r="F52" i="3"/>
  <c r="F44" i="3"/>
  <c r="F36" i="3"/>
  <c r="F28" i="3"/>
  <c r="F23" i="3"/>
  <c r="F39" i="3"/>
  <c r="F142" i="3"/>
  <c r="F126" i="3"/>
  <c r="F122" i="3"/>
  <c r="F109" i="3"/>
  <c r="F97" i="3"/>
  <c r="F74" i="3"/>
  <c r="F155" i="3"/>
  <c r="F151" i="3"/>
  <c r="F139" i="3"/>
  <c r="F134" i="3"/>
  <c r="F99" i="3"/>
  <c r="F87" i="3"/>
  <c r="F71" i="3"/>
  <c r="F67" i="3"/>
  <c r="F59" i="3"/>
  <c r="F51" i="3"/>
  <c r="F43" i="3"/>
  <c r="F35" i="3"/>
  <c r="F27" i="3"/>
  <c r="F94" i="3"/>
  <c r="F85" i="3"/>
  <c r="Z46" i="9"/>
  <c r="N48" i="9"/>
  <c r="D26" i="6"/>
  <c r="L22" i="6"/>
  <c r="Z18" i="9"/>
  <c r="H26" i="6"/>
  <c r="N22" i="6"/>
  <c r="N51" i="9"/>
  <c r="N97" i="3"/>
  <c r="N100" i="3"/>
  <c r="N109" i="3"/>
  <c r="Z115" i="3"/>
  <c r="Z120" i="3"/>
  <c r="D27" i="5"/>
  <c r="P22" i="6"/>
  <c r="Z56" i="3"/>
  <c r="Z83" i="3"/>
  <c r="H95" i="9"/>
  <c r="N16" i="9"/>
  <c r="N18" i="9"/>
  <c r="Z85" i="9"/>
  <c r="N63" i="9"/>
  <c r="Z154" i="3"/>
  <c r="P95" i="9"/>
  <c r="X16" i="9"/>
  <c r="N31" i="9"/>
  <c r="J68" i="3"/>
  <c r="J24" i="3"/>
  <c r="V28" i="3"/>
  <c r="J26" i="3"/>
  <c r="V30" i="3"/>
  <c r="J34" i="3"/>
  <c r="V38" i="3"/>
  <c r="J42" i="3"/>
  <c r="V46" i="3"/>
  <c r="J50" i="3"/>
  <c r="J56" i="3"/>
  <c r="J58" i="3"/>
  <c r="V62" i="3"/>
  <c r="J66" i="3"/>
  <c r="J70" i="3"/>
  <c r="V74" i="3"/>
  <c r="J78" i="3"/>
  <c r="V82" i="3"/>
  <c r="J86" i="3"/>
  <c r="J90" i="3"/>
  <c r="V94" i="3"/>
  <c r="J98" i="3"/>
  <c r="J102" i="3"/>
  <c r="V106" i="3"/>
  <c r="J110" i="3"/>
  <c r="V114" i="3"/>
  <c r="V118" i="3"/>
  <c r="J120" i="3"/>
  <c r="V122" i="3"/>
  <c r="V126" i="3"/>
  <c r="J130" i="3"/>
  <c r="V134" i="3"/>
  <c r="J138" i="3"/>
  <c r="V142" i="3"/>
  <c r="V146" i="3"/>
  <c r="J148" i="3"/>
  <c r="D157" i="3"/>
  <c r="L157" i="3" s="1"/>
  <c r="N157" i="3" s="1"/>
  <c r="J161" i="3"/>
  <c r="V162" i="3"/>
  <c r="H165" i="3"/>
  <c r="N13" i="4"/>
  <c r="J15" i="4"/>
  <c r="H18" i="4"/>
  <c r="F21" i="4"/>
  <c r="V21" i="4"/>
  <c r="J25" i="4"/>
  <c r="R27" i="4"/>
  <c r="J29" i="4"/>
  <c r="R31" i="4"/>
  <c r="J33" i="4"/>
  <c r="R34" i="4"/>
  <c r="J36" i="4"/>
  <c r="N12" i="5"/>
  <c r="V18" i="5"/>
  <c r="J22" i="5"/>
  <c r="R24" i="5"/>
  <c r="N12" i="6"/>
  <c r="J14" i="6"/>
  <c r="R16" i="6"/>
  <c r="J18" i="6"/>
  <c r="R20" i="6"/>
  <c r="J22" i="6"/>
  <c r="R26" i="6"/>
  <c r="J28" i="6"/>
  <c r="R29" i="6"/>
  <c r="J31" i="6"/>
  <c r="R16" i="7"/>
  <c r="J18" i="7"/>
  <c r="R20" i="7"/>
  <c r="F24" i="7"/>
  <c r="V24" i="7"/>
  <c r="N13" i="8"/>
  <c r="F21" i="8"/>
  <c r="V21" i="8"/>
  <c r="R27" i="8"/>
  <c r="R31" i="8"/>
  <c r="R34" i="8"/>
  <c r="D16" i="9"/>
  <c r="T16" i="9"/>
  <c r="R19" i="9"/>
  <c r="F22" i="9"/>
  <c r="V25" i="9"/>
  <c r="R26" i="9"/>
  <c r="F30" i="9"/>
  <c r="R31" i="9"/>
  <c r="F34" i="9"/>
  <c r="V37" i="9"/>
  <c r="R38" i="9"/>
  <c r="V45" i="9"/>
  <c r="F50" i="9"/>
  <c r="R51" i="9"/>
  <c r="F53" i="9"/>
  <c r="V53" i="9"/>
  <c r="R54" i="9"/>
  <c r="F58" i="9"/>
  <c r="R59" i="9"/>
  <c r="F61" i="9"/>
  <c r="V61" i="9"/>
  <c r="R62" i="9"/>
  <c r="J63" i="9"/>
  <c r="V65" i="9"/>
  <c r="R66" i="9"/>
  <c r="V69" i="9"/>
  <c r="R70" i="9"/>
  <c r="F73" i="9"/>
  <c r="V73" i="9"/>
  <c r="R74" i="9"/>
  <c r="V77" i="9"/>
  <c r="V81" i="9"/>
  <c r="R82" i="9"/>
  <c r="F85" i="9"/>
  <c r="V85" i="9"/>
  <c r="R86" i="9"/>
  <c r="V89" i="9"/>
  <c r="R93" i="9"/>
  <c r="J95" i="9"/>
  <c r="R99" i="9"/>
  <c r="J102" i="9"/>
  <c r="R16" i="10"/>
  <c r="J18" i="10"/>
  <c r="R20" i="10"/>
  <c r="F24" i="10"/>
  <c r="V24" i="10"/>
  <c r="R34" i="11"/>
  <c r="R31" i="11"/>
  <c r="R27" i="11"/>
  <c r="R24" i="11"/>
  <c r="L21" i="11"/>
  <c r="L22" i="11"/>
  <c r="F25" i="11"/>
  <c r="R29" i="11"/>
  <c r="R36" i="11"/>
  <c r="N92" i="12"/>
  <c r="Z98" i="12"/>
  <c r="N116" i="12"/>
  <c r="L138" i="12"/>
  <c r="N138" i="12" s="1"/>
  <c r="D137" i="12"/>
  <c r="L137" i="12" s="1"/>
  <c r="N137" i="12" s="1"/>
  <c r="L104" i="15"/>
  <c r="N104" i="15" s="1"/>
  <c r="P133" i="15"/>
  <c r="X133" i="15" s="1"/>
  <c r="Z133" i="15" s="1"/>
  <c r="Z24" i="17"/>
  <c r="X24" i="17"/>
  <c r="R82" i="18"/>
  <c r="X33" i="23"/>
  <c r="Z33" i="23"/>
  <c r="Z16" i="26"/>
  <c r="X16" i="26"/>
  <c r="V23" i="3"/>
  <c r="J27" i="3"/>
  <c r="V31" i="3"/>
  <c r="J35" i="3"/>
  <c r="V39" i="3"/>
  <c r="J43" i="3"/>
  <c r="V47" i="3"/>
  <c r="J51" i="3"/>
  <c r="T54" i="3"/>
  <c r="V54" i="3" s="1"/>
  <c r="J59" i="3"/>
  <c r="V63" i="3"/>
  <c r="J67" i="3"/>
  <c r="J71" i="3"/>
  <c r="V75" i="3"/>
  <c r="V79" i="3"/>
  <c r="J81" i="3"/>
  <c r="J87" i="3"/>
  <c r="V91" i="3"/>
  <c r="J93" i="3"/>
  <c r="J99" i="3"/>
  <c r="V103" i="3"/>
  <c r="J105" i="3"/>
  <c r="V111" i="3"/>
  <c r="J113" i="3"/>
  <c r="V119" i="3"/>
  <c r="V123" i="3"/>
  <c r="J125" i="3"/>
  <c r="V127" i="3"/>
  <c r="V131" i="3"/>
  <c r="V135" i="3"/>
  <c r="J139" i="3"/>
  <c r="V143" i="3"/>
  <c r="J145" i="3"/>
  <c r="V147" i="3"/>
  <c r="J151" i="3"/>
  <c r="J155" i="3"/>
  <c r="V157" i="3"/>
  <c r="J165" i="3"/>
  <c r="J171" i="3"/>
  <c r="F24" i="4"/>
  <c r="V24" i="4"/>
  <c r="J15" i="5"/>
  <c r="H18" i="5"/>
  <c r="V21" i="5"/>
  <c r="J25" i="5"/>
  <c r="R27" i="5"/>
  <c r="J29" i="5"/>
  <c r="R31" i="5"/>
  <c r="J33" i="5"/>
  <c r="R34" i="5"/>
  <c r="J36" i="5"/>
  <c r="T16" i="6"/>
  <c r="J21" i="7"/>
  <c r="F27" i="7"/>
  <c r="F31" i="7"/>
  <c r="F34" i="7"/>
  <c r="F24" i="8"/>
  <c r="V24" i="8"/>
  <c r="N14" i="9"/>
  <c r="F16" i="9"/>
  <c r="V16" i="9"/>
  <c r="F23" i="9"/>
  <c r="V26" i="9"/>
  <c r="F35" i="9"/>
  <c r="V38" i="9"/>
  <c r="F42" i="9"/>
  <c r="V42" i="9"/>
  <c r="R43" i="9"/>
  <c r="F47" i="9"/>
  <c r="R48" i="9"/>
  <c r="X53" i="9"/>
  <c r="Z53" i="9" s="1"/>
  <c r="V54" i="9"/>
  <c r="L55" i="9"/>
  <c r="N55" i="9" s="1"/>
  <c r="X61" i="9"/>
  <c r="Z61" i="9" s="1"/>
  <c r="V62" i="9"/>
  <c r="L63" i="9"/>
  <c r="V66" i="9"/>
  <c r="R67" i="9"/>
  <c r="V70" i="9"/>
  <c r="R71" i="9"/>
  <c r="X73" i="9"/>
  <c r="Z73" i="9" s="1"/>
  <c r="V74" i="9"/>
  <c r="R75" i="9"/>
  <c r="F79" i="9"/>
  <c r="V82" i="9"/>
  <c r="R83" i="9"/>
  <c r="X85" i="9"/>
  <c r="V86" i="9"/>
  <c r="R87" i="9"/>
  <c r="J88" i="9"/>
  <c r="F91" i="9"/>
  <c r="F97" i="9"/>
  <c r="X12" i="10"/>
  <c r="J21" i="10"/>
  <c r="X24" i="10"/>
  <c r="F27" i="10"/>
  <c r="V27" i="10"/>
  <c r="F31" i="10"/>
  <c r="V31" i="10"/>
  <c r="F34" i="10"/>
  <c r="V34" i="10"/>
  <c r="V34" i="11"/>
  <c r="V21" i="11"/>
  <c r="L15" i="11"/>
  <c r="R16" i="11"/>
  <c r="F20" i="11"/>
  <c r="V20" i="11"/>
  <c r="F22" i="11"/>
  <c r="X22" i="11"/>
  <c r="F27" i="11"/>
  <c r="V36" i="11"/>
  <c r="N46" i="12"/>
  <c r="Z74" i="12"/>
  <c r="X84" i="12"/>
  <c r="Z84" i="12" s="1"/>
  <c r="L86" i="12"/>
  <c r="N86" i="12" s="1"/>
  <c r="N100" i="12"/>
  <c r="P137" i="12"/>
  <c r="X137" i="12" s="1"/>
  <c r="Z137" i="12" s="1"/>
  <c r="N34" i="13"/>
  <c r="L34" i="13"/>
  <c r="N109" i="15"/>
  <c r="Z126" i="15"/>
  <c r="X126" i="15"/>
  <c r="R24" i="17"/>
  <c r="R21" i="17"/>
  <c r="R18" i="17"/>
  <c r="R36" i="17"/>
  <c r="R33" i="17"/>
  <c r="R29" i="17"/>
  <c r="R25" i="17"/>
  <c r="P18" i="17"/>
  <c r="R15" i="17"/>
  <c r="R22" i="17"/>
  <c r="X12" i="17"/>
  <c r="R20" i="17"/>
  <c r="R16" i="17"/>
  <c r="R34" i="17"/>
  <c r="R41" i="18"/>
  <c r="D12" i="24"/>
  <c r="L13" i="24"/>
  <c r="N13" i="24" s="1"/>
  <c r="L42" i="24"/>
  <c r="N42" i="24" s="1"/>
  <c r="J28" i="3"/>
  <c r="J36" i="3"/>
  <c r="V40" i="3"/>
  <c r="J44" i="3"/>
  <c r="V48" i="3"/>
  <c r="J52" i="3"/>
  <c r="J60" i="3"/>
  <c r="V64" i="3"/>
  <c r="V68" i="3"/>
  <c r="J72" i="3"/>
  <c r="V76" i="3"/>
  <c r="V80" i="3"/>
  <c r="J84" i="3"/>
  <c r="V88" i="3"/>
  <c r="V92" i="3"/>
  <c r="J96" i="3"/>
  <c r="V100" i="3"/>
  <c r="V104" i="3"/>
  <c r="J108" i="3"/>
  <c r="V112" i="3"/>
  <c r="J116" i="3"/>
  <c r="V124" i="3"/>
  <c r="V128" i="3"/>
  <c r="V132" i="3"/>
  <c r="J134" i="3"/>
  <c r="V136" i="3"/>
  <c r="J140" i="3"/>
  <c r="V144" i="3"/>
  <c r="J152" i="3"/>
  <c r="J159" i="3"/>
  <c r="V160" i="3"/>
  <c r="F27" i="4"/>
  <c r="V27" i="4"/>
  <c r="F31" i="4"/>
  <c r="V31" i="4"/>
  <c r="F34" i="4"/>
  <c r="V34" i="4"/>
  <c r="V24" i="5"/>
  <c r="V16" i="6"/>
  <c r="V20" i="6"/>
  <c r="V26" i="6"/>
  <c r="V29" i="6"/>
  <c r="F16" i="7"/>
  <c r="F20" i="7"/>
  <c r="J24" i="7"/>
  <c r="F27" i="8"/>
  <c r="V27" i="8"/>
  <c r="F31" i="8"/>
  <c r="V31" i="8"/>
  <c r="F34" i="8"/>
  <c r="V34" i="8"/>
  <c r="F19" i="9"/>
  <c r="V19" i="9"/>
  <c r="F24" i="9"/>
  <c r="V27" i="9"/>
  <c r="F31" i="9"/>
  <c r="V31" i="9"/>
  <c r="F36" i="9"/>
  <c r="V39" i="9"/>
  <c r="V43" i="9"/>
  <c r="F51" i="9"/>
  <c r="V51" i="9"/>
  <c r="R52" i="9"/>
  <c r="F56" i="9"/>
  <c r="R57" i="9"/>
  <c r="F59" i="9"/>
  <c r="V59" i="9"/>
  <c r="R60" i="9"/>
  <c r="F64" i="9"/>
  <c r="V67" i="9"/>
  <c r="V71" i="9"/>
  <c r="R72" i="9"/>
  <c r="V75" i="9"/>
  <c r="J79" i="9"/>
  <c r="F80" i="9"/>
  <c r="V83" i="9"/>
  <c r="R84" i="9"/>
  <c r="J85" i="9"/>
  <c r="V87" i="9"/>
  <c r="J91" i="9"/>
  <c r="F93" i="9"/>
  <c r="V93" i="9"/>
  <c r="J97" i="9"/>
  <c r="F99" i="9"/>
  <c r="V99" i="9"/>
  <c r="F16" i="10"/>
  <c r="F20" i="10"/>
  <c r="R22" i="10"/>
  <c r="J24" i="10"/>
  <c r="V29" i="11"/>
  <c r="N80" i="12"/>
  <c r="N76" i="15"/>
  <c r="L76" i="15"/>
  <c r="Z104" i="15"/>
  <c r="N130" i="15"/>
  <c r="H27" i="17"/>
  <c r="N18" i="17"/>
  <c r="L87" i="18"/>
  <c r="N87" i="18" s="1"/>
  <c r="L33" i="20"/>
  <c r="N33" i="20"/>
  <c r="F36" i="26"/>
  <c r="F33" i="26"/>
  <c r="F29" i="26"/>
  <c r="F25" i="26"/>
  <c r="D18" i="26"/>
  <c r="F15" i="26"/>
  <c r="L12" i="26"/>
  <c r="F22" i="26"/>
  <c r="F20" i="26"/>
  <c r="F16" i="26"/>
  <c r="F21" i="26"/>
  <c r="F18" i="26"/>
  <c r="F34" i="26"/>
  <c r="F27" i="26"/>
  <c r="F24" i="26"/>
  <c r="F31" i="26"/>
  <c r="L134" i="12"/>
  <c r="N134" i="12" s="1"/>
  <c r="Z20" i="14"/>
  <c r="X20" i="14"/>
  <c r="H139" i="15"/>
  <c r="N21" i="16"/>
  <c r="L21" i="16"/>
  <c r="X62" i="18"/>
  <c r="Z62" i="18" s="1"/>
  <c r="J54" i="3"/>
  <c r="J62" i="3"/>
  <c r="V70" i="3"/>
  <c r="J74" i="3"/>
  <c r="V78" i="3"/>
  <c r="J82" i="3"/>
  <c r="V86" i="3"/>
  <c r="J88" i="3"/>
  <c r="V90" i="3"/>
  <c r="J94" i="3"/>
  <c r="V98" i="3"/>
  <c r="J100" i="3"/>
  <c r="V102" i="3"/>
  <c r="J106" i="3"/>
  <c r="V110" i="3"/>
  <c r="J114" i="3"/>
  <c r="J118" i="3"/>
  <c r="J122" i="3"/>
  <c r="J126" i="3"/>
  <c r="V130" i="3"/>
  <c r="V138" i="3"/>
  <c r="J142" i="3"/>
  <c r="J146" i="3"/>
  <c r="V150" i="3"/>
  <c r="V154" i="3"/>
  <c r="V158" i="3"/>
  <c r="P18" i="4"/>
  <c r="X13" i="5"/>
  <c r="J16" i="7"/>
  <c r="J20" i="7"/>
  <c r="F22" i="7"/>
  <c r="P18" i="8"/>
  <c r="F26" i="9"/>
  <c r="V29" i="9"/>
  <c r="V33" i="9"/>
  <c r="F38" i="9"/>
  <c r="V41" i="9"/>
  <c r="V49" i="9"/>
  <c r="R50" i="9"/>
  <c r="F54" i="9"/>
  <c r="R55" i="9"/>
  <c r="F57" i="9"/>
  <c r="V57" i="9"/>
  <c r="R58" i="9"/>
  <c r="F62" i="9"/>
  <c r="R63" i="9"/>
  <c r="F66" i="9"/>
  <c r="F70" i="9"/>
  <c r="F74" i="9"/>
  <c r="F82" i="9"/>
  <c r="F86" i="9"/>
  <c r="J89" i="9"/>
  <c r="J93" i="9"/>
  <c r="R95" i="9"/>
  <c r="J99" i="9"/>
  <c r="R102" i="9"/>
  <c r="J16" i="10"/>
  <c r="R18" i="10"/>
  <c r="J20" i="10"/>
  <c r="F22" i="10"/>
  <c r="L34" i="10"/>
  <c r="F34" i="11"/>
  <c r="F21" i="11"/>
  <c r="F24" i="11"/>
  <c r="X25" i="11"/>
  <c r="Z70" i="12"/>
  <c r="N72" i="12"/>
  <c r="Z16" i="14"/>
  <c r="X16" i="14"/>
  <c r="L88" i="15"/>
  <c r="N88" i="15" s="1"/>
  <c r="X130" i="15"/>
  <c r="Z130" i="15" s="1"/>
  <c r="R27" i="17"/>
  <c r="R134" i="18"/>
  <c r="R130" i="18"/>
  <c r="R126" i="18"/>
  <c r="R118" i="18"/>
  <c r="R114" i="18"/>
  <c r="R102" i="18"/>
  <c r="R99" i="18"/>
  <c r="R90" i="18"/>
  <c r="R87" i="18"/>
  <c r="R78" i="18"/>
  <c r="R75" i="18"/>
  <c r="R66" i="18"/>
  <c r="R54" i="18"/>
  <c r="R46" i="18"/>
  <c r="R38" i="18"/>
  <c r="R30" i="18"/>
  <c r="R22" i="18"/>
  <c r="R143" i="18"/>
  <c r="R137" i="18"/>
  <c r="R133" i="18"/>
  <c r="R125" i="18"/>
  <c r="R121" i="18"/>
  <c r="R117" i="18"/>
  <c r="R113" i="18"/>
  <c r="R109" i="18"/>
  <c r="R93" i="18"/>
  <c r="R81" i="18"/>
  <c r="R65" i="18"/>
  <c r="R61" i="18"/>
  <c r="R53" i="18"/>
  <c r="R50" i="18"/>
  <c r="R45" i="18"/>
  <c r="R37" i="18"/>
  <c r="R29" i="18"/>
  <c r="R21" i="18"/>
  <c r="R145" i="18"/>
  <c r="R136" i="18"/>
  <c r="R132" i="18"/>
  <c r="R123" i="18"/>
  <c r="R111" i="18"/>
  <c r="R107" i="18"/>
  <c r="R95" i="18"/>
  <c r="R83" i="18"/>
  <c r="R71" i="18"/>
  <c r="R63" i="18"/>
  <c r="R59" i="18"/>
  <c r="R43" i="18"/>
  <c r="R35" i="18"/>
  <c r="R27" i="18"/>
  <c r="R144" i="18"/>
  <c r="R128" i="18"/>
  <c r="R105" i="18"/>
  <c r="R100" i="18"/>
  <c r="R97" i="18"/>
  <c r="R88" i="18"/>
  <c r="R85" i="18"/>
  <c r="R76" i="18"/>
  <c r="R73" i="18"/>
  <c r="R68" i="18"/>
  <c r="R56" i="18"/>
  <c r="P48" i="18"/>
  <c r="R40" i="18"/>
  <c r="R32" i="18"/>
  <c r="R24" i="18"/>
  <c r="R149" i="18"/>
  <c r="R141" i="18"/>
  <c r="R135" i="18"/>
  <c r="R131" i="18"/>
  <c r="R127" i="18"/>
  <c r="R67" i="18"/>
  <c r="R55" i="18"/>
  <c r="R39" i="18"/>
  <c r="R31" i="18"/>
  <c r="R23" i="18"/>
  <c r="R108" i="18"/>
  <c r="R91" i="18"/>
  <c r="R69" i="18"/>
  <c r="R62" i="18"/>
  <c r="R57" i="18"/>
  <c r="R42" i="18"/>
  <c r="R26" i="18"/>
  <c r="R140" i="18"/>
  <c r="R119" i="18"/>
  <c r="R104" i="18"/>
  <c r="R96" i="18"/>
  <c r="R70" i="18"/>
  <c r="R58" i="18"/>
  <c r="R48" i="18"/>
  <c r="R110" i="18"/>
  <c r="R106" i="18"/>
  <c r="R98" i="18"/>
  <c r="R92" i="18"/>
  <c r="R84" i="18"/>
  <c r="R51" i="18"/>
  <c r="R120" i="18"/>
  <c r="R115" i="18"/>
  <c r="R101" i="18"/>
  <c r="R86" i="18"/>
  <c r="R79" i="18"/>
  <c r="R44" i="18"/>
  <c r="R33" i="18"/>
  <c r="R28" i="18"/>
  <c r="R142" i="18"/>
  <c r="R124" i="18"/>
  <c r="R94" i="18"/>
  <c r="R89" i="18"/>
  <c r="R80" i="18"/>
  <c r="R52" i="18"/>
  <c r="R34" i="18"/>
  <c r="R116" i="18"/>
  <c r="R72" i="18"/>
  <c r="R64" i="18"/>
  <c r="R19" i="18"/>
  <c r="X12" i="18"/>
  <c r="R129" i="18"/>
  <c r="R74" i="18"/>
  <c r="R60" i="18"/>
  <c r="R20" i="18"/>
  <c r="R112" i="18"/>
  <c r="J18" i="27"/>
  <c r="P18" i="11"/>
  <c r="N12" i="3"/>
  <c r="J30" i="3"/>
  <c r="J46" i="3"/>
  <c r="P12" i="3"/>
  <c r="V27" i="3"/>
  <c r="J31" i="3"/>
  <c r="V35" i="3"/>
  <c r="J39" i="3"/>
  <c r="V43" i="3"/>
  <c r="J47" i="3"/>
  <c r="V51" i="3"/>
  <c r="J57" i="3"/>
  <c r="V59" i="3"/>
  <c r="J63" i="3"/>
  <c r="V67" i="3"/>
  <c r="V71" i="3"/>
  <c r="J75" i="3"/>
  <c r="V83" i="3"/>
  <c r="J85" i="3"/>
  <c r="V87" i="3"/>
  <c r="V95" i="3"/>
  <c r="J97" i="3"/>
  <c r="V99" i="3"/>
  <c r="V107" i="3"/>
  <c r="J109" i="3"/>
  <c r="V115" i="3"/>
  <c r="J119" i="3"/>
  <c r="J123" i="3"/>
  <c r="J127" i="3"/>
  <c r="J135" i="3"/>
  <c r="V139" i="3"/>
  <c r="J143" i="3"/>
  <c r="J147" i="3"/>
  <c r="V151" i="3"/>
  <c r="V155" i="3"/>
  <c r="X158" i="3"/>
  <c r="J160" i="3"/>
  <c r="V161" i="3"/>
  <c r="J172" i="3"/>
  <c r="J16" i="4"/>
  <c r="F22" i="4"/>
  <c r="V22" i="4"/>
  <c r="R15" i="5"/>
  <c r="P18" i="5"/>
  <c r="R25" i="5"/>
  <c r="J27" i="5"/>
  <c r="R29" i="5"/>
  <c r="J31" i="5"/>
  <c r="R33" i="5"/>
  <c r="J34" i="5"/>
  <c r="R36" i="5"/>
  <c r="L16" i="6"/>
  <c r="R24" i="6"/>
  <c r="L12" i="7"/>
  <c r="F15" i="7"/>
  <c r="V15" i="7"/>
  <c r="D18" i="7"/>
  <c r="T18" i="7"/>
  <c r="R21" i="7"/>
  <c r="F25" i="7"/>
  <c r="V25" i="7"/>
  <c r="F29" i="7"/>
  <c r="V29" i="7"/>
  <c r="F33" i="7"/>
  <c r="V33" i="7"/>
  <c r="F36" i="7"/>
  <c r="J16" i="8"/>
  <c r="F22" i="8"/>
  <c r="V22" i="8"/>
  <c r="F14" i="9"/>
  <c r="V14" i="9"/>
  <c r="F18" i="9"/>
  <c r="V18" i="9"/>
  <c r="V22" i="9"/>
  <c r="R23" i="9"/>
  <c r="J26" i="9"/>
  <c r="F27" i="9"/>
  <c r="V30" i="9"/>
  <c r="V34" i="9"/>
  <c r="R35" i="9"/>
  <c r="J38" i="9"/>
  <c r="F39" i="9"/>
  <c r="F43" i="9"/>
  <c r="R44" i="9"/>
  <c r="F46" i="9"/>
  <c r="V46" i="9"/>
  <c r="R47" i="9"/>
  <c r="J48" i="9"/>
  <c r="V50" i="9"/>
  <c r="J54" i="9"/>
  <c r="V58" i="9"/>
  <c r="J62" i="9"/>
  <c r="J66" i="9"/>
  <c r="F67" i="9"/>
  <c r="R68" i="9"/>
  <c r="J70" i="9"/>
  <c r="F71" i="9"/>
  <c r="J74" i="9"/>
  <c r="F75" i="9"/>
  <c r="R76" i="9"/>
  <c r="F78" i="9"/>
  <c r="V78" i="9"/>
  <c r="R79" i="9"/>
  <c r="J82" i="9"/>
  <c r="F83" i="9"/>
  <c r="J86" i="9"/>
  <c r="F87" i="9"/>
  <c r="R88" i="9"/>
  <c r="F90" i="9"/>
  <c r="V90" i="9"/>
  <c r="R91" i="9"/>
  <c r="R97" i="9"/>
  <c r="L12" i="10"/>
  <c r="F15" i="10"/>
  <c r="V15" i="10"/>
  <c r="D18" i="10"/>
  <c r="T18" i="10"/>
  <c r="R21" i="10"/>
  <c r="F25" i="10"/>
  <c r="V25" i="10"/>
  <c r="F29" i="10"/>
  <c r="V29" i="10"/>
  <c r="F33" i="10"/>
  <c r="V33" i="10"/>
  <c r="F36" i="10"/>
  <c r="J36" i="11"/>
  <c r="J33" i="11"/>
  <c r="J29" i="11"/>
  <c r="J25" i="11"/>
  <c r="H18" i="11"/>
  <c r="J16" i="11"/>
  <c r="T18" i="11"/>
  <c r="R25" i="11"/>
  <c r="R33" i="11"/>
  <c r="D12" i="12"/>
  <c r="Z45" i="12"/>
  <c r="Z94" i="12"/>
  <c r="N96" i="12"/>
  <c r="Z102" i="12"/>
  <c r="Z134" i="12"/>
  <c r="X13" i="14"/>
  <c r="N24" i="14"/>
  <c r="L24" i="14"/>
  <c r="N45" i="15"/>
  <c r="Z95" i="15"/>
  <c r="N97" i="15"/>
  <c r="N116" i="15"/>
  <c r="L116" i="15"/>
  <c r="V21" i="16"/>
  <c r="V18" i="16"/>
  <c r="V36" i="16"/>
  <c r="V33" i="16"/>
  <c r="V29" i="16"/>
  <c r="V25" i="16"/>
  <c r="T18" i="16"/>
  <c r="V15" i="16"/>
  <c r="V22" i="16"/>
  <c r="V20" i="16"/>
  <c r="V16" i="16"/>
  <c r="Z12" i="16"/>
  <c r="V34" i="16"/>
  <c r="V31" i="16"/>
  <c r="V27" i="16"/>
  <c r="R77" i="18"/>
  <c r="R103" i="18"/>
  <c r="R122" i="18"/>
  <c r="J32" i="3"/>
  <c r="V36" i="3"/>
  <c r="J40" i="3"/>
  <c r="V44" i="3"/>
  <c r="J48" i="3"/>
  <c r="V52" i="3"/>
  <c r="V56" i="3"/>
  <c r="V60" i="3"/>
  <c r="J64" i="3"/>
  <c r="V72" i="3"/>
  <c r="J76" i="3"/>
  <c r="J80" i="3"/>
  <c r="V84" i="3"/>
  <c r="J92" i="3"/>
  <c r="V96" i="3"/>
  <c r="J104" i="3"/>
  <c r="V108" i="3"/>
  <c r="J112" i="3"/>
  <c r="V116" i="3"/>
  <c r="V120" i="3"/>
  <c r="J124" i="3"/>
  <c r="J128" i="3"/>
  <c r="J132" i="3"/>
  <c r="J136" i="3"/>
  <c r="V140" i="3"/>
  <c r="J144" i="3"/>
  <c r="V148" i="3"/>
  <c r="J150" i="3"/>
  <c r="V152" i="3"/>
  <c r="J154" i="3"/>
  <c r="J163" i="3"/>
  <c r="L12" i="4"/>
  <c r="F15" i="4"/>
  <c r="V15" i="4"/>
  <c r="D18" i="4"/>
  <c r="T18" i="4"/>
  <c r="F25" i="4"/>
  <c r="V25" i="4"/>
  <c r="F29" i="4"/>
  <c r="V29" i="4"/>
  <c r="F33" i="4"/>
  <c r="V33" i="4"/>
  <c r="F36" i="4"/>
  <c r="V36" i="4"/>
  <c r="J16" i="5"/>
  <c r="R18" i="5"/>
  <c r="J20" i="5"/>
  <c r="V22" i="5"/>
  <c r="V14" i="6"/>
  <c r="N16" i="6"/>
  <c r="V18" i="6"/>
  <c r="V22" i="6"/>
  <c r="V24" i="6"/>
  <c r="V28" i="6"/>
  <c r="N12" i="7"/>
  <c r="F18" i="7"/>
  <c r="J22" i="7"/>
  <c r="R24" i="7"/>
  <c r="L12" i="8"/>
  <c r="F15" i="8"/>
  <c r="V15" i="8"/>
  <c r="D18" i="8"/>
  <c r="T18" i="8"/>
  <c r="F25" i="8"/>
  <c r="V25" i="8"/>
  <c r="F29" i="8"/>
  <c r="V29" i="8"/>
  <c r="F33" i="8"/>
  <c r="V33" i="8"/>
  <c r="F36" i="8"/>
  <c r="V36" i="8"/>
  <c r="L12" i="9"/>
  <c r="X14" i="9"/>
  <c r="F20" i="9"/>
  <c r="V23" i="9"/>
  <c r="F28" i="9"/>
  <c r="F32" i="9"/>
  <c r="V35" i="9"/>
  <c r="F40" i="9"/>
  <c r="V47" i="9"/>
  <c r="F52" i="9"/>
  <c r="R53" i="9"/>
  <c r="F55" i="9"/>
  <c r="V55" i="9"/>
  <c r="R56" i="9"/>
  <c r="F60" i="9"/>
  <c r="R61" i="9"/>
  <c r="F63" i="9"/>
  <c r="V63" i="9"/>
  <c r="R64" i="9"/>
  <c r="F72" i="9"/>
  <c r="R73" i="9"/>
  <c r="V79" i="9"/>
  <c r="R80" i="9"/>
  <c r="J83" i="9"/>
  <c r="F84" i="9"/>
  <c r="R85" i="9"/>
  <c r="J87" i="9"/>
  <c r="V91" i="9"/>
  <c r="F95" i="9"/>
  <c r="V95" i="9"/>
  <c r="V97" i="9"/>
  <c r="F102" i="9"/>
  <c r="V102" i="9"/>
  <c r="N12" i="10"/>
  <c r="F18" i="10"/>
  <c r="J22" i="10"/>
  <c r="R24" i="10"/>
  <c r="L12" i="11"/>
  <c r="F15" i="11"/>
  <c r="V15" i="11"/>
  <c r="D18" i="11"/>
  <c r="V18" i="11"/>
  <c r="V31" i="11"/>
  <c r="N68" i="12"/>
  <c r="X72" i="12"/>
  <c r="Z72" i="12" s="1"/>
  <c r="L98" i="12"/>
  <c r="N98" i="12" s="1"/>
  <c r="Z83" i="15"/>
  <c r="N85" i="15"/>
  <c r="Z88" i="15"/>
  <c r="N113" i="15"/>
  <c r="R36" i="18"/>
  <c r="L25" i="20"/>
  <c r="N25" i="20"/>
  <c r="X61" i="21"/>
  <c r="Z61" i="21"/>
  <c r="J38" i="3"/>
  <c r="J25" i="3"/>
  <c r="V29" i="3"/>
  <c r="J33" i="3"/>
  <c r="V37" i="3"/>
  <c r="J41" i="3"/>
  <c r="V45" i="3"/>
  <c r="J49" i="3"/>
  <c r="V61" i="3"/>
  <c r="J65" i="3"/>
  <c r="J69" i="3"/>
  <c r="V73" i="3"/>
  <c r="J77" i="3"/>
  <c r="V81" i="3"/>
  <c r="J83" i="3"/>
  <c r="J89" i="3"/>
  <c r="V93" i="3"/>
  <c r="J95" i="3"/>
  <c r="J101" i="3"/>
  <c r="V105" i="3"/>
  <c r="J107" i="3"/>
  <c r="V113" i="3"/>
  <c r="J115" i="3"/>
  <c r="V117" i="3"/>
  <c r="V121" i="3"/>
  <c r="V125" i="3"/>
  <c r="J129" i="3"/>
  <c r="J133" i="3"/>
  <c r="J137" i="3"/>
  <c r="V141" i="3"/>
  <c r="V145" i="3"/>
  <c r="V149" i="3"/>
  <c r="V153" i="3"/>
  <c r="V159" i="3"/>
  <c r="V167" i="3"/>
  <c r="V171" i="3"/>
  <c r="V15" i="5"/>
  <c r="T18" i="5"/>
  <c r="V25" i="5"/>
  <c r="V29" i="5"/>
  <c r="V33" i="5"/>
  <c r="J15" i="7"/>
  <c r="H18" i="7"/>
  <c r="J25" i="7"/>
  <c r="R27" i="7"/>
  <c r="J29" i="7"/>
  <c r="R31" i="7"/>
  <c r="J33" i="7"/>
  <c r="F21" i="9"/>
  <c r="V24" i="9"/>
  <c r="F29" i="9"/>
  <c r="F33" i="9"/>
  <c r="V36" i="9"/>
  <c r="F41" i="9"/>
  <c r="F44" i="9"/>
  <c r="V44" i="9"/>
  <c r="F49" i="9"/>
  <c r="V56" i="9"/>
  <c r="V64" i="9"/>
  <c r="R65" i="9"/>
  <c r="F68" i="9"/>
  <c r="V68" i="9"/>
  <c r="R69" i="9"/>
  <c r="F76" i="9"/>
  <c r="V76" i="9"/>
  <c r="R77" i="9"/>
  <c r="V80" i="9"/>
  <c r="R81" i="9"/>
  <c r="H18" i="10"/>
  <c r="J25" i="10"/>
  <c r="R27" i="10"/>
  <c r="J29" i="10"/>
  <c r="R31" i="10"/>
  <c r="J33" i="10"/>
  <c r="V25" i="11"/>
  <c r="V27" i="11"/>
  <c r="V33" i="11"/>
  <c r="F36" i="11"/>
  <c r="L74" i="12"/>
  <c r="N74" i="12" s="1"/>
  <c r="X96" i="12"/>
  <c r="Z96" i="12" s="1"/>
  <c r="N130" i="12"/>
  <c r="L130" i="12"/>
  <c r="D12" i="15"/>
  <c r="L16" i="15"/>
  <c r="L56" i="15"/>
  <c r="N56" i="15" s="1"/>
  <c r="Z34" i="16"/>
  <c r="X34" i="16"/>
  <c r="R18" i="19"/>
  <c r="R36" i="19"/>
  <c r="R33" i="19"/>
  <c r="R29" i="19"/>
  <c r="R25" i="19"/>
  <c r="P18" i="19"/>
  <c r="R15" i="19"/>
  <c r="X12" i="19"/>
  <c r="R24" i="19"/>
  <c r="R21" i="19"/>
  <c r="R34" i="19"/>
  <c r="R22" i="19"/>
  <c r="R27" i="19"/>
  <c r="R20" i="19"/>
  <c r="R31" i="19"/>
  <c r="Z34" i="19"/>
  <c r="X34" i="19"/>
  <c r="J20" i="12"/>
  <c r="V24" i="12"/>
  <c r="J28" i="12"/>
  <c r="V32" i="12"/>
  <c r="J36" i="12"/>
  <c r="V40" i="12"/>
  <c r="J46" i="12"/>
  <c r="V48" i="12"/>
  <c r="J52" i="12"/>
  <c r="V56" i="12"/>
  <c r="V60" i="12"/>
  <c r="J64" i="12"/>
  <c r="V72" i="12"/>
  <c r="J74" i="12"/>
  <c r="V76" i="12"/>
  <c r="V84" i="12"/>
  <c r="J86" i="12"/>
  <c r="V88" i="12"/>
  <c r="V96" i="12"/>
  <c r="J98" i="12"/>
  <c r="J104" i="12"/>
  <c r="J108" i="12"/>
  <c r="J120" i="12"/>
  <c r="V124" i="12"/>
  <c r="V128" i="12"/>
  <c r="J130" i="12"/>
  <c r="V132" i="12"/>
  <c r="J134" i="12"/>
  <c r="R15" i="13"/>
  <c r="P18" i="13"/>
  <c r="R25" i="13"/>
  <c r="J27" i="13"/>
  <c r="R29" i="13"/>
  <c r="J31" i="13"/>
  <c r="R33" i="13"/>
  <c r="J34" i="13"/>
  <c r="R36" i="13"/>
  <c r="Z12" i="14"/>
  <c r="F16" i="14"/>
  <c r="V16" i="14"/>
  <c r="F20" i="14"/>
  <c r="V20" i="14"/>
  <c r="R22" i="14"/>
  <c r="J24" i="14"/>
  <c r="V22" i="15"/>
  <c r="J26" i="15"/>
  <c r="V30" i="15"/>
  <c r="J34" i="15"/>
  <c r="V38" i="15"/>
  <c r="J42" i="15"/>
  <c r="V46" i="15"/>
  <c r="J50" i="15"/>
  <c r="V54" i="15"/>
  <c r="J56" i="15"/>
  <c r="V58" i="15"/>
  <c r="J62" i="15"/>
  <c r="V66" i="15"/>
  <c r="J70" i="15"/>
  <c r="V74" i="15"/>
  <c r="J76" i="15"/>
  <c r="V78" i="15"/>
  <c r="J82" i="15"/>
  <c r="V86" i="15"/>
  <c r="J88" i="15"/>
  <c r="V90" i="15"/>
  <c r="J94" i="15"/>
  <c r="V98" i="15"/>
  <c r="V102" i="15"/>
  <c r="J104" i="15"/>
  <c r="V106" i="15"/>
  <c r="V110" i="15"/>
  <c r="V114" i="15"/>
  <c r="J116" i="15"/>
  <c r="V118" i="15"/>
  <c r="J122" i="15"/>
  <c r="V126" i="15"/>
  <c r="V130" i="15"/>
  <c r="V134" i="15"/>
  <c r="X12" i="16"/>
  <c r="N15" i="16"/>
  <c r="L15" i="17"/>
  <c r="J18" i="17"/>
  <c r="V24" i="17"/>
  <c r="V143" i="18"/>
  <c r="V137" i="18"/>
  <c r="V133" i="18"/>
  <c r="V129" i="18"/>
  <c r="V125" i="18"/>
  <c r="V121" i="18"/>
  <c r="V117" i="18"/>
  <c r="V113" i="18"/>
  <c r="V109" i="18"/>
  <c r="V101" i="18"/>
  <c r="V93" i="18"/>
  <c r="V89" i="18"/>
  <c r="V81" i="18"/>
  <c r="V77" i="18"/>
  <c r="V65" i="18"/>
  <c r="V61" i="18"/>
  <c r="V53" i="18"/>
  <c r="V45" i="18"/>
  <c r="V37" i="18"/>
  <c r="V29" i="18"/>
  <c r="V21" i="18"/>
  <c r="V140" i="18"/>
  <c r="V136" i="18"/>
  <c r="V132" i="18"/>
  <c r="V124" i="18"/>
  <c r="V120" i="18"/>
  <c r="V116" i="18"/>
  <c r="V112" i="18"/>
  <c r="V108" i="18"/>
  <c r="V104" i="18"/>
  <c r="V96" i="18"/>
  <c r="V92" i="18"/>
  <c r="V84" i="18"/>
  <c r="V80" i="18"/>
  <c r="V72" i="18"/>
  <c r="V64" i="18"/>
  <c r="V60" i="18"/>
  <c r="V52" i="18"/>
  <c r="V44" i="18"/>
  <c r="V36" i="18"/>
  <c r="V28" i="18"/>
  <c r="V20" i="18"/>
  <c r="V142" i="18"/>
  <c r="V122" i="18"/>
  <c r="V110" i="18"/>
  <c r="V106" i="18"/>
  <c r="V98" i="18"/>
  <c r="V94" i="18"/>
  <c r="V86" i="18"/>
  <c r="V82" i="18"/>
  <c r="V74" i="18"/>
  <c r="V70" i="18"/>
  <c r="V62" i="18"/>
  <c r="V58" i="18"/>
  <c r="V42" i="18"/>
  <c r="V34" i="18"/>
  <c r="V26" i="18"/>
  <c r="V149" i="18"/>
  <c r="V141" i="18"/>
  <c r="V135" i="18"/>
  <c r="V131" i="18"/>
  <c r="V127" i="18"/>
  <c r="V99" i="18"/>
  <c r="V87" i="18"/>
  <c r="V75" i="18"/>
  <c r="V67" i="18"/>
  <c r="V55" i="18"/>
  <c r="V39" i="18"/>
  <c r="V31" i="18"/>
  <c r="V23" i="18"/>
  <c r="V134" i="18"/>
  <c r="V130" i="18"/>
  <c r="V126" i="18"/>
  <c r="V118" i="18"/>
  <c r="V114" i="18"/>
  <c r="V102" i="18"/>
  <c r="V90" i="18"/>
  <c r="V78" i="18"/>
  <c r="V66" i="18"/>
  <c r="V54" i="18"/>
  <c r="V50" i="18"/>
  <c r="V46" i="18"/>
  <c r="V38" i="18"/>
  <c r="V30" i="18"/>
  <c r="V22" i="18"/>
  <c r="Z12" i="18"/>
  <c r="J23" i="18"/>
  <c r="V25" i="18"/>
  <c r="J28" i="18"/>
  <c r="J29" i="18"/>
  <c r="V35" i="18"/>
  <c r="J39" i="18"/>
  <c r="V41" i="18"/>
  <c r="J44" i="18"/>
  <c r="J45" i="18"/>
  <c r="J52" i="18"/>
  <c r="J73" i="18"/>
  <c r="Z77" i="18"/>
  <c r="J87" i="18"/>
  <c r="V91" i="18"/>
  <c r="N94" i="18"/>
  <c r="V95" i="18"/>
  <c r="Z97" i="18"/>
  <c r="Z103" i="18"/>
  <c r="Z105" i="18"/>
  <c r="Z122" i="18"/>
  <c r="J124" i="18"/>
  <c r="V128" i="18"/>
  <c r="J135" i="18"/>
  <c r="X136" i="18"/>
  <c r="Z136" i="18" s="1"/>
  <c r="V144" i="18"/>
  <c r="V22" i="19"/>
  <c r="V34" i="19"/>
  <c r="V31" i="19"/>
  <c r="V27" i="19"/>
  <c r="V18" i="19"/>
  <c r="V36" i="19"/>
  <c r="V33" i="19"/>
  <c r="V29" i="19"/>
  <c r="V25" i="19"/>
  <c r="T18" i="19"/>
  <c r="V15" i="19"/>
  <c r="H18" i="20"/>
  <c r="R27" i="20"/>
  <c r="P12" i="21"/>
  <c r="Z23" i="21"/>
  <c r="L50" i="21"/>
  <c r="T77" i="21"/>
  <c r="N31" i="24"/>
  <c r="J59" i="24"/>
  <c r="J61" i="24"/>
  <c r="N24" i="25"/>
  <c r="X13" i="26"/>
  <c r="N21" i="26"/>
  <c r="V23" i="27"/>
  <c r="V27" i="27"/>
  <c r="V32" i="27"/>
  <c r="V56" i="27"/>
  <c r="V70" i="27"/>
  <c r="V80" i="27"/>
  <c r="V34" i="31"/>
  <c r="V31" i="31"/>
  <c r="V27" i="31"/>
  <c r="X12" i="31"/>
  <c r="V21" i="31"/>
  <c r="V18" i="31"/>
  <c r="V36" i="31"/>
  <c r="V33" i="31"/>
  <c r="V29" i="31"/>
  <c r="V25" i="31"/>
  <c r="T18" i="31"/>
  <c r="V15" i="31"/>
  <c r="V20" i="31"/>
  <c r="V16" i="31"/>
  <c r="Z12" i="31"/>
  <c r="V24" i="31"/>
  <c r="V22" i="31"/>
  <c r="J81" i="12"/>
  <c r="V85" i="12"/>
  <c r="J93" i="12"/>
  <c r="V97" i="12"/>
  <c r="J101" i="12"/>
  <c r="J105" i="12"/>
  <c r="J109" i="12"/>
  <c r="J113" i="12"/>
  <c r="J117" i="12"/>
  <c r="J121" i="12"/>
  <c r="V125" i="12"/>
  <c r="J127" i="12"/>
  <c r="V129" i="12"/>
  <c r="V133" i="12"/>
  <c r="J138" i="12"/>
  <c r="V139" i="12"/>
  <c r="J16" i="13"/>
  <c r="J20" i="13"/>
  <c r="V55" i="15"/>
  <c r="V59" i="15"/>
  <c r="J63" i="15"/>
  <c r="V71" i="15"/>
  <c r="J73" i="15"/>
  <c r="V75" i="15"/>
  <c r="V83" i="15"/>
  <c r="J85" i="15"/>
  <c r="V87" i="15"/>
  <c r="V95" i="15"/>
  <c r="J97" i="15"/>
  <c r="V103" i="15"/>
  <c r="V107" i="15"/>
  <c r="J109" i="15"/>
  <c r="V111" i="15"/>
  <c r="J113" i="15"/>
  <c r="V115" i="15"/>
  <c r="V119" i="15"/>
  <c r="V123" i="15"/>
  <c r="V127" i="15"/>
  <c r="V131" i="15"/>
  <c r="J136" i="15"/>
  <c r="V137" i="15"/>
  <c r="J141" i="15"/>
  <c r="J21" i="17"/>
  <c r="J55" i="18"/>
  <c r="J67" i="18"/>
  <c r="N79" i="18"/>
  <c r="J84" i="18"/>
  <c r="J93" i="18"/>
  <c r="J99" i="18"/>
  <c r="V103" i="18"/>
  <c r="V107" i="18"/>
  <c r="N115" i="18"/>
  <c r="J120" i="18"/>
  <c r="J127" i="18"/>
  <c r="Z129" i="18"/>
  <c r="J131" i="18"/>
  <c r="N50" i="21"/>
  <c r="V20" i="22"/>
  <c r="V16" i="22"/>
  <c r="Z12" i="22"/>
  <c r="V34" i="22"/>
  <c r="V31" i="22"/>
  <c r="V27" i="22"/>
  <c r="X12" i="22"/>
  <c r="V21" i="22"/>
  <c r="V22" i="22"/>
  <c r="J21" i="23"/>
  <c r="J18" i="23"/>
  <c r="J22" i="23"/>
  <c r="N12" i="23"/>
  <c r="J34" i="23"/>
  <c r="J31" i="23"/>
  <c r="J27" i="23"/>
  <c r="J24" i="23"/>
  <c r="T18" i="23"/>
  <c r="X15" i="25"/>
  <c r="P18" i="25"/>
  <c r="Z21" i="29"/>
  <c r="X21" i="29"/>
  <c r="J22" i="12"/>
  <c r="V26" i="12"/>
  <c r="J30" i="12"/>
  <c r="V34" i="12"/>
  <c r="J38" i="12"/>
  <c r="V50" i="12"/>
  <c r="J54" i="12"/>
  <c r="J58" i="12"/>
  <c r="V62" i="12"/>
  <c r="J66" i="12"/>
  <c r="V70" i="12"/>
  <c r="J72" i="12"/>
  <c r="J78" i="12"/>
  <c r="V82" i="12"/>
  <c r="J84" i="12"/>
  <c r="J90" i="12"/>
  <c r="V94" i="12"/>
  <c r="J96" i="12"/>
  <c r="V102" i="12"/>
  <c r="J106" i="12"/>
  <c r="J110" i="12"/>
  <c r="J114" i="12"/>
  <c r="J118" i="12"/>
  <c r="J122" i="12"/>
  <c r="V126" i="12"/>
  <c r="J141" i="12"/>
  <c r="L12" i="13"/>
  <c r="F15" i="13"/>
  <c r="V15" i="13"/>
  <c r="D18" i="13"/>
  <c r="T18" i="13"/>
  <c r="R21" i="13"/>
  <c r="F25" i="13"/>
  <c r="V25" i="13"/>
  <c r="F29" i="13"/>
  <c r="V29" i="13"/>
  <c r="F33" i="13"/>
  <c r="V33" i="13"/>
  <c r="F36" i="13"/>
  <c r="V36" i="13"/>
  <c r="J16" i="14"/>
  <c r="R18" i="14"/>
  <c r="J20" i="14"/>
  <c r="F22" i="14"/>
  <c r="V22" i="14"/>
  <c r="J20" i="15"/>
  <c r="V24" i="15"/>
  <c r="J28" i="15"/>
  <c r="V32" i="15"/>
  <c r="J36" i="15"/>
  <c r="V40" i="15"/>
  <c r="V44" i="15"/>
  <c r="V48" i="15"/>
  <c r="J52" i="15"/>
  <c r="V60" i="15"/>
  <c r="J64" i="15"/>
  <c r="J68" i="15"/>
  <c r="V72" i="15"/>
  <c r="J80" i="15"/>
  <c r="V84" i="15"/>
  <c r="J92" i="15"/>
  <c r="V96" i="15"/>
  <c r="J100" i="15"/>
  <c r="V108" i="15"/>
  <c r="V112" i="15"/>
  <c r="V120" i="15"/>
  <c r="V124" i="15"/>
  <c r="J126" i="15"/>
  <c r="V128" i="15"/>
  <c r="J130" i="15"/>
  <c r="R15" i="16"/>
  <c r="P18" i="16"/>
  <c r="R25" i="16"/>
  <c r="J27" i="16"/>
  <c r="R29" i="16"/>
  <c r="J31" i="16"/>
  <c r="R33" i="16"/>
  <c r="J34" i="16"/>
  <c r="R36" i="16"/>
  <c r="Z12" i="17"/>
  <c r="V16" i="17"/>
  <c r="J24" i="17"/>
  <c r="J50" i="18"/>
  <c r="N51" i="18"/>
  <c r="V71" i="18"/>
  <c r="N85" i="18"/>
  <c r="V88" i="18"/>
  <c r="J92" i="18"/>
  <c r="N99" i="18"/>
  <c r="N110" i="18"/>
  <c r="V111" i="18"/>
  <c r="Z132" i="18"/>
  <c r="L21" i="19"/>
  <c r="N15" i="20"/>
  <c r="R24" i="20"/>
  <c r="Z69" i="21"/>
  <c r="N15" i="22"/>
  <c r="H18" i="22"/>
  <c r="L21" i="22"/>
  <c r="V24" i="22"/>
  <c r="V25" i="22"/>
  <c r="V36" i="22"/>
  <c r="L12" i="23"/>
  <c r="J29" i="23"/>
  <c r="J51" i="24"/>
  <c r="J43" i="24"/>
  <c r="J39" i="24"/>
  <c r="J27" i="24"/>
  <c r="J19" i="24"/>
  <c r="J48" i="24"/>
  <c r="J38" i="24"/>
  <c r="J26" i="24"/>
  <c r="H19" i="24"/>
  <c r="J56" i="24"/>
  <c r="J50" i="24"/>
  <c r="J42" i="24"/>
  <c r="J36" i="24"/>
  <c r="J24" i="24"/>
  <c r="J49" i="24"/>
  <c r="J41" i="24"/>
  <c r="J33" i="24"/>
  <c r="J29" i="24"/>
  <c r="J58" i="24"/>
  <c r="J54" i="24"/>
  <c r="J46" i="24"/>
  <c r="J40" i="24"/>
  <c r="J32" i="24"/>
  <c r="J28" i="24"/>
  <c r="J22" i="24"/>
  <c r="J16" i="24"/>
  <c r="J21" i="24"/>
  <c r="J22" i="25"/>
  <c r="N12" i="25"/>
  <c r="L12" i="25"/>
  <c r="J34" i="25"/>
  <c r="J31" i="25"/>
  <c r="J27" i="25"/>
  <c r="J18" i="25"/>
  <c r="J36" i="25"/>
  <c r="J33" i="25"/>
  <c r="J29" i="25"/>
  <c r="J25" i="25"/>
  <c r="H18" i="25"/>
  <c r="J15" i="25"/>
  <c r="Z20" i="25"/>
  <c r="V36" i="26"/>
  <c r="V33" i="26"/>
  <c r="V29" i="26"/>
  <c r="V25" i="26"/>
  <c r="T18" i="26"/>
  <c r="V15" i="26"/>
  <c r="V22" i="26"/>
  <c r="V20" i="26"/>
  <c r="V16" i="26"/>
  <c r="Z12" i="26"/>
  <c r="V21" i="26"/>
  <c r="V18" i="26"/>
  <c r="V22" i="27"/>
  <c r="Z55" i="27"/>
  <c r="V72" i="27"/>
  <c r="Z73" i="27"/>
  <c r="F24" i="28"/>
  <c r="F18" i="28"/>
  <c r="F36" i="28"/>
  <c r="F33" i="28"/>
  <c r="F29" i="28"/>
  <c r="F25" i="28"/>
  <c r="D18" i="28"/>
  <c r="F15" i="28"/>
  <c r="L12" i="28"/>
  <c r="F22" i="28"/>
  <c r="F34" i="28"/>
  <c r="F31" i="28"/>
  <c r="F27" i="28"/>
  <c r="F16" i="28"/>
  <c r="N33" i="29"/>
  <c r="L33" i="29"/>
  <c r="L14" i="33"/>
  <c r="D12" i="33"/>
  <c r="P12" i="12"/>
  <c r="V19" i="12"/>
  <c r="J23" i="12"/>
  <c r="V27" i="12"/>
  <c r="J31" i="12"/>
  <c r="V35" i="12"/>
  <c r="J39" i="12"/>
  <c r="J45" i="12"/>
  <c r="J47" i="12"/>
  <c r="V51" i="12"/>
  <c r="J55" i="12"/>
  <c r="J59" i="12"/>
  <c r="V63" i="12"/>
  <c r="J67" i="12"/>
  <c r="V71" i="12"/>
  <c r="J75" i="12"/>
  <c r="J79" i="12"/>
  <c r="V83" i="12"/>
  <c r="J87" i="12"/>
  <c r="J91" i="12"/>
  <c r="V95" i="12"/>
  <c r="J99" i="12"/>
  <c r="V103" i="12"/>
  <c r="V107" i="12"/>
  <c r="J111" i="12"/>
  <c r="J115" i="12"/>
  <c r="V119" i="12"/>
  <c r="J123" i="12"/>
  <c r="J131" i="12"/>
  <c r="J135" i="12"/>
  <c r="V137" i="12"/>
  <c r="V145" i="12"/>
  <c r="N12" i="13"/>
  <c r="F18" i="13"/>
  <c r="V18" i="13"/>
  <c r="J22" i="13"/>
  <c r="R24" i="13"/>
  <c r="L12" i="14"/>
  <c r="F15" i="14"/>
  <c r="V15" i="14"/>
  <c r="D18" i="14"/>
  <c r="T18" i="14"/>
  <c r="R21" i="14"/>
  <c r="F25" i="14"/>
  <c r="V25" i="14"/>
  <c r="F29" i="14"/>
  <c r="V29" i="14"/>
  <c r="F33" i="14"/>
  <c r="V33" i="14"/>
  <c r="F36" i="14"/>
  <c r="V36" i="14"/>
  <c r="V25" i="15"/>
  <c r="J29" i="15"/>
  <c r="V33" i="15"/>
  <c r="J37" i="15"/>
  <c r="V49" i="15"/>
  <c r="J53" i="15"/>
  <c r="J57" i="15"/>
  <c r="V61" i="15"/>
  <c r="J65" i="15"/>
  <c r="V69" i="15"/>
  <c r="J71" i="15"/>
  <c r="J77" i="15"/>
  <c r="V81" i="15"/>
  <c r="J83" i="15"/>
  <c r="J89" i="15"/>
  <c r="V93" i="15"/>
  <c r="J95" i="15"/>
  <c r="J101" i="15"/>
  <c r="J105" i="15"/>
  <c r="J117" i="15"/>
  <c r="V121" i="15"/>
  <c r="J123" i="15"/>
  <c r="V125" i="15"/>
  <c r="V129" i="15"/>
  <c r="J134" i="15"/>
  <c r="V135" i="15"/>
  <c r="J16" i="16"/>
  <c r="R18" i="16"/>
  <c r="J27" i="17"/>
  <c r="J31" i="17"/>
  <c r="J34" i="17"/>
  <c r="D12" i="18"/>
  <c r="L19" i="18"/>
  <c r="N19" i="18" s="1"/>
  <c r="V19" i="18"/>
  <c r="V59" i="18"/>
  <c r="L62" i="18"/>
  <c r="N62" i="18" s="1"/>
  <c r="V73" i="18"/>
  <c r="J85" i="18"/>
  <c r="Z89" i="18"/>
  <c r="Z94" i="18"/>
  <c r="J96" i="18"/>
  <c r="N97" i="18"/>
  <c r="V100" i="18"/>
  <c r="J104" i="18"/>
  <c r="N105" i="18"/>
  <c r="N119" i="18"/>
  <c r="N139" i="18"/>
  <c r="L34" i="19"/>
  <c r="N32" i="21"/>
  <c r="L33" i="22"/>
  <c r="X12" i="23"/>
  <c r="R20" i="23"/>
  <c r="R16" i="23"/>
  <c r="R24" i="23"/>
  <c r="R36" i="23"/>
  <c r="R33" i="23"/>
  <c r="R29" i="23"/>
  <c r="R25" i="23"/>
  <c r="P18" i="23"/>
  <c r="R15" i="23"/>
  <c r="R22" i="23"/>
  <c r="Z15" i="23"/>
  <c r="Z25" i="23"/>
  <c r="J36" i="23"/>
  <c r="N21" i="24"/>
  <c r="J25" i="24"/>
  <c r="J34" i="24"/>
  <c r="J35" i="24"/>
  <c r="V61" i="24"/>
  <c r="T18" i="25"/>
  <c r="Z15" i="25"/>
  <c r="X25" i="25"/>
  <c r="X33" i="25"/>
  <c r="X12" i="26"/>
  <c r="L16" i="26"/>
  <c r="X20" i="26"/>
  <c r="V48" i="27"/>
  <c r="Z59" i="27"/>
  <c r="F21" i="28"/>
  <c r="X14" i="30"/>
  <c r="P12" i="30"/>
  <c r="L18" i="36"/>
  <c r="D12" i="36"/>
  <c r="V20" i="12"/>
  <c r="J24" i="12"/>
  <c r="V28" i="12"/>
  <c r="J32" i="12"/>
  <c r="V36" i="12"/>
  <c r="J40" i="12"/>
  <c r="T43" i="12"/>
  <c r="J48" i="12"/>
  <c r="V52" i="12"/>
  <c r="J56" i="12"/>
  <c r="J60" i="12"/>
  <c r="V64" i="12"/>
  <c r="V68" i="12"/>
  <c r="J70" i="12"/>
  <c r="J76" i="12"/>
  <c r="V80" i="12"/>
  <c r="J82" i="12"/>
  <c r="J88" i="12"/>
  <c r="V92" i="12"/>
  <c r="J94" i="12"/>
  <c r="V100" i="12"/>
  <c r="J102" i="12"/>
  <c r="V104" i="12"/>
  <c r="V108" i="12"/>
  <c r="V112" i="12"/>
  <c r="V116" i="12"/>
  <c r="V120" i="12"/>
  <c r="J124" i="12"/>
  <c r="J128" i="12"/>
  <c r="J132" i="12"/>
  <c r="J139" i="12"/>
  <c r="V140" i="12"/>
  <c r="J15" i="13"/>
  <c r="H18" i="13"/>
  <c r="V21" i="13"/>
  <c r="J25" i="13"/>
  <c r="R27" i="13"/>
  <c r="J29" i="13"/>
  <c r="R31" i="13"/>
  <c r="J33" i="13"/>
  <c r="R34" i="13"/>
  <c r="J36" i="13"/>
  <c r="F18" i="14"/>
  <c r="V62" i="15"/>
  <c r="V70" i="15"/>
  <c r="J74" i="15"/>
  <c r="J78" i="15"/>
  <c r="V82" i="15"/>
  <c r="J86" i="15"/>
  <c r="J90" i="15"/>
  <c r="V94" i="15"/>
  <c r="J98" i="15"/>
  <c r="J102" i="15"/>
  <c r="J106" i="15"/>
  <c r="J110" i="15"/>
  <c r="J114" i="15"/>
  <c r="J118" i="15"/>
  <c r="V122" i="15"/>
  <c r="D133" i="15"/>
  <c r="L133" i="15" s="1"/>
  <c r="N133" i="15" s="1"/>
  <c r="J137" i="15"/>
  <c r="J16" i="17"/>
  <c r="J20" i="17"/>
  <c r="J142" i="18"/>
  <c r="J119" i="18"/>
  <c r="J115" i="18"/>
  <c r="J103" i="18"/>
  <c r="J91" i="18"/>
  <c r="J79" i="18"/>
  <c r="J69" i="18"/>
  <c r="J57" i="18"/>
  <c r="J51" i="18"/>
  <c r="J41" i="18"/>
  <c r="J33" i="18"/>
  <c r="J25" i="18"/>
  <c r="J128" i="18"/>
  <c r="J122" i="18"/>
  <c r="J110" i="18"/>
  <c r="J100" i="18"/>
  <c r="J94" i="18"/>
  <c r="J88" i="18"/>
  <c r="J82" i="18"/>
  <c r="J76" i="18"/>
  <c r="J68" i="18"/>
  <c r="J62" i="18"/>
  <c r="J56" i="18"/>
  <c r="J40" i="18"/>
  <c r="J32" i="18"/>
  <c r="J24" i="18"/>
  <c r="J141" i="18"/>
  <c r="J134" i="18"/>
  <c r="J130" i="18"/>
  <c r="J126" i="18"/>
  <c r="J118" i="18"/>
  <c r="J114" i="18"/>
  <c r="J102" i="18"/>
  <c r="J90" i="18"/>
  <c r="J78" i="18"/>
  <c r="J66" i="18"/>
  <c r="J54" i="18"/>
  <c r="J46" i="18"/>
  <c r="J38" i="18"/>
  <c r="J30" i="18"/>
  <c r="J22" i="18"/>
  <c r="J140" i="18"/>
  <c r="J129" i="18"/>
  <c r="J123" i="18"/>
  <c r="J111" i="18"/>
  <c r="J107" i="18"/>
  <c r="J101" i="18"/>
  <c r="J95" i="18"/>
  <c r="J89" i="18"/>
  <c r="J83" i="18"/>
  <c r="J77" i="18"/>
  <c r="J71" i="18"/>
  <c r="J63" i="18"/>
  <c r="J59" i="18"/>
  <c r="J43" i="18"/>
  <c r="J35" i="18"/>
  <c r="J27" i="18"/>
  <c r="J145" i="18"/>
  <c r="J136" i="18"/>
  <c r="J132" i="18"/>
  <c r="J106" i="18"/>
  <c r="J98" i="18"/>
  <c r="J86" i="18"/>
  <c r="J74" i="18"/>
  <c r="J70" i="18"/>
  <c r="J58" i="18"/>
  <c r="J42" i="18"/>
  <c r="J34" i="18"/>
  <c r="J26" i="18"/>
  <c r="J21" i="18"/>
  <c r="J31" i="18"/>
  <c r="J36" i="18"/>
  <c r="J37" i="18"/>
  <c r="H48" i="18"/>
  <c r="V63" i="18"/>
  <c r="L82" i="18"/>
  <c r="J97" i="18"/>
  <c r="J105" i="18"/>
  <c r="J108" i="18"/>
  <c r="J113" i="18"/>
  <c r="L122" i="18"/>
  <c r="N122" i="18" s="1"/>
  <c r="J137" i="18"/>
  <c r="J139" i="18"/>
  <c r="R36" i="20"/>
  <c r="R33" i="20"/>
  <c r="R29" i="20"/>
  <c r="R25" i="20"/>
  <c r="P18" i="20"/>
  <c r="R15" i="20"/>
  <c r="R22" i="20"/>
  <c r="R20" i="20"/>
  <c r="R16" i="20"/>
  <c r="R21" i="20"/>
  <c r="R18" i="20"/>
  <c r="X16" i="20"/>
  <c r="R31" i="20"/>
  <c r="X16" i="21"/>
  <c r="Z50" i="21"/>
  <c r="X56" i="21"/>
  <c r="P12" i="24"/>
  <c r="X22" i="24"/>
  <c r="J57" i="24"/>
  <c r="X58" i="24"/>
  <c r="V31" i="26"/>
  <c r="V34" i="26"/>
  <c r="D12" i="27"/>
  <c r="V21" i="27"/>
  <c r="N24" i="28"/>
  <c r="L24" i="28"/>
  <c r="L20" i="32"/>
  <c r="N24" i="37"/>
  <c r="L24" i="37"/>
  <c r="J19" i="12"/>
  <c r="V21" i="12"/>
  <c r="J25" i="12"/>
  <c r="V29" i="12"/>
  <c r="J33" i="12"/>
  <c r="V37" i="12"/>
  <c r="J41" i="12"/>
  <c r="V43" i="12"/>
  <c r="J49" i="12"/>
  <c r="V53" i="12"/>
  <c r="V57" i="12"/>
  <c r="J61" i="12"/>
  <c r="V65" i="12"/>
  <c r="V69" i="12"/>
  <c r="J73" i="12"/>
  <c r="V77" i="12"/>
  <c r="V81" i="12"/>
  <c r="J85" i="12"/>
  <c r="V89" i="12"/>
  <c r="V93" i="12"/>
  <c r="J97" i="12"/>
  <c r="V101" i="12"/>
  <c r="V105" i="12"/>
  <c r="J107" i="12"/>
  <c r="V109" i="12"/>
  <c r="V113" i="12"/>
  <c r="V117" i="12"/>
  <c r="J119" i="12"/>
  <c r="V121" i="12"/>
  <c r="J125" i="12"/>
  <c r="J129" i="12"/>
  <c r="J133" i="12"/>
  <c r="J137" i="12"/>
  <c r="R16" i="13"/>
  <c r="J18" i="13"/>
  <c r="R20" i="13"/>
  <c r="V24" i="13"/>
  <c r="H18" i="14"/>
  <c r="F21" i="14"/>
  <c r="R27" i="14"/>
  <c r="R31" i="14"/>
  <c r="R34" i="14"/>
  <c r="P12" i="15"/>
  <c r="V19" i="15"/>
  <c r="T42" i="15"/>
  <c r="V51" i="15"/>
  <c r="J59" i="15"/>
  <c r="V63" i="15"/>
  <c r="V67" i="15"/>
  <c r="J69" i="15"/>
  <c r="J75" i="15"/>
  <c r="V79" i="15"/>
  <c r="J81" i="15"/>
  <c r="J87" i="15"/>
  <c r="V91" i="15"/>
  <c r="J93" i="15"/>
  <c r="V99" i="15"/>
  <c r="J103" i="15"/>
  <c r="J107" i="15"/>
  <c r="J111" i="15"/>
  <c r="J115" i="15"/>
  <c r="J119" i="15"/>
  <c r="J127" i="15"/>
  <c r="J131" i="15"/>
  <c r="V133" i="15"/>
  <c r="V141" i="15"/>
  <c r="L13" i="16"/>
  <c r="L12" i="17"/>
  <c r="T18" i="17"/>
  <c r="J61" i="18"/>
  <c r="J75" i="18"/>
  <c r="Z110" i="18"/>
  <c r="J112" i="18"/>
  <c r="V115" i="18"/>
  <c r="J117" i="18"/>
  <c r="V123" i="18"/>
  <c r="J133" i="18"/>
  <c r="J144" i="18"/>
  <c r="Z56" i="21"/>
  <c r="D77" i="21"/>
  <c r="J20" i="23"/>
  <c r="J33" i="23"/>
  <c r="Z22" i="24"/>
  <c r="Z58" i="24"/>
  <c r="D18" i="25"/>
  <c r="L15" i="25"/>
  <c r="V44" i="27"/>
  <c r="V58" i="27"/>
  <c r="V82" i="27"/>
  <c r="N29" i="29"/>
  <c r="L29" i="29"/>
  <c r="N20" i="32"/>
  <c r="H27" i="32"/>
  <c r="L21" i="37"/>
  <c r="N21" i="37"/>
  <c r="V22" i="12"/>
  <c r="J26" i="12"/>
  <c r="V30" i="12"/>
  <c r="J34" i="12"/>
  <c r="V38" i="12"/>
  <c r="H43" i="12"/>
  <c r="V46" i="12"/>
  <c r="J50" i="12"/>
  <c r="V54" i="12"/>
  <c r="V58" i="12"/>
  <c r="J62" i="12"/>
  <c r="V66" i="12"/>
  <c r="J68" i="12"/>
  <c r="V74" i="12"/>
  <c r="V78" i="12"/>
  <c r="J80" i="12"/>
  <c r="V86" i="12"/>
  <c r="V90" i="12"/>
  <c r="J92" i="12"/>
  <c r="V98" i="12"/>
  <c r="J100" i="12"/>
  <c r="V106" i="12"/>
  <c r="V110" i="12"/>
  <c r="J112" i="12"/>
  <c r="V114" i="12"/>
  <c r="J116" i="12"/>
  <c r="V118" i="12"/>
  <c r="V122" i="12"/>
  <c r="V130" i="12"/>
  <c r="V134" i="12"/>
  <c r="F27" i="13"/>
  <c r="V27" i="13"/>
  <c r="F31" i="13"/>
  <c r="V31" i="13"/>
  <c r="R16" i="14"/>
  <c r="V20" i="15"/>
  <c r="V28" i="15"/>
  <c r="J32" i="15"/>
  <c r="V36" i="15"/>
  <c r="J40" i="15"/>
  <c r="V42" i="15"/>
  <c r="J48" i="15"/>
  <c r="V52" i="15"/>
  <c r="V56" i="15"/>
  <c r="J60" i="15"/>
  <c r="V64" i="15"/>
  <c r="V68" i="15"/>
  <c r="J72" i="15"/>
  <c r="V76" i="15"/>
  <c r="V80" i="15"/>
  <c r="J84" i="15"/>
  <c r="V88" i="15"/>
  <c r="V92" i="15"/>
  <c r="J96" i="15"/>
  <c r="V100" i="15"/>
  <c r="V104" i="15"/>
  <c r="J108" i="15"/>
  <c r="J112" i="15"/>
  <c r="V116" i="15"/>
  <c r="J120" i="15"/>
  <c r="J124" i="15"/>
  <c r="J128" i="15"/>
  <c r="R27" i="16"/>
  <c r="R31" i="16"/>
  <c r="N12" i="17"/>
  <c r="J19" i="18"/>
  <c r="J20" i="18"/>
  <c r="T48" i="18"/>
  <c r="V48" i="18" s="1"/>
  <c r="V51" i="18"/>
  <c r="J60" i="18"/>
  <c r="J65" i="18"/>
  <c r="J72" i="18"/>
  <c r="N75" i="18"/>
  <c r="V85" i="18"/>
  <c r="X110" i="18"/>
  <c r="Z119" i="18"/>
  <c r="J125" i="18"/>
  <c r="V139" i="18"/>
  <c r="J143" i="18"/>
  <c r="J149" i="18"/>
  <c r="Z13" i="20"/>
  <c r="X13" i="20"/>
  <c r="L24" i="20"/>
  <c r="H77" i="21"/>
  <c r="N20" i="21"/>
  <c r="N52" i="21"/>
  <c r="T18" i="22"/>
  <c r="V33" i="22"/>
  <c r="L13" i="23"/>
  <c r="Z46" i="24"/>
  <c r="Z54" i="24"/>
  <c r="L20" i="26"/>
  <c r="L24" i="26"/>
  <c r="V69" i="27"/>
  <c r="V65" i="27"/>
  <c r="V57" i="27"/>
  <c r="V49" i="27"/>
  <c r="V37" i="27"/>
  <c r="V87" i="27"/>
  <c r="V75" i="27"/>
  <c r="V71" i="27"/>
  <c r="V67" i="27"/>
  <c r="V59" i="27"/>
  <c r="V47" i="27"/>
  <c r="V43" i="27"/>
  <c r="V35" i="27"/>
  <c r="V78" i="27"/>
  <c r="V74" i="27"/>
  <c r="V62" i="27"/>
  <c r="V54" i="27"/>
  <c r="V46" i="27"/>
  <c r="V42" i="27"/>
  <c r="V34" i="27"/>
  <c r="V26" i="27"/>
  <c r="V18" i="27"/>
  <c r="V81" i="27"/>
  <c r="V77" i="27"/>
  <c r="V73" i="27"/>
  <c r="V61" i="27"/>
  <c r="V53" i="27"/>
  <c r="V45" i="27"/>
  <c r="V41" i="27"/>
  <c r="V33" i="27"/>
  <c r="V25" i="27"/>
  <c r="V76" i="27"/>
  <c r="V64" i="27"/>
  <c r="V51" i="27"/>
  <c r="V40" i="27"/>
  <c r="V39" i="27"/>
  <c r="V68" i="27"/>
  <c r="V66" i="27"/>
  <c r="V52" i="27"/>
  <c r="V55" i="27"/>
  <c r="V36" i="27"/>
  <c r="V50" i="27"/>
  <c r="T30" i="27"/>
  <c r="V30" i="27" s="1"/>
  <c r="V20" i="27"/>
  <c r="V63" i="27"/>
  <c r="V38" i="27"/>
  <c r="V19" i="27"/>
  <c r="L18" i="27"/>
  <c r="N18" i="27" s="1"/>
  <c r="V28" i="27"/>
  <c r="L63" i="27"/>
  <c r="P80" i="27"/>
  <c r="X80" i="27" s="1"/>
  <c r="Z80" i="27" s="1"/>
  <c r="X81" i="27"/>
  <c r="Z81" i="27" s="1"/>
  <c r="Z59" i="30"/>
  <c r="L99" i="30"/>
  <c r="N99" i="30" s="1"/>
  <c r="P139" i="18"/>
  <c r="X139" i="18" s="1"/>
  <c r="Z139" i="18" s="1"/>
  <c r="L12" i="19"/>
  <c r="F15" i="19"/>
  <c r="D18" i="19"/>
  <c r="F25" i="19"/>
  <c r="F29" i="19"/>
  <c r="F33" i="19"/>
  <c r="F36" i="19"/>
  <c r="J16" i="20"/>
  <c r="J20" i="20"/>
  <c r="F22" i="20"/>
  <c r="V22" i="20"/>
  <c r="J16" i="21"/>
  <c r="V18" i="21"/>
  <c r="F22" i="21"/>
  <c r="V22" i="21"/>
  <c r="V26" i="21"/>
  <c r="J30" i="21"/>
  <c r="F31" i="21"/>
  <c r="J34" i="21"/>
  <c r="F35" i="21"/>
  <c r="V38" i="21"/>
  <c r="J42" i="21"/>
  <c r="V46" i="21"/>
  <c r="F51" i="21"/>
  <c r="F54" i="21"/>
  <c r="V54" i="21"/>
  <c r="J56" i="21"/>
  <c r="V58" i="21"/>
  <c r="J62" i="21"/>
  <c r="J66" i="21"/>
  <c r="F67" i="21"/>
  <c r="J70" i="21"/>
  <c r="F71" i="21"/>
  <c r="R15" i="22"/>
  <c r="P18" i="22"/>
  <c r="R25" i="22"/>
  <c r="J27" i="22"/>
  <c r="R29" i="22"/>
  <c r="J31" i="22"/>
  <c r="R33" i="22"/>
  <c r="J34" i="22"/>
  <c r="R36" i="22"/>
  <c r="Z12" i="23"/>
  <c r="F16" i="23"/>
  <c r="V16" i="23"/>
  <c r="F20" i="23"/>
  <c r="V20" i="23"/>
  <c r="V16" i="24"/>
  <c r="V24" i="24"/>
  <c r="V36" i="24"/>
  <c r="V44" i="24"/>
  <c r="V52" i="24"/>
  <c r="V56" i="24"/>
  <c r="F21" i="25"/>
  <c r="V21" i="25"/>
  <c r="R27" i="25"/>
  <c r="R31" i="25"/>
  <c r="N12" i="26"/>
  <c r="J22" i="26"/>
  <c r="R24" i="26"/>
  <c r="J25" i="27"/>
  <c r="J26" i="27"/>
  <c r="J43" i="27"/>
  <c r="X44" i="27"/>
  <c r="Z44" i="27" s="1"/>
  <c r="N57" i="27"/>
  <c r="J78" i="27"/>
  <c r="P18" i="28"/>
  <c r="L34" i="29"/>
  <c r="T112" i="30"/>
  <c r="V112" i="30" s="1"/>
  <c r="N59" i="30"/>
  <c r="X65" i="30"/>
  <c r="Z65" i="30" s="1"/>
  <c r="Z79" i="30"/>
  <c r="J21" i="31"/>
  <c r="J36" i="31"/>
  <c r="J33" i="31"/>
  <c r="J29" i="31"/>
  <c r="J25" i="31"/>
  <c r="H18" i="31"/>
  <c r="J15" i="31"/>
  <c r="J22" i="31"/>
  <c r="N12" i="31"/>
  <c r="J34" i="31"/>
  <c r="J31" i="31"/>
  <c r="J27" i="31"/>
  <c r="J24" i="31"/>
  <c r="X33" i="31"/>
  <c r="F24" i="32"/>
  <c r="F21" i="32"/>
  <c r="F18" i="32"/>
  <c r="F36" i="32"/>
  <c r="F33" i="32"/>
  <c r="F29" i="32"/>
  <c r="F25" i="32"/>
  <c r="D18" i="32"/>
  <c r="F15" i="32"/>
  <c r="L12" i="32"/>
  <c r="F22" i="32"/>
  <c r="F20" i="32"/>
  <c r="F16" i="32"/>
  <c r="F34" i="32"/>
  <c r="F31" i="32"/>
  <c r="F27" i="32"/>
  <c r="L16" i="32"/>
  <c r="X44" i="33"/>
  <c r="Z44" i="33" s="1"/>
  <c r="N48" i="33"/>
  <c r="N12" i="19"/>
  <c r="F18" i="19"/>
  <c r="J22" i="19"/>
  <c r="L12" i="20"/>
  <c r="F15" i="20"/>
  <c r="V15" i="20"/>
  <c r="D18" i="20"/>
  <c r="T18" i="20"/>
  <c r="F25" i="20"/>
  <c r="V25" i="20"/>
  <c r="F29" i="20"/>
  <c r="V29" i="20"/>
  <c r="F33" i="20"/>
  <c r="V33" i="20"/>
  <c r="F36" i="20"/>
  <c r="V36" i="20"/>
  <c r="L12" i="21"/>
  <c r="F24" i="21"/>
  <c r="V27" i="21"/>
  <c r="J31" i="21"/>
  <c r="J35" i="21"/>
  <c r="F36" i="21"/>
  <c r="V39" i="21"/>
  <c r="F43" i="21"/>
  <c r="V43" i="21"/>
  <c r="J45" i="21"/>
  <c r="F48" i="21"/>
  <c r="J51" i="21"/>
  <c r="V55" i="21"/>
  <c r="F60" i="21"/>
  <c r="F63" i="21"/>
  <c r="V63" i="21"/>
  <c r="J67" i="21"/>
  <c r="F68" i="21"/>
  <c r="J71" i="21"/>
  <c r="J75" i="21"/>
  <c r="J81" i="21"/>
  <c r="J16" i="22"/>
  <c r="R18" i="22"/>
  <c r="J20" i="22"/>
  <c r="V17" i="24"/>
  <c r="V21" i="24"/>
  <c r="V25" i="24"/>
  <c r="V37" i="24"/>
  <c r="V45" i="24"/>
  <c r="V53" i="24"/>
  <c r="V57" i="24"/>
  <c r="F24" i="25"/>
  <c r="V24" i="25"/>
  <c r="J15" i="26"/>
  <c r="H18" i="26"/>
  <c r="J25" i="26"/>
  <c r="R27" i="26"/>
  <c r="J29" i="26"/>
  <c r="R31" i="26"/>
  <c r="J33" i="26"/>
  <c r="R34" i="26"/>
  <c r="J36" i="26"/>
  <c r="P12" i="27"/>
  <c r="X33" i="27"/>
  <c r="Z33" i="27" s="1"/>
  <c r="J36" i="27"/>
  <c r="J42" i="27"/>
  <c r="J54" i="27"/>
  <c r="J57" i="27"/>
  <c r="X61" i="27"/>
  <c r="Z61" i="27" s="1"/>
  <c r="X73" i="27"/>
  <c r="X22" i="28"/>
  <c r="R27" i="28"/>
  <c r="N25" i="29"/>
  <c r="L25" i="29"/>
  <c r="X61" i="30"/>
  <c r="Z61" i="30" s="1"/>
  <c r="N63" i="30"/>
  <c r="L63" i="30"/>
  <c r="L67" i="30"/>
  <c r="N67" i="30" s="1"/>
  <c r="N73" i="30"/>
  <c r="X101" i="30"/>
  <c r="Z101" i="30" s="1"/>
  <c r="J18" i="31"/>
  <c r="Z22" i="33"/>
  <c r="L46" i="33"/>
  <c r="N46" i="33" s="1"/>
  <c r="Z58" i="33"/>
  <c r="L34" i="34"/>
  <c r="X20" i="35"/>
  <c r="J66" i="36"/>
  <c r="V98" i="39"/>
  <c r="V92" i="39"/>
  <c r="V88" i="39"/>
  <c r="V80" i="39"/>
  <c r="V72" i="39"/>
  <c r="V91" i="39"/>
  <c r="V87" i="39"/>
  <c r="V79" i="39"/>
  <c r="V71" i="39"/>
  <c r="V100" i="39"/>
  <c r="V94" i="39"/>
  <c r="V90" i="39"/>
  <c r="V86" i="39"/>
  <c r="V62" i="39"/>
  <c r="V54" i="39"/>
  <c r="V46" i="39"/>
  <c r="V38" i="39"/>
  <c r="V34" i="39"/>
  <c r="V26" i="39"/>
  <c r="V93" i="39"/>
  <c r="V85" i="39"/>
  <c r="V65" i="39"/>
  <c r="V57" i="39"/>
  <c r="V96" i="39"/>
  <c r="V84" i="39"/>
  <c r="V76" i="39"/>
  <c r="V68" i="39"/>
  <c r="V64" i="39"/>
  <c r="V56" i="39"/>
  <c r="V48" i="39"/>
  <c r="V44" i="39"/>
  <c r="V36" i="39"/>
  <c r="V32" i="39"/>
  <c r="V99" i="39"/>
  <c r="V95" i="39"/>
  <c r="V83" i="39"/>
  <c r="V75" i="39"/>
  <c r="V67" i="39"/>
  <c r="V59" i="39"/>
  <c r="V104" i="39"/>
  <c r="V82" i="39"/>
  <c r="V78" i="39"/>
  <c r="V74" i="39"/>
  <c r="V70" i="39"/>
  <c r="V66" i="39"/>
  <c r="V58" i="39"/>
  <c r="V50" i="39"/>
  <c r="V42" i="39"/>
  <c r="V30" i="39"/>
  <c r="V60" i="39"/>
  <c r="V77" i="39"/>
  <c r="V53" i="39"/>
  <c r="V45" i="39"/>
  <c r="V43" i="39"/>
  <c r="V25" i="39"/>
  <c r="V21" i="39"/>
  <c r="V61" i="39"/>
  <c r="V51" i="39"/>
  <c r="V49" i="39"/>
  <c r="V37" i="39"/>
  <c r="V35" i="39"/>
  <c r="V27" i="39"/>
  <c r="V89" i="39"/>
  <c r="V81" i="39"/>
  <c r="V63" i="39"/>
  <c r="V28" i="39"/>
  <c r="V19" i="39"/>
  <c r="V40" i="39"/>
  <c r="T23" i="39"/>
  <c r="V73" i="39"/>
  <c r="V41" i="39"/>
  <c r="V33" i="39"/>
  <c r="V31" i="39"/>
  <c r="V23" i="39"/>
  <c r="V55" i="39"/>
  <c r="V47" i="39"/>
  <c r="V69" i="39"/>
  <c r="V39" i="39"/>
  <c r="V52" i="39"/>
  <c r="V18" i="39"/>
  <c r="J21" i="19"/>
  <c r="F27" i="19"/>
  <c r="F31" i="19"/>
  <c r="F34" i="19"/>
  <c r="F20" i="21"/>
  <c r="V20" i="21"/>
  <c r="F27" i="21"/>
  <c r="V30" i="21"/>
  <c r="V34" i="21"/>
  <c r="J38" i="21"/>
  <c r="F39" i="21"/>
  <c r="V42" i="21"/>
  <c r="J46" i="21"/>
  <c r="F50" i="21"/>
  <c r="V50" i="21"/>
  <c r="J52" i="21"/>
  <c r="F55" i="21"/>
  <c r="J58" i="21"/>
  <c r="V62" i="21"/>
  <c r="V66" i="21"/>
  <c r="V70" i="21"/>
  <c r="J72" i="21"/>
  <c r="J25" i="22"/>
  <c r="R27" i="22"/>
  <c r="J29" i="22"/>
  <c r="R31" i="22"/>
  <c r="J33" i="22"/>
  <c r="R34" i="22"/>
  <c r="J36" i="22"/>
  <c r="V18" i="23"/>
  <c r="T19" i="24"/>
  <c r="V28" i="24"/>
  <c r="V32" i="24"/>
  <c r="V40" i="24"/>
  <c r="V48" i="24"/>
  <c r="R22" i="26"/>
  <c r="J24" i="26"/>
  <c r="J35" i="27"/>
  <c r="J46" i="27"/>
  <c r="N65" i="27"/>
  <c r="J75" i="27"/>
  <c r="X76" i="27"/>
  <c r="Z67" i="30"/>
  <c r="X77" i="30"/>
  <c r="Z77" i="30" s="1"/>
  <c r="X25" i="31"/>
  <c r="Z46" i="33"/>
  <c r="J105" i="36"/>
  <c r="J90" i="36"/>
  <c r="J82" i="36"/>
  <c r="J70" i="36"/>
  <c r="J62" i="36"/>
  <c r="J101" i="36"/>
  <c r="J95" i="36"/>
  <c r="J89" i="36"/>
  <c r="J81" i="36"/>
  <c r="J67" i="36"/>
  <c r="J59" i="36"/>
  <c r="J53" i="36"/>
  <c r="J45" i="36"/>
  <c r="J39" i="36"/>
  <c r="J33" i="36"/>
  <c r="J109" i="36"/>
  <c r="J104" i="36"/>
  <c r="J87" i="36"/>
  <c r="J79" i="36"/>
  <c r="J75" i="36"/>
  <c r="J69" i="36"/>
  <c r="J61" i="36"/>
  <c r="J55" i="36"/>
  <c r="J43" i="36"/>
  <c r="J31" i="36"/>
  <c r="J96" i="36"/>
  <c r="J92" i="36"/>
  <c r="J68" i="36"/>
  <c r="J60" i="36"/>
  <c r="J54" i="36"/>
  <c r="J48" i="36"/>
  <c r="J40" i="36"/>
  <c r="J36" i="36"/>
  <c r="J103" i="36"/>
  <c r="J99" i="36"/>
  <c r="J91" i="36"/>
  <c r="J85" i="36"/>
  <c r="J77" i="36"/>
  <c r="J73" i="36"/>
  <c r="J65" i="36"/>
  <c r="J51" i="36"/>
  <c r="J47" i="36"/>
  <c r="J35" i="36"/>
  <c r="J88" i="36"/>
  <c r="J84" i="36"/>
  <c r="J71" i="36"/>
  <c r="J63" i="36"/>
  <c r="J29" i="36"/>
  <c r="H25" i="36"/>
  <c r="J25" i="36" s="1"/>
  <c r="J23" i="36"/>
  <c r="J98" i="36"/>
  <c r="J97" i="36"/>
  <c r="J80" i="36"/>
  <c r="J76" i="36"/>
  <c r="J72" i="36"/>
  <c r="J64" i="36"/>
  <c r="J46" i="36"/>
  <c r="J41" i="36"/>
  <c r="J34" i="36"/>
  <c r="J30" i="36"/>
  <c r="J28" i="36"/>
  <c r="J22" i="36"/>
  <c r="J21" i="36"/>
  <c r="J93" i="36"/>
  <c r="J86" i="36"/>
  <c r="J50" i="36"/>
  <c r="J56" i="36"/>
  <c r="J52" i="36"/>
  <c r="J42" i="36"/>
  <c r="J20" i="36"/>
  <c r="J83" i="36"/>
  <c r="J27" i="36"/>
  <c r="J44" i="36"/>
  <c r="J38" i="36"/>
  <c r="N61" i="30"/>
  <c r="X73" i="30"/>
  <c r="Z73" i="30" s="1"/>
  <c r="L75" i="30"/>
  <c r="N75" i="30" s="1"/>
  <c r="L79" i="30"/>
  <c r="N79" i="30" s="1"/>
  <c r="X15" i="31"/>
  <c r="P69" i="33"/>
  <c r="X56" i="33"/>
  <c r="L24" i="35"/>
  <c r="L52" i="36"/>
  <c r="N52" i="36" s="1"/>
  <c r="J58" i="36"/>
  <c r="J74" i="36"/>
  <c r="J27" i="19"/>
  <c r="J31" i="19"/>
  <c r="J34" i="19"/>
  <c r="V24" i="21"/>
  <c r="F29" i="21"/>
  <c r="F33" i="21"/>
  <c r="V36" i="21"/>
  <c r="F41" i="21"/>
  <c r="J44" i="21"/>
  <c r="V48" i="21"/>
  <c r="J50" i="21"/>
  <c r="F53" i="21"/>
  <c r="F56" i="21"/>
  <c r="V56" i="21"/>
  <c r="V60" i="21"/>
  <c r="J64" i="21"/>
  <c r="F65" i="21"/>
  <c r="V68" i="21"/>
  <c r="F73" i="21"/>
  <c r="F79" i="21"/>
  <c r="V24" i="23"/>
  <c r="V22" i="24"/>
  <c r="V30" i="24"/>
  <c r="V34" i="24"/>
  <c r="V46" i="24"/>
  <c r="V54" i="24"/>
  <c r="V58" i="24"/>
  <c r="F29" i="25"/>
  <c r="F33" i="25"/>
  <c r="V33" i="25"/>
  <c r="F36" i="25"/>
  <c r="V36" i="25"/>
  <c r="J16" i="26"/>
  <c r="J77" i="27"/>
  <c r="J71" i="27"/>
  <c r="J67" i="27"/>
  <c r="J59" i="27"/>
  <c r="J53" i="27"/>
  <c r="J45" i="27"/>
  <c r="J41" i="27"/>
  <c r="J73" i="27"/>
  <c r="J61" i="27"/>
  <c r="J51" i="27"/>
  <c r="J39" i="27"/>
  <c r="J33" i="27"/>
  <c r="J83" i="27"/>
  <c r="J76" i="27"/>
  <c r="J70" i="27"/>
  <c r="J66" i="27"/>
  <c r="J58" i="27"/>
  <c r="J50" i="27"/>
  <c r="J44" i="27"/>
  <c r="J38" i="27"/>
  <c r="J22" i="27"/>
  <c r="J69" i="27"/>
  <c r="J63" i="27"/>
  <c r="J55" i="27"/>
  <c r="J49" i="27"/>
  <c r="J37" i="27"/>
  <c r="H30" i="27"/>
  <c r="J21" i="27"/>
  <c r="J23" i="27"/>
  <c r="J32" i="27"/>
  <c r="Z76" i="27"/>
  <c r="X37" i="30"/>
  <c r="Z37" i="30" s="1"/>
  <c r="X81" i="30"/>
  <c r="Z81" i="30" s="1"/>
  <c r="L91" i="30"/>
  <c r="N91" i="30" s="1"/>
  <c r="Z107" i="30"/>
  <c r="L22" i="33"/>
  <c r="N22" i="33" s="1"/>
  <c r="J32" i="36"/>
  <c r="J16" i="19"/>
  <c r="J27" i="20"/>
  <c r="J31" i="20"/>
  <c r="V17" i="21"/>
  <c r="J23" i="21"/>
  <c r="V25" i="21"/>
  <c r="J29" i="21"/>
  <c r="F30" i="21"/>
  <c r="J33" i="21"/>
  <c r="F34" i="21"/>
  <c r="V37" i="21"/>
  <c r="J41" i="21"/>
  <c r="F42" i="21"/>
  <c r="F45" i="21"/>
  <c r="V45" i="21"/>
  <c r="J47" i="21"/>
  <c r="V49" i="21"/>
  <c r="J53" i="21"/>
  <c r="V57" i="21"/>
  <c r="J59" i="21"/>
  <c r="F62" i="21"/>
  <c r="J65" i="21"/>
  <c r="F66" i="21"/>
  <c r="F70" i="21"/>
  <c r="J73" i="21"/>
  <c r="F75" i="21"/>
  <c r="V75" i="21"/>
  <c r="F27" i="23"/>
  <c r="V27" i="23"/>
  <c r="F31" i="23"/>
  <c r="V31" i="23"/>
  <c r="V23" i="24"/>
  <c r="V35" i="24"/>
  <c r="V47" i="24"/>
  <c r="V55" i="24"/>
  <c r="V59" i="24"/>
  <c r="V65" i="24"/>
  <c r="J24" i="27"/>
  <c r="J27" i="27"/>
  <c r="J28" i="27"/>
  <c r="N33" i="27"/>
  <c r="L55" i="27"/>
  <c r="N55" i="27" s="1"/>
  <c r="J56" i="27"/>
  <c r="J60" i="27"/>
  <c r="N61" i="27"/>
  <c r="J72" i="27"/>
  <c r="J80" i="27"/>
  <c r="J81" i="27"/>
  <c r="J82" i="27"/>
  <c r="D80" i="27"/>
  <c r="L80" i="27" s="1"/>
  <c r="N80" i="27" s="1"/>
  <c r="L83" i="27"/>
  <c r="R20" i="28"/>
  <c r="R16" i="28"/>
  <c r="R24" i="28"/>
  <c r="R21" i="28"/>
  <c r="R18" i="28"/>
  <c r="X13" i="29"/>
  <c r="Z48" i="30"/>
  <c r="N21" i="31"/>
  <c r="L21" i="31"/>
  <c r="Z34" i="31"/>
  <c r="X34" i="31"/>
  <c r="H69" i="33"/>
  <c r="J20" i="33"/>
  <c r="Z56" i="33"/>
  <c r="N58" i="33"/>
  <c r="J37" i="36"/>
  <c r="J57" i="36"/>
  <c r="N21" i="38"/>
  <c r="L21" i="38"/>
  <c r="V24" i="29"/>
  <c r="V18" i="30"/>
  <c r="V26" i="30"/>
  <c r="V42" i="30"/>
  <c r="V54" i="30"/>
  <c r="V62" i="30"/>
  <c r="V70" i="30"/>
  <c r="V74" i="30"/>
  <c r="V82" i="30"/>
  <c r="V86" i="30"/>
  <c r="V90" i="30"/>
  <c r="V98" i="30"/>
  <c r="J102" i="30"/>
  <c r="J109" i="30"/>
  <c r="V110" i="30"/>
  <c r="J114" i="30"/>
  <c r="F16" i="31"/>
  <c r="F20" i="31"/>
  <c r="V37" i="33"/>
  <c r="R38" i="33"/>
  <c r="J41" i="33"/>
  <c r="J45" i="33"/>
  <c r="V49" i="33"/>
  <c r="J57" i="33"/>
  <c r="J61" i="33"/>
  <c r="R63" i="33"/>
  <c r="R16" i="34"/>
  <c r="J18" i="34"/>
  <c r="R20" i="34"/>
  <c r="F24" i="34"/>
  <c r="V24" i="34"/>
  <c r="N13" i="35"/>
  <c r="F21" i="35"/>
  <c r="L25" i="35"/>
  <c r="L20" i="36"/>
  <c r="N20" i="36" s="1"/>
  <c r="V20" i="36"/>
  <c r="Z27" i="36"/>
  <c r="V30" i="36"/>
  <c r="N39" i="36"/>
  <c r="V50" i="36"/>
  <c r="V54" i="36"/>
  <c r="L59" i="36"/>
  <c r="L67" i="36"/>
  <c r="L69" i="36"/>
  <c r="X85" i="36"/>
  <c r="V92" i="36"/>
  <c r="L95" i="36"/>
  <c r="N95" i="36" s="1"/>
  <c r="V98" i="36"/>
  <c r="X103" i="36"/>
  <c r="X12" i="37"/>
  <c r="X34" i="38"/>
  <c r="N26" i="39"/>
  <c r="R30" i="39"/>
  <c r="N19" i="48"/>
  <c r="V27" i="29"/>
  <c r="V31" i="29"/>
  <c r="V34" i="29"/>
  <c r="V27" i="30"/>
  <c r="V43" i="30"/>
  <c r="V55" i="30"/>
  <c r="V59" i="30"/>
  <c r="V67" i="30"/>
  <c r="V71" i="30"/>
  <c r="V79" i="30"/>
  <c r="V83" i="30"/>
  <c r="V87" i="30"/>
  <c r="V34" i="35"/>
  <c r="V31" i="35"/>
  <c r="V27" i="35"/>
  <c r="V24" i="35"/>
  <c r="V29" i="35"/>
  <c r="N59" i="36"/>
  <c r="N67" i="36"/>
  <c r="Z85" i="36"/>
  <c r="R89" i="39"/>
  <c r="R81" i="39"/>
  <c r="R73" i="39"/>
  <c r="R92" i="39"/>
  <c r="R88" i="39"/>
  <c r="R80" i="39"/>
  <c r="R77" i="39"/>
  <c r="R72" i="39"/>
  <c r="R69" i="39"/>
  <c r="R91" i="39"/>
  <c r="R87" i="39"/>
  <c r="R63" i="39"/>
  <c r="R60" i="39"/>
  <c r="R55" i="39"/>
  <c r="R39" i="39"/>
  <c r="R35" i="39"/>
  <c r="R27" i="39"/>
  <c r="R100" i="39"/>
  <c r="R94" i="39"/>
  <c r="R86" i="39"/>
  <c r="R79" i="39"/>
  <c r="R71" i="39"/>
  <c r="R90" i="39"/>
  <c r="R85" i="39"/>
  <c r="R65" i="39"/>
  <c r="R62" i="39"/>
  <c r="R57" i="39"/>
  <c r="R45" i="39"/>
  <c r="R37" i="39"/>
  <c r="R33" i="39"/>
  <c r="R26" i="39"/>
  <c r="R96" i="39"/>
  <c r="R93" i="39"/>
  <c r="R84" i="39"/>
  <c r="R76" i="39"/>
  <c r="R68" i="39"/>
  <c r="R53" i="39"/>
  <c r="R99" i="39"/>
  <c r="R83" i="39"/>
  <c r="R75" i="39"/>
  <c r="R67" i="39"/>
  <c r="R64" i="39"/>
  <c r="R59" i="39"/>
  <c r="R56" i="39"/>
  <c r="R43" i="39"/>
  <c r="R36" i="39"/>
  <c r="R31" i="39"/>
  <c r="R70" i="39"/>
  <c r="R42" i="39"/>
  <c r="R41" i="39"/>
  <c r="P23" i="39"/>
  <c r="R74" i="39"/>
  <c r="R44" i="39"/>
  <c r="R34" i="39"/>
  <c r="R104" i="39"/>
  <c r="R54" i="39"/>
  <c r="R46" i="39"/>
  <c r="R61" i="39"/>
  <c r="R25" i="39"/>
  <c r="R20" i="39"/>
  <c r="X12" i="39"/>
  <c r="Z12" i="39" s="1"/>
  <c r="R66" i="39"/>
  <c r="R58" i="39"/>
  <c r="R48" i="39"/>
  <c r="R18" i="39"/>
  <c r="R47" i="39"/>
  <c r="R40" i="39"/>
  <c r="R32" i="39"/>
  <c r="R23" i="39"/>
  <c r="R21" i="39"/>
  <c r="R29" i="39"/>
  <c r="R51" i="39"/>
  <c r="L62" i="39"/>
  <c r="N62" i="39" s="1"/>
  <c r="D12" i="42"/>
  <c r="L13" i="42"/>
  <c r="N13" i="42" s="1"/>
  <c r="L69" i="42"/>
  <c r="N69" i="42" s="1"/>
  <c r="Z75" i="42"/>
  <c r="X75" i="42"/>
  <c r="L77" i="42"/>
  <c r="N77" i="42" s="1"/>
  <c r="X46" i="45"/>
  <c r="Z46" i="45" s="1"/>
  <c r="L48" i="45"/>
  <c r="N48" i="45" s="1"/>
  <c r="J16" i="28"/>
  <c r="J20" i="28"/>
  <c r="V22" i="28"/>
  <c r="R15" i="29"/>
  <c r="P18" i="29"/>
  <c r="R25" i="29"/>
  <c r="J27" i="29"/>
  <c r="R29" i="29"/>
  <c r="J31" i="29"/>
  <c r="R33" i="29"/>
  <c r="J34" i="29"/>
  <c r="R36" i="29"/>
  <c r="D12" i="30"/>
  <c r="V21" i="30"/>
  <c r="J25" i="30"/>
  <c r="V29" i="30"/>
  <c r="J33" i="30"/>
  <c r="V35" i="30"/>
  <c r="J41" i="30"/>
  <c r="V45" i="30"/>
  <c r="V49" i="30"/>
  <c r="J53" i="30"/>
  <c r="V57" i="30"/>
  <c r="J59" i="30"/>
  <c r="V65" i="30"/>
  <c r="J67" i="30"/>
  <c r="V69" i="30"/>
  <c r="V77" i="30"/>
  <c r="J79" i="30"/>
  <c r="J85" i="30"/>
  <c r="J89" i="30"/>
  <c r="J93" i="30"/>
  <c r="J97" i="30"/>
  <c r="V101" i="30"/>
  <c r="V105" i="30"/>
  <c r="X108" i="30"/>
  <c r="Z108" i="30" s="1"/>
  <c r="J110" i="30"/>
  <c r="L12" i="31"/>
  <c r="F15" i="31"/>
  <c r="D18" i="31"/>
  <c r="R21" i="31"/>
  <c r="F25" i="31"/>
  <c r="F29" i="31"/>
  <c r="F33" i="31"/>
  <c r="F36" i="31"/>
  <c r="J16" i="32"/>
  <c r="R18" i="32"/>
  <c r="J20" i="32"/>
  <c r="V22" i="32"/>
  <c r="R20" i="33"/>
  <c r="J22" i="33"/>
  <c r="J24" i="33"/>
  <c r="V28" i="33"/>
  <c r="R29" i="33"/>
  <c r="J32" i="33"/>
  <c r="J36" i="33"/>
  <c r="V40" i="33"/>
  <c r="R41" i="33"/>
  <c r="V44" i="33"/>
  <c r="R45" i="33"/>
  <c r="J46" i="33"/>
  <c r="R50" i="33"/>
  <c r="J52" i="33"/>
  <c r="V56" i="33"/>
  <c r="R57" i="33"/>
  <c r="J58" i="33"/>
  <c r="V60" i="33"/>
  <c r="R61" i="33"/>
  <c r="V64" i="33"/>
  <c r="R15" i="34"/>
  <c r="P18" i="34"/>
  <c r="R25" i="34"/>
  <c r="J27" i="34"/>
  <c r="R29" i="34"/>
  <c r="J31" i="34"/>
  <c r="R33" i="34"/>
  <c r="J34" i="34"/>
  <c r="R36" i="34"/>
  <c r="Z12" i="35"/>
  <c r="F16" i="35"/>
  <c r="V16" i="35"/>
  <c r="V20" i="35"/>
  <c r="R22" i="35"/>
  <c r="V36" i="35"/>
  <c r="T25" i="36"/>
  <c r="V38" i="36"/>
  <c r="V61" i="36"/>
  <c r="V69" i="36"/>
  <c r="V82" i="36"/>
  <c r="N100" i="36"/>
  <c r="V101" i="36"/>
  <c r="Z34" i="37"/>
  <c r="Z26" i="39"/>
  <c r="R38" i="39"/>
  <c r="R50" i="39"/>
  <c r="Z20" i="47"/>
  <c r="X20" i="47"/>
  <c r="N24" i="47"/>
  <c r="L24" i="47"/>
  <c r="Z22" i="53"/>
  <c r="X22" i="53"/>
  <c r="V15" i="28"/>
  <c r="T18" i="28"/>
  <c r="V25" i="28"/>
  <c r="V29" i="28"/>
  <c r="V33" i="28"/>
  <c r="V36" i="28"/>
  <c r="J16" i="29"/>
  <c r="R18" i="29"/>
  <c r="J20" i="29"/>
  <c r="V22" i="29"/>
  <c r="V22" i="30"/>
  <c r="J26" i="30"/>
  <c r="V30" i="30"/>
  <c r="H35" i="30"/>
  <c r="J35" i="30" s="1"/>
  <c r="V38" i="30"/>
  <c r="J42" i="30"/>
  <c r="V46" i="30"/>
  <c r="J48" i="30"/>
  <c r="V50" i="30"/>
  <c r="J54" i="30"/>
  <c r="V58" i="30"/>
  <c r="J62" i="30"/>
  <c r="V66" i="30"/>
  <c r="J74" i="30"/>
  <c r="V78" i="30"/>
  <c r="J82" i="30"/>
  <c r="J86" i="30"/>
  <c r="J90" i="30"/>
  <c r="V94" i="30"/>
  <c r="J98" i="30"/>
  <c r="V102" i="30"/>
  <c r="J104" i="30"/>
  <c r="V114" i="30"/>
  <c r="F18" i="31"/>
  <c r="R24" i="31"/>
  <c r="P27" i="31"/>
  <c r="V15" i="32"/>
  <c r="T18" i="32"/>
  <c r="R21" i="32"/>
  <c r="V25" i="32"/>
  <c r="V29" i="32"/>
  <c r="V33" i="32"/>
  <c r="V36" i="32"/>
  <c r="N17" i="33"/>
  <c r="T20" i="33"/>
  <c r="R23" i="33"/>
  <c r="V29" i="33"/>
  <c r="R30" i="33"/>
  <c r="V33" i="33"/>
  <c r="R34" i="33"/>
  <c r="J37" i="33"/>
  <c r="V41" i="33"/>
  <c r="R42" i="33"/>
  <c r="V45" i="33"/>
  <c r="J49" i="33"/>
  <c r="V53" i="33"/>
  <c r="R54" i="33"/>
  <c r="V57" i="33"/>
  <c r="V61" i="33"/>
  <c r="R62" i="33"/>
  <c r="J63" i="33"/>
  <c r="R69" i="33"/>
  <c r="J16" i="34"/>
  <c r="R18" i="34"/>
  <c r="J20" i="34"/>
  <c r="F22" i="34"/>
  <c r="V22" i="34"/>
  <c r="F34" i="35"/>
  <c r="F31" i="35"/>
  <c r="F27" i="35"/>
  <c r="R15" i="35"/>
  <c r="P18" i="35"/>
  <c r="V25" i="35"/>
  <c r="R33" i="35"/>
  <c r="F36" i="35"/>
  <c r="V25" i="36"/>
  <c r="Z67" i="36"/>
  <c r="Z95" i="36"/>
  <c r="F36" i="37"/>
  <c r="F33" i="37"/>
  <c r="F29" i="37"/>
  <c r="F25" i="37"/>
  <c r="D18" i="37"/>
  <c r="F15" i="37"/>
  <c r="L12" i="37"/>
  <c r="F22" i="37"/>
  <c r="F20" i="37"/>
  <c r="F16" i="37"/>
  <c r="F21" i="37"/>
  <c r="F18" i="37"/>
  <c r="X16" i="37"/>
  <c r="F34" i="37"/>
  <c r="R28" i="39"/>
  <c r="N12" i="28"/>
  <c r="V18" i="28"/>
  <c r="L12" i="29"/>
  <c r="F15" i="29"/>
  <c r="V15" i="29"/>
  <c r="D18" i="29"/>
  <c r="T18" i="29"/>
  <c r="R21" i="29"/>
  <c r="F25" i="29"/>
  <c r="V25" i="29"/>
  <c r="F29" i="29"/>
  <c r="V29" i="29"/>
  <c r="F33" i="29"/>
  <c r="V33" i="29"/>
  <c r="V36" i="29"/>
  <c r="J19" i="30"/>
  <c r="V23" i="30"/>
  <c r="J27" i="30"/>
  <c r="V31" i="30"/>
  <c r="V39" i="30"/>
  <c r="J43" i="30"/>
  <c r="V47" i="30"/>
  <c r="V51" i="30"/>
  <c r="J55" i="30"/>
  <c r="V63" i="30"/>
  <c r="J65" i="30"/>
  <c r="J71" i="30"/>
  <c r="V75" i="30"/>
  <c r="J77" i="30"/>
  <c r="J83" i="30"/>
  <c r="J87" i="30"/>
  <c r="V91" i="30"/>
  <c r="V95" i="30"/>
  <c r="V99" i="30"/>
  <c r="J101" i="30"/>
  <c r="V103" i="30"/>
  <c r="J108" i="30"/>
  <c r="V109" i="30"/>
  <c r="F21" i="31"/>
  <c r="R27" i="31"/>
  <c r="R31" i="31"/>
  <c r="N12" i="32"/>
  <c r="V18" i="32"/>
  <c r="R24" i="32"/>
  <c r="J18" i="33"/>
  <c r="V20" i="33"/>
  <c r="J26" i="33"/>
  <c r="V30" i="33"/>
  <c r="R31" i="33"/>
  <c r="V34" i="33"/>
  <c r="R35" i="33"/>
  <c r="J38" i="33"/>
  <c r="V42" i="33"/>
  <c r="R43" i="33"/>
  <c r="J44" i="33"/>
  <c r="R48" i="33"/>
  <c r="V50" i="33"/>
  <c r="R51" i="33"/>
  <c r="V54" i="33"/>
  <c r="R55" i="33"/>
  <c r="J56" i="33"/>
  <c r="V62" i="33"/>
  <c r="R66" i="33"/>
  <c r="J67" i="33"/>
  <c r="R71" i="33"/>
  <c r="L12" i="34"/>
  <c r="F15" i="34"/>
  <c r="V15" i="34"/>
  <c r="D18" i="34"/>
  <c r="T18" i="34"/>
  <c r="R21" i="34"/>
  <c r="F25" i="34"/>
  <c r="V25" i="34"/>
  <c r="F29" i="34"/>
  <c r="V29" i="34"/>
  <c r="F33" i="34"/>
  <c r="V33" i="34"/>
  <c r="J16" i="35"/>
  <c r="R18" i="35"/>
  <c r="F22" i="35"/>
  <c r="V22" i="35"/>
  <c r="F25" i="35"/>
  <c r="R27" i="35"/>
  <c r="P12" i="36"/>
  <c r="X39" i="36"/>
  <c r="Z39" i="36" s="1"/>
  <c r="V53" i="36"/>
  <c r="X59" i="36"/>
  <c r="Z59" i="36" s="1"/>
  <c r="X67" i="36"/>
  <c r="V81" i="36"/>
  <c r="X95" i="36"/>
  <c r="D103" i="36"/>
  <c r="L103" i="36" s="1"/>
  <c r="V27" i="37"/>
  <c r="R18" i="38"/>
  <c r="R36" i="38"/>
  <c r="R33" i="38"/>
  <c r="R29" i="38"/>
  <c r="R25" i="38"/>
  <c r="P18" i="38"/>
  <c r="R15" i="38"/>
  <c r="X12" i="38"/>
  <c r="R24" i="38"/>
  <c r="R21" i="38"/>
  <c r="R16" i="38"/>
  <c r="R27" i="38"/>
  <c r="D12" i="39"/>
  <c r="R19" i="39"/>
  <c r="H102" i="39"/>
  <c r="H78" i="51"/>
  <c r="J78" i="51" s="1"/>
  <c r="J30" i="51"/>
  <c r="V21" i="32"/>
  <c r="R27" i="32"/>
  <c r="R31" i="32"/>
  <c r="R34" i="32"/>
  <c r="R17" i="33"/>
  <c r="V23" i="33"/>
  <c r="R24" i="33"/>
  <c r="V31" i="33"/>
  <c r="R32" i="33"/>
  <c r="V35" i="33"/>
  <c r="R36" i="33"/>
  <c r="V43" i="33"/>
  <c r="V51" i="33"/>
  <c r="R52" i="33"/>
  <c r="J53" i="33"/>
  <c r="V55" i="33"/>
  <c r="J59" i="33"/>
  <c r="V71" i="33"/>
  <c r="R24" i="34"/>
  <c r="V15" i="35"/>
  <c r="T18" i="35"/>
  <c r="V33" i="35"/>
  <c r="V94" i="36"/>
  <c r="V86" i="36"/>
  <c r="V78" i="36"/>
  <c r="V74" i="36"/>
  <c r="V66" i="36"/>
  <c r="V58" i="36"/>
  <c r="V103" i="36"/>
  <c r="V97" i="36"/>
  <c r="V93" i="36"/>
  <c r="V85" i="36"/>
  <c r="V77" i="36"/>
  <c r="V73" i="36"/>
  <c r="V65" i="36"/>
  <c r="V57" i="36"/>
  <c r="V49" i="36"/>
  <c r="V41" i="36"/>
  <c r="V37" i="36"/>
  <c r="V29" i="36"/>
  <c r="V105" i="36"/>
  <c r="V99" i="36"/>
  <c r="V95" i="36"/>
  <c r="V91" i="36"/>
  <c r="V67" i="36"/>
  <c r="V59" i="36"/>
  <c r="V51" i="36"/>
  <c r="V47" i="36"/>
  <c r="V39" i="36"/>
  <c r="V35" i="36"/>
  <c r="V104" i="36"/>
  <c r="V100" i="36"/>
  <c r="V88" i="36"/>
  <c r="V84" i="36"/>
  <c r="V80" i="36"/>
  <c r="V76" i="36"/>
  <c r="V72" i="36"/>
  <c r="V64" i="36"/>
  <c r="V52" i="36"/>
  <c r="V44" i="36"/>
  <c r="V32" i="36"/>
  <c r="V109" i="36"/>
  <c r="V87" i="36"/>
  <c r="V83" i="36"/>
  <c r="V79" i="36"/>
  <c r="V75" i="36"/>
  <c r="V71" i="36"/>
  <c r="V63" i="36"/>
  <c r="V55" i="36"/>
  <c r="V43" i="36"/>
  <c r="V31" i="36"/>
  <c r="V27" i="36"/>
  <c r="V23" i="36"/>
  <c r="V36" i="36"/>
  <c r="V42" i="36"/>
  <c r="V48" i="36"/>
  <c r="X65" i="36"/>
  <c r="Z65" i="36" s="1"/>
  <c r="X73" i="36"/>
  <c r="X77" i="36"/>
  <c r="X22" i="37"/>
  <c r="V22" i="38"/>
  <c r="V34" i="38"/>
  <c r="V31" i="38"/>
  <c r="V27" i="38"/>
  <c r="V18" i="38"/>
  <c r="V36" i="38"/>
  <c r="V33" i="38"/>
  <c r="V29" i="38"/>
  <c r="V25" i="38"/>
  <c r="T18" i="38"/>
  <c r="V15" i="38"/>
  <c r="V21" i="38"/>
  <c r="R34" i="38"/>
  <c r="R49" i="39"/>
  <c r="R95" i="39"/>
  <c r="J34" i="41"/>
  <c r="J31" i="41"/>
  <c r="J27" i="41"/>
  <c r="J24" i="41"/>
  <c r="J21" i="41"/>
  <c r="J18" i="41"/>
  <c r="J36" i="41"/>
  <c r="J33" i="41"/>
  <c r="J29" i="41"/>
  <c r="J25" i="41"/>
  <c r="H18" i="41"/>
  <c r="J15" i="41"/>
  <c r="J22" i="41"/>
  <c r="N12" i="41"/>
  <c r="J16" i="41"/>
  <c r="J20" i="41"/>
  <c r="N22" i="44"/>
  <c r="L22" i="44"/>
  <c r="J15" i="29"/>
  <c r="H18" i="29"/>
  <c r="J25" i="29"/>
  <c r="R27" i="29"/>
  <c r="J29" i="29"/>
  <c r="R31" i="29"/>
  <c r="J33" i="29"/>
  <c r="J21" i="30"/>
  <c r="V25" i="30"/>
  <c r="J29" i="30"/>
  <c r="V33" i="30"/>
  <c r="V37" i="30"/>
  <c r="V41" i="30"/>
  <c r="J45" i="30"/>
  <c r="J49" i="30"/>
  <c r="V53" i="30"/>
  <c r="J57" i="30"/>
  <c r="V61" i="30"/>
  <c r="J63" i="30"/>
  <c r="J69" i="30"/>
  <c r="V73" i="30"/>
  <c r="J75" i="30"/>
  <c r="V81" i="30"/>
  <c r="V85" i="30"/>
  <c r="V89" i="30"/>
  <c r="J91" i="30"/>
  <c r="V93" i="30"/>
  <c r="V97" i="30"/>
  <c r="J99" i="30"/>
  <c r="F27" i="31"/>
  <c r="F31" i="31"/>
  <c r="R16" i="32"/>
  <c r="R22" i="33"/>
  <c r="V24" i="33"/>
  <c r="R25" i="33"/>
  <c r="V32" i="33"/>
  <c r="V36" i="33"/>
  <c r="R37" i="33"/>
  <c r="R46" i="33"/>
  <c r="V48" i="33"/>
  <c r="R49" i="33"/>
  <c r="J50" i="33"/>
  <c r="V52" i="33"/>
  <c r="J60" i="33"/>
  <c r="J25" i="34"/>
  <c r="R27" i="34"/>
  <c r="J29" i="34"/>
  <c r="R31" i="34"/>
  <c r="J33" i="34"/>
  <c r="V18" i="35"/>
  <c r="R24" i="35"/>
  <c r="R29" i="35"/>
  <c r="F33" i="35"/>
  <c r="V56" i="36"/>
  <c r="N61" i="36"/>
  <c r="Z73" i="36"/>
  <c r="Z77" i="36"/>
  <c r="V89" i="36"/>
  <c r="V36" i="37"/>
  <c r="V33" i="37"/>
  <c r="V29" i="37"/>
  <c r="V25" i="37"/>
  <c r="T18" i="37"/>
  <c r="X18" i="37" s="1"/>
  <c r="V15" i="37"/>
  <c r="V22" i="37"/>
  <c r="V20" i="37"/>
  <c r="V16" i="37"/>
  <c r="Z12" i="37"/>
  <c r="V21" i="37"/>
  <c r="V18" i="37"/>
  <c r="P27" i="37"/>
  <c r="N36" i="39"/>
  <c r="R52" i="39"/>
  <c r="N12" i="37"/>
  <c r="J22" i="37"/>
  <c r="R24" i="37"/>
  <c r="L12" i="38"/>
  <c r="F15" i="38"/>
  <c r="D18" i="38"/>
  <c r="F25" i="38"/>
  <c r="F29" i="38"/>
  <c r="F33" i="38"/>
  <c r="F36" i="38"/>
  <c r="L13" i="39"/>
  <c r="N13" i="39" s="1"/>
  <c r="J19" i="39"/>
  <c r="J25" i="39"/>
  <c r="J49" i="39"/>
  <c r="N51" i="39"/>
  <c r="J57" i="39"/>
  <c r="X58" i="39"/>
  <c r="Z58" i="39" s="1"/>
  <c r="J65" i="39"/>
  <c r="X66" i="39"/>
  <c r="Z66" i="39" s="1"/>
  <c r="L98" i="39"/>
  <c r="P98" i="39"/>
  <c r="X98" i="39" s="1"/>
  <c r="X99" i="39"/>
  <c r="X15" i="41"/>
  <c r="N25" i="42"/>
  <c r="J54" i="42"/>
  <c r="Z58" i="42"/>
  <c r="F91" i="45"/>
  <c r="F85" i="45"/>
  <c r="F77" i="45"/>
  <c r="F68" i="45"/>
  <c r="F64" i="45"/>
  <c r="F61" i="45"/>
  <c r="F56" i="45"/>
  <c r="F53" i="45"/>
  <c r="F48" i="45"/>
  <c r="F45" i="45"/>
  <c r="F37" i="45"/>
  <c r="F33" i="45"/>
  <c r="F25" i="45"/>
  <c r="F76" i="45"/>
  <c r="F72" i="45"/>
  <c r="F44" i="45"/>
  <c r="F36" i="45"/>
  <c r="F32" i="45"/>
  <c r="F23" i="45"/>
  <c r="F75" i="45"/>
  <c r="F71" i="45"/>
  <c r="F67" i="45"/>
  <c r="F63" i="45"/>
  <c r="F58" i="45"/>
  <c r="F55" i="45"/>
  <c r="F50" i="45"/>
  <c r="F47" i="45"/>
  <c r="F43" i="45"/>
  <c r="F31" i="45"/>
  <c r="F81" i="45"/>
  <c r="F74" i="45"/>
  <c r="F70" i="45"/>
  <c r="F66" i="45"/>
  <c r="F42" i="45"/>
  <c r="F30" i="45"/>
  <c r="F17" i="45"/>
  <c r="F84" i="45"/>
  <c r="F69" i="45"/>
  <c r="F65" i="45"/>
  <c r="F60" i="45"/>
  <c r="F57" i="45"/>
  <c r="F52" i="45"/>
  <c r="F49" i="45"/>
  <c r="F41" i="45"/>
  <c r="F29" i="45"/>
  <c r="F24" i="45"/>
  <c r="F80" i="45"/>
  <c r="F40" i="45"/>
  <c r="F35" i="45"/>
  <c r="F28" i="45"/>
  <c r="F83" i="45"/>
  <c r="F79" i="45"/>
  <c r="F62" i="45"/>
  <c r="F59" i="45"/>
  <c r="F54" i="45"/>
  <c r="F51" i="45"/>
  <c r="F46" i="45"/>
  <c r="F39" i="45"/>
  <c r="F27" i="45"/>
  <c r="D21" i="45"/>
  <c r="F19" i="45"/>
  <c r="P12" i="45"/>
  <c r="X15" i="45"/>
  <c r="N46" i="45"/>
  <c r="N58" i="45"/>
  <c r="F82" i="45"/>
  <c r="X13" i="47"/>
  <c r="X51" i="48"/>
  <c r="Z51" i="48" s="1"/>
  <c r="N18" i="56"/>
  <c r="L18" i="56"/>
  <c r="Z59" i="70"/>
  <c r="J15" i="37"/>
  <c r="H18" i="37"/>
  <c r="J25" i="37"/>
  <c r="R27" i="37"/>
  <c r="J29" i="37"/>
  <c r="R31" i="37"/>
  <c r="J33" i="37"/>
  <c r="R34" i="37"/>
  <c r="J36" i="37"/>
  <c r="N12" i="38"/>
  <c r="F18" i="38"/>
  <c r="J22" i="38"/>
  <c r="J20" i="39"/>
  <c r="J51" i="39"/>
  <c r="J53" i="39"/>
  <c r="J68" i="39"/>
  <c r="X69" i="39"/>
  <c r="N90" i="39"/>
  <c r="X29" i="41"/>
  <c r="N51" i="42"/>
  <c r="N60" i="42"/>
  <c r="Z64" i="45"/>
  <c r="J24" i="37"/>
  <c r="J21" i="38"/>
  <c r="F27" i="38"/>
  <c r="F31" i="38"/>
  <c r="J23" i="39"/>
  <c r="J41" i="39"/>
  <c r="J47" i="39"/>
  <c r="Z56" i="39"/>
  <c r="J59" i="39"/>
  <c r="N60" i="39"/>
  <c r="N71" i="39"/>
  <c r="J100" i="39"/>
  <c r="J46" i="42"/>
  <c r="Z66" i="42"/>
  <c r="J90" i="42"/>
  <c r="J94" i="42"/>
  <c r="N25" i="43"/>
  <c r="L25" i="43"/>
  <c r="N29" i="43"/>
  <c r="L29" i="43"/>
  <c r="N33" i="43"/>
  <c r="L33" i="43"/>
  <c r="Z48" i="45"/>
  <c r="L56" i="45"/>
  <c r="N56" i="45" s="1"/>
  <c r="Z60" i="45"/>
  <c r="Z84" i="45"/>
  <c r="Z16" i="47"/>
  <c r="X16" i="47"/>
  <c r="N21" i="49"/>
  <c r="L21" i="49"/>
  <c r="J71" i="39"/>
  <c r="J85" i="39"/>
  <c r="Z47" i="42"/>
  <c r="X47" i="42"/>
  <c r="N49" i="42"/>
  <c r="L49" i="42"/>
  <c r="Z91" i="42"/>
  <c r="X91" i="42"/>
  <c r="N15" i="43"/>
  <c r="L15" i="43"/>
  <c r="X54" i="45"/>
  <c r="Z54" i="45" s="1"/>
  <c r="N68" i="45"/>
  <c r="L68" i="45"/>
  <c r="N34" i="46"/>
  <c r="L34" i="46"/>
  <c r="V18" i="50"/>
  <c r="V36" i="50"/>
  <c r="V33" i="50"/>
  <c r="V29" i="50"/>
  <c r="V25" i="50"/>
  <c r="T18" i="50"/>
  <c r="V15" i="50"/>
  <c r="V22" i="50"/>
  <c r="V20" i="50"/>
  <c r="V16" i="50"/>
  <c r="Z12" i="50"/>
  <c r="V34" i="50"/>
  <c r="V31" i="50"/>
  <c r="V27" i="50"/>
  <c r="V24" i="50"/>
  <c r="J16" i="37"/>
  <c r="J27" i="38"/>
  <c r="J31" i="38"/>
  <c r="J34" i="38"/>
  <c r="Z36" i="39"/>
  <c r="Z60" i="39"/>
  <c r="Z53" i="42"/>
  <c r="Z21" i="43"/>
  <c r="X21" i="43"/>
  <c r="D27" i="44"/>
  <c r="N50" i="45"/>
  <c r="Z56" i="45"/>
  <c r="Z81" i="45"/>
  <c r="X15" i="46"/>
  <c r="P18" i="46"/>
  <c r="T26" i="54"/>
  <c r="Z22" i="54"/>
  <c r="J16" i="38"/>
  <c r="J96" i="39"/>
  <c r="J90" i="39"/>
  <c r="J84" i="39"/>
  <c r="J76" i="39"/>
  <c r="J93" i="39"/>
  <c r="J83" i="39"/>
  <c r="J75" i="39"/>
  <c r="J67" i="39"/>
  <c r="J104" i="39"/>
  <c r="J99" i="39"/>
  <c r="J82" i="39"/>
  <c r="J78" i="39"/>
  <c r="J74" i="39"/>
  <c r="J70" i="39"/>
  <c r="J64" i="39"/>
  <c r="J56" i="39"/>
  <c r="J50" i="39"/>
  <c r="J42" i="39"/>
  <c r="J36" i="39"/>
  <c r="J30" i="39"/>
  <c r="J95" i="39"/>
  <c r="J89" i="39"/>
  <c r="J81" i="39"/>
  <c r="J73" i="39"/>
  <c r="J61" i="39"/>
  <c r="J102" i="39"/>
  <c r="J92" i="39"/>
  <c r="J88" i="39"/>
  <c r="J80" i="39"/>
  <c r="J72" i="39"/>
  <c r="J66" i="39"/>
  <c r="J58" i="39"/>
  <c r="J52" i="39"/>
  <c r="J40" i="39"/>
  <c r="J28" i="39"/>
  <c r="J91" i="39"/>
  <c r="J87" i="39"/>
  <c r="J77" i="39"/>
  <c r="J69" i="39"/>
  <c r="J63" i="39"/>
  <c r="J55" i="39"/>
  <c r="J98" i="39"/>
  <c r="J94" i="39"/>
  <c r="J86" i="39"/>
  <c r="J60" i="39"/>
  <c r="J54" i="39"/>
  <c r="J46" i="39"/>
  <c r="J38" i="39"/>
  <c r="J34" i="39"/>
  <c r="J29" i="39"/>
  <c r="J39" i="39"/>
  <c r="J79" i="39"/>
  <c r="J96" i="42"/>
  <c r="J81" i="42"/>
  <c r="J73" i="42"/>
  <c r="J65" i="42"/>
  <c r="J57" i="42"/>
  <c r="J51" i="42"/>
  <c r="J45" i="42"/>
  <c r="J37" i="42"/>
  <c r="J33" i="42"/>
  <c r="J92" i="42"/>
  <c r="J86" i="42"/>
  <c r="J80" i="42"/>
  <c r="J76" i="42"/>
  <c r="J72" i="42"/>
  <c r="J68" i="42"/>
  <c r="J62" i="42"/>
  <c r="J48" i="42"/>
  <c r="J44" i="42"/>
  <c r="J32" i="42"/>
  <c r="J26" i="42"/>
  <c r="J18" i="42"/>
  <c r="J89" i="42"/>
  <c r="J79" i="42"/>
  <c r="J71" i="42"/>
  <c r="J67" i="42"/>
  <c r="J59" i="42"/>
  <c r="J53" i="42"/>
  <c r="J43" i="42"/>
  <c r="J31" i="42"/>
  <c r="J100" i="42"/>
  <c r="J95" i="42"/>
  <c r="J78" i="42"/>
  <c r="J70" i="42"/>
  <c r="J64" i="42"/>
  <c r="J56" i="42"/>
  <c r="J50" i="42"/>
  <c r="J42" i="42"/>
  <c r="J36" i="42"/>
  <c r="J30" i="42"/>
  <c r="H23" i="42"/>
  <c r="J23" i="42" s="1"/>
  <c r="J91" i="42"/>
  <c r="J85" i="42"/>
  <c r="J75" i="42"/>
  <c r="J61" i="42"/>
  <c r="J47" i="42"/>
  <c r="J41" i="42"/>
  <c r="J29" i="42"/>
  <c r="J21" i="42"/>
  <c r="J88" i="42"/>
  <c r="J84" i="42"/>
  <c r="J66" i="42"/>
  <c r="J58" i="42"/>
  <c r="J52" i="42"/>
  <c r="J40" i="42"/>
  <c r="J28" i="42"/>
  <c r="J20" i="42"/>
  <c r="J87" i="42"/>
  <c r="J83" i="42"/>
  <c r="J77" i="42"/>
  <c r="J69" i="42"/>
  <c r="J63" i="42"/>
  <c r="J55" i="42"/>
  <c r="J49" i="42"/>
  <c r="J39" i="42"/>
  <c r="J35" i="42"/>
  <c r="J27" i="42"/>
  <c r="J25" i="42"/>
  <c r="J19" i="42"/>
  <c r="Z62" i="45"/>
  <c r="X62" i="45"/>
  <c r="L64" i="45"/>
  <c r="N64" i="45" s="1"/>
  <c r="L79" i="39"/>
  <c r="N79" i="39" s="1"/>
  <c r="N12" i="40"/>
  <c r="F18" i="40"/>
  <c r="V18" i="40"/>
  <c r="J22" i="40"/>
  <c r="R24" i="40"/>
  <c r="P27" i="40"/>
  <c r="L12" i="41"/>
  <c r="F15" i="41"/>
  <c r="V15" i="41"/>
  <c r="D18" i="41"/>
  <c r="T18" i="41"/>
  <c r="R21" i="41"/>
  <c r="F25" i="41"/>
  <c r="V25" i="41"/>
  <c r="F29" i="41"/>
  <c r="V29" i="41"/>
  <c r="F33" i="41"/>
  <c r="V33" i="41"/>
  <c r="F36" i="41"/>
  <c r="V36" i="41"/>
  <c r="V31" i="42"/>
  <c r="V43" i="42"/>
  <c r="V47" i="42"/>
  <c r="V59" i="42"/>
  <c r="V67" i="42"/>
  <c r="V71" i="42"/>
  <c r="V75" i="42"/>
  <c r="V79" i="42"/>
  <c r="V91" i="42"/>
  <c r="V95" i="42"/>
  <c r="J15" i="43"/>
  <c r="H18" i="43"/>
  <c r="V21" i="43"/>
  <c r="J25" i="43"/>
  <c r="R27" i="43"/>
  <c r="J29" i="43"/>
  <c r="R31" i="43"/>
  <c r="J33" i="43"/>
  <c r="R34" i="43"/>
  <c r="J36" i="43"/>
  <c r="N12" i="44"/>
  <c r="F18" i="44"/>
  <c r="V18" i="44"/>
  <c r="J22" i="44"/>
  <c r="R24" i="44"/>
  <c r="N12" i="45"/>
  <c r="J18" i="45"/>
  <c r="T21" i="45"/>
  <c r="J26" i="45"/>
  <c r="V30" i="45"/>
  <c r="J34" i="45"/>
  <c r="J38" i="45"/>
  <c r="V42" i="45"/>
  <c r="V46" i="45"/>
  <c r="J48" i="45"/>
  <c r="V54" i="45"/>
  <c r="J56" i="45"/>
  <c r="V62" i="45"/>
  <c r="J64" i="45"/>
  <c r="V66" i="45"/>
  <c r="J68" i="45"/>
  <c r="V70" i="45"/>
  <c r="V74" i="45"/>
  <c r="J78" i="45"/>
  <c r="J82" i="45"/>
  <c r="R25" i="46"/>
  <c r="J27" i="46"/>
  <c r="R29" i="46"/>
  <c r="J31" i="46"/>
  <c r="R33" i="46"/>
  <c r="J34" i="46"/>
  <c r="R36" i="46"/>
  <c r="Z12" i="47"/>
  <c r="F16" i="47"/>
  <c r="V16" i="47"/>
  <c r="F20" i="47"/>
  <c r="V20" i="47"/>
  <c r="R22" i="47"/>
  <c r="J24" i="47"/>
  <c r="Z12" i="48"/>
  <c r="R35" i="48"/>
  <c r="F38" i="48"/>
  <c r="J39" i="48"/>
  <c r="R41" i="48"/>
  <c r="F45" i="48"/>
  <c r="F48" i="48"/>
  <c r="V51" i="48"/>
  <c r="V57" i="48"/>
  <c r="F69" i="51"/>
  <c r="F49" i="51"/>
  <c r="F44" i="51"/>
  <c r="F37" i="51"/>
  <c r="F21" i="51"/>
  <c r="F80" i="51"/>
  <c r="F75" i="51"/>
  <c r="F68" i="51"/>
  <c r="F63" i="51"/>
  <c r="F60" i="51"/>
  <c r="F55" i="51"/>
  <c r="F48" i="51"/>
  <c r="F36" i="51"/>
  <c r="D30" i="51"/>
  <c r="F30" i="51" s="1"/>
  <c r="F28" i="51"/>
  <c r="F20" i="51"/>
  <c r="L12" i="51"/>
  <c r="N12" i="51" s="1"/>
  <c r="F71" i="51"/>
  <c r="F47" i="51"/>
  <c r="F43" i="51"/>
  <c r="F35" i="51"/>
  <c r="F27" i="51"/>
  <c r="F19" i="51"/>
  <c r="F65" i="51"/>
  <c r="F62" i="51"/>
  <c r="F57" i="51"/>
  <c r="F54" i="51"/>
  <c r="F46" i="51"/>
  <c r="F42" i="51"/>
  <c r="F34" i="51"/>
  <c r="F26" i="51"/>
  <c r="F74" i="51"/>
  <c r="F53" i="51"/>
  <c r="F45" i="51"/>
  <c r="F41" i="51"/>
  <c r="F32" i="51"/>
  <c r="F25" i="51"/>
  <c r="F67" i="51"/>
  <c r="F64" i="51"/>
  <c r="F59" i="51"/>
  <c r="F56" i="51"/>
  <c r="F52" i="51"/>
  <c r="F40" i="51"/>
  <c r="F24" i="51"/>
  <c r="N18" i="51"/>
  <c r="R26" i="51"/>
  <c r="R35" i="51"/>
  <c r="V41" i="51"/>
  <c r="F51" i="51"/>
  <c r="V58" i="56"/>
  <c r="D61" i="60"/>
  <c r="J15" i="40"/>
  <c r="H18" i="40"/>
  <c r="F21" i="40"/>
  <c r="J25" i="40"/>
  <c r="R27" i="40"/>
  <c r="J29" i="40"/>
  <c r="R31" i="40"/>
  <c r="J33" i="40"/>
  <c r="R34" i="40"/>
  <c r="J36" i="40"/>
  <c r="F18" i="41"/>
  <c r="V18" i="41"/>
  <c r="T23" i="42"/>
  <c r="V32" i="42"/>
  <c r="V36" i="42"/>
  <c r="V44" i="42"/>
  <c r="V48" i="42"/>
  <c r="V56" i="42"/>
  <c r="V64" i="42"/>
  <c r="V68" i="42"/>
  <c r="V72" i="42"/>
  <c r="V76" i="42"/>
  <c r="V80" i="42"/>
  <c r="V92" i="42"/>
  <c r="X95" i="42"/>
  <c r="V24" i="43"/>
  <c r="D27" i="43"/>
  <c r="J15" i="44"/>
  <c r="H18" i="44"/>
  <c r="J25" i="44"/>
  <c r="R27" i="44"/>
  <c r="J29" i="44"/>
  <c r="R31" i="44"/>
  <c r="J33" i="44"/>
  <c r="R34" i="44"/>
  <c r="J36" i="44"/>
  <c r="J39" i="45"/>
  <c r="J51" i="45"/>
  <c r="V55" i="45"/>
  <c r="J59" i="45"/>
  <c r="V63" i="45"/>
  <c r="V67" i="45"/>
  <c r="V71" i="45"/>
  <c r="J73" i="45"/>
  <c r="V75" i="45"/>
  <c r="J79" i="45"/>
  <c r="J83" i="45"/>
  <c r="J87" i="45"/>
  <c r="J93" i="45"/>
  <c r="J16" i="46"/>
  <c r="J20" i="46"/>
  <c r="F61" i="48"/>
  <c r="F37" i="48"/>
  <c r="F25" i="48"/>
  <c r="F20" i="48"/>
  <c r="F64" i="48"/>
  <c r="F55" i="48"/>
  <c r="F52" i="48"/>
  <c r="F47" i="48"/>
  <c r="F44" i="48"/>
  <c r="F36" i="48"/>
  <c r="F24" i="48"/>
  <c r="F58" i="48"/>
  <c r="F35" i="48"/>
  <c r="F30" i="48"/>
  <c r="F23" i="48"/>
  <c r="F67" i="48"/>
  <c r="F54" i="48"/>
  <c r="F49" i="48"/>
  <c r="F46" i="48"/>
  <c r="F41" i="48"/>
  <c r="F34" i="48"/>
  <c r="F22" i="48"/>
  <c r="F60" i="48"/>
  <c r="F57" i="48"/>
  <c r="F33" i="48"/>
  <c r="F63" i="48"/>
  <c r="F15" i="48"/>
  <c r="F19" i="48"/>
  <c r="F29" i="48"/>
  <c r="Z41" i="48"/>
  <c r="N45" i="48"/>
  <c r="L45" i="48"/>
  <c r="J47" i="48"/>
  <c r="F53" i="48"/>
  <c r="P66" i="48"/>
  <c r="X66" i="48" s="1"/>
  <c r="Z66" i="48" s="1"/>
  <c r="X67" i="48"/>
  <c r="Z67" i="48" s="1"/>
  <c r="N20" i="52"/>
  <c r="L20" i="52"/>
  <c r="P27" i="53"/>
  <c r="J25" i="55"/>
  <c r="L12" i="55"/>
  <c r="J35" i="55"/>
  <c r="J29" i="55"/>
  <c r="J19" i="55"/>
  <c r="J24" i="55"/>
  <c r="J16" i="55"/>
  <c r="J33" i="55"/>
  <c r="J27" i="55"/>
  <c r="J21" i="55"/>
  <c r="H16" i="55"/>
  <c r="J26" i="55"/>
  <c r="J18" i="55"/>
  <c r="J38" i="55"/>
  <c r="J20" i="55"/>
  <c r="J23" i="55"/>
  <c r="J14" i="55"/>
  <c r="R16" i="40"/>
  <c r="J18" i="40"/>
  <c r="R20" i="40"/>
  <c r="F24" i="40"/>
  <c r="V24" i="40"/>
  <c r="F21" i="41"/>
  <c r="V21" i="41"/>
  <c r="R27" i="41"/>
  <c r="R31" i="41"/>
  <c r="R34" i="41"/>
  <c r="P12" i="42"/>
  <c r="V23" i="42"/>
  <c r="V33" i="42"/>
  <c r="V37" i="42"/>
  <c r="V45" i="42"/>
  <c r="V53" i="42"/>
  <c r="V57" i="42"/>
  <c r="V65" i="42"/>
  <c r="V73" i="42"/>
  <c r="V81" i="42"/>
  <c r="V89" i="42"/>
  <c r="X12" i="43"/>
  <c r="J21" i="43"/>
  <c r="V27" i="43"/>
  <c r="V31" i="43"/>
  <c r="V34" i="43"/>
  <c r="R16" i="44"/>
  <c r="J18" i="44"/>
  <c r="R20" i="44"/>
  <c r="F24" i="44"/>
  <c r="V24" i="44"/>
  <c r="H21" i="45"/>
  <c r="V24" i="45"/>
  <c r="J28" i="45"/>
  <c r="V32" i="45"/>
  <c r="V36" i="45"/>
  <c r="J40" i="45"/>
  <c r="V44" i="45"/>
  <c r="J46" i="45"/>
  <c r="V52" i="45"/>
  <c r="J54" i="45"/>
  <c r="V60" i="45"/>
  <c r="J62" i="45"/>
  <c r="V72" i="45"/>
  <c r="V76" i="45"/>
  <c r="J80" i="45"/>
  <c r="V84" i="45"/>
  <c r="L12" i="46"/>
  <c r="V15" i="46"/>
  <c r="D18" i="46"/>
  <c r="T18" i="46"/>
  <c r="V25" i="46"/>
  <c r="V29" i="46"/>
  <c r="V33" i="46"/>
  <c r="V36" i="46"/>
  <c r="J16" i="47"/>
  <c r="J20" i="47"/>
  <c r="F22" i="47"/>
  <c r="V22" i="47"/>
  <c r="J64" i="48"/>
  <c r="J58" i="48"/>
  <c r="J52" i="48"/>
  <c r="J44" i="48"/>
  <c r="J36" i="48"/>
  <c r="J30" i="48"/>
  <c r="J24" i="48"/>
  <c r="J49" i="48"/>
  <c r="J41" i="48"/>
  <c r="J35" i="48"/>
  <c r="J23" i="48"/>
  <c r="J67" i="48"/>
  <c r="J60" i="48"/>
  <c r="J54" i="48"/>
  <c r="J46" i="48"/>
  <c r="J34" i="48"/>
  <c r="J22" i="48"/>
  <c r="J63" i="48"/>
  <c r="J57" i="48"/>
  <c r="J51" i="48"/>
  <c r="J43" i="48"/>
  <c r="J33" i="48"/>
  <c r="J29" i="48"/>
  <c r="J21" i="48"/>
  <c r="J56" i="48"/>
  <c r="J48" i="48"/>
  <c r="J40" i="48"/>
  <c r="J32" i="48"/>
  <c r="J71" i="48"/>
  <c r="J59" i="48"/>
  <c r="P17" i="48"/>
  <c r="R25" i="48"/>
  <c r="R34" i="48"/>
  <c r="F43" i="48"/>
  <c r="J45" i="48"/>
  <c r="R49" i="48"/>
  <c r="N53" i="48"/>
  <c r="L53" i="48"/>
  <c r="F62" i="48"/>
  <c r="N63" i="48"/>
  <c r="R67" i="48"/>
  <c r="V24" i="49"/>
  <c r="R27" i="50"/>
  <c r="Z18" i="51"/>
  <c r="X18" i="51"/>
  <c r="V25" i="51"/>
  <c r="R34" i="51"/>
  <c r="R43" i="51"/>
  <c r="R47" i="51"/>
  <c r="R54" i="51"/>
  <c r="N59" i="51"/>
  <c r="Z65" i="51"/>
  <c r="F70" i="51"/>
  <c r="R71" i="51"/>
  <c r="Z15" i="52"/>
  <c r="X15" i="52"/>
  <c r="T18" i="52"/>
  <c r="Z25" i="52"/>
  <c r="X25" i="52"/>
  <c r="N16" i="53"/>
  <c r="L16" i="53"/>
  <c r="N34" i="53"/>
  <c r="L34" i="53"/>
  <c r="H22" i="54"/>
  <c r="N16" i="54"/>
  <c r="Z28" i="54"/>
  <c r="X28" i="54"/>
  <c r="N12" i="55"/>
  <c r="V26" i="56"/>
  <c r="J21" i="40"/>
  <c r="F27" i="40"/>
  <c r="F31" i="40"/>
  <c r="F34" i="40"/>
  <c r="F24" i="41"/>
  <c r="V24" i="41"/>
  <c r="V18" i="42"/>
  <c r="V26" i="42"/>
  <c r="V34" i="42"/>
  <c r="V38" i="42"/>
  <c r="V46" i="42"/>
  <c r="V54" i="42"/>
  <c r="V62" i="42"/>
  <c r="V74" i="42"/>
  <c r="V82" i="42"/>
  <c r="V86" i="42"/>
  <c r="V90" i="42"/>
  <c r="V96" i="42"/>
  <c r="Z12" i="43"/>
  <c r="V16" i="43"/>
  <c r="V20" i="43"/>
  <c r="J24" i="43"/>
  <c r="X12" i="44"/>
  <c r="J21" i="44"/>
  <c r="F27" i="44"/>
  <c r="V27" i="44"/>
  <c r="F31" i="44"/>
  <c r="V31" i="44"/>
  <c r="F34" i="44"/>
  <c r="V34" i="44"/>
  <c r="V17" i="45"/>
  <c r="J21" i="45"/>
  <c r="V25" i="45"/>
  <c r="J29" i="45"/>
  <c r="V33" i="45"/>
  <c r="J35" i="45"/>
  <c r="V37" i="45"/>
  <c r="J41" i="45"/>
  <c r="V45" i="45"/>
  <c r="J49" i="45"/>
  <c r="V53" i="45"/>
  <c r="J57" i="45"/>
  <c r="V61" i="45"/>
  <c r="J65" i="45"/>
  <c r="J69" i="45"/>
  <c r="V77" i="45"/>
  <c r="V81" i="45"/>
  <c r="V85" i="45"/>
  <c r="V89" i="45"/>
  <c r="V91" i="45"/>
  <c r="V96" i="45"/>
  <c r="N12" i="46"/>
  <c r="V18" i="46"/>
  <c r="J22" i="46"/>
  <c r="L12" i="47"/>
  <c r="F15" i="47"/>
  <c r="V15" i="47"/>
  <c r="D18" i="47"/>
  <c r="T18" i="47"/>
  <c r="R21" i="47"/>
  <c r="F25" i="47"/>
  <c r="V25" i="47"/>
  <c r="F29" i="47"/>
  <c r="V29" i="47"/>
  <c r="F33" i="47"/>
  <c r="V33" i="47"/>
  <c r="F36" i="47"/>
  <c r="V36" i="47"/>
  <c r="L12" i="48"/>
  <c r="J15" i="48"/>
  <c r="R17" i="48"/>
  <c r="J19" i="48"/>
  <c r="R24" i="48"/>
  <c r="F28" i="48"/>
  <c r="V29" i="48"/>
  <c r="V34" i="48"/>
  <c r="J37" i="48"/>
  <c r="F42" i="48"/>
  <c r="N43" i="48"/>
  <c r="R44" i="48"/>
  <c r="R46" i="48"/>
  <c r="Z49" i="48"/>
  <c r="F51" i="48"/>
  <c r="J53" i="48"/>
  <c r="R54" i="48"/>
  <c r="F59" i="48"/>
  <c r="R60" i="48"/>
  <c r="J62" i="48"/>
  <c r="J66" i="48"/>
  <c r="Z16" i="49"/>
  <c r="X16" i="49"/>
  <c r="N21" i="50"/>
  <c r="L21" i="50"/>
  <c r="V18" i="51"/>
  <c r="N33" i="51"/>
  <c r="L33" i="51"/>
  <c r="J33" i="51"/>
  <c r="V34" i="51"/>
  <c r="V54" i="51"/>
  <c r="N70" i="51"/>
  <c r="F20" i="52"/>
  <c r="F16" i="52"/>
  <c r="F34" i="52"/>
  <c r="F31" i="52"/>
  <c r="F27" i="52"/>
  <c r="F24" i="52"/>
  <c r="F21" i="52"/>
  <c r="F18" i="52"/>
  <c r="F36" i="52"/>
  <c r="F33" i="52"/>
  <c r="F29" i="52"/>
  <c r="F25" i="52"/>
  <c r="D18" i="52"/>
  <c r="F15" i="52"/>
  <c r="L12" i="52"/>
  <c r="Z29" i="52"/>
  <c r="X29" i="52"/>
  <c r="H77" i="58"/>
  <c r="Z12" i="40"/>
  <c r="F16" i="40"/>
  <c r="V16" i="40"/>
  <c r="F20" i="40"/>
  <c r="R22" i="40"/>
  <c r="J24" i="40"/>
  <c r="F27" i="41"/>
  <c r="V27" i="41"/>
  <c r="F31" i="41"/>
  <c r="V31" i="41"/>
  <c r="F34" i="41"/>
  <c r="V19" i="42"/>
  <c r="V27" i="42"/>
  <c r="V35" i="42"/>
  <c r="V39" i="42"/>
  <c r="V51" i="42"/>
  <c r="V55" i="42"/>
  <c r="V63" i="42"/>
  <c r="V83" i="42"/>
  <c r="V87" i="42"/>
  <c r="D94" i="42"/>
  <c r="L94" i="42" s="1"/>
  <c r="R15" i="43"/>
  <c r="P18" i="43"/>
  <c r="R25" i="43"/>
  <c r="J27" i="43"/>
  <c r="R29" i="43"/>
  <c r="J31" i="43"/>
  <c r="R33" i="43"/>
  <c r="J34" i="43"/>
  <c r="Z12" i="44"/>
  <c r="F16" i="44"/>
  <c r="V16" i="44"/>
  <c r="R22" i="44"/>
  <c r="J24" i="44"/>
  <c r="Z12" i="45"/>
  <c r="V18" i="45"/>
  <c r="J24" i="45"/>
  <c r="V26" i="45"/>
  <c r="J30" i="45"/>
  <c r="V34" i="45"/>
  <c r="V38" i="45"/>
  <c r="J42" i="45"/>
  <c r="V50" i="45"/>
  <c r="J52" i="45"/>
  <c r="V58" i="45"/>
  <c r="J60" i="45"/>
  <c r="J66" i="45"/>
  <c r="J70" i="45"/>
  <c r="J74" i="45"/>
  <c r="V78" i="45"/>
  <c r="V82" i="45"/>
  <c r="J84" i="45"/>
  <c r="J15" i="46"/>
  <c r="H18" i="46"/>
  <c r="V21" i="46"/>
  <c r="J25" i="46"/>
  <c r="R27" i="46"/>
  <c r="J29" i="46"/>
  <c r="R31" i="46"/>
  <c r="J33" i="46"/>
  <c r="J36" i="46"/>
  <c r="N12" i="47"/>
  <c r="F18" i="47"/>
  <c r="V18" i="47"/>
  <c r="J22" i="47"/>
  <c r="R24" i="47"/>
  <c r="N12" i="48"/>
  <c r="D17" i="48"/>
  <c r="T17" i="48"/>
  <c r="V24" i="48"/>
  <c r="F27" i="48"/>
  <c r="J28" i="48"/>
  <c r="Z30" i="48"/>
  <c r="F32" i="48"/>
  <c r="V33" i="48"/>
  <c r="J42" i="48"/>
  <c r="V46" i="48"/>
  <c r="N51" i="48"/>
  <c r="R52" i="48"/>
  <c r="V54" i="48"/>
  <c r="Z60" i="48"/>
  <c r="X13" i="49"/>
  <c r="Z20" i="49"/>
  <c r="X20" i="49"/>
  <c r="Z34" i="49"/>
  <c r="X34" i="49"/>
  <c r="R16" i="50"/>
  <c r="F23" i="51"/>
  <c r="N32" i="51"/>
  <c r="R42" i="51"/>
  <c r="R46" i="51"/>
  <c r="V53" i="51"/>
  <c r="R59" i="51"/>
  <c r="F66" i="51"/>
  <c r="J24" i="52"/>
  <c r="J21" i="52"/>
  <c r="J18" i="52"/>
  <c r="J36" i="52"/>
  <c r="J33" i="52"/>
  <c r="J29" i="52"/>
  <c r="J25" i="52"/>
  <c r="H18" i="52"/>
  <c r="J15" i="52"/>
  <c r="J22" i="52"/>
  <c r="N12" i="52"/>
  <c r="Z22" i="52"/>
  <c r="X22" i="52"/>
  <c r="J27" i="52"/>
  <c r="Z33" i="52"/>
  <c r="X33" i="52"/>
  <c r="N23" i="55"/>
  <c r="R64" i="56"/>
  <c r="R58" i="56"/>
  <c r="R38" i="56"/>
  <c r="R69" i="56"/>
  <c r="R62" i="56"/>
  <c r="R54" i="56"/>
  <c r="R49" i="56"/>
  <c r="R46" i="56"/>
  <c r="R41" i="56"/>
  <c r="R37" i="56"/>
  <c r="R25" i="56"/>
  <c r="R16" i="56"/>
  <c r="R57" i="56"/>
  <c r="R36" i="56"/>
  <c r="R29" i="56"/>
  <c r="R24" i="56"/>
  <c r="R51" i="56"/>
  <c r="R48" i="56"/>
  <c r="R43" i="56"/>
  <c r="R40" i="56"/>
  <c r="R35" i="56"/>
  <c r="R23" i="56"/>
  <c r="R34" i="56"/>
  <c r="R22" i="56"/>
  <c r="R66" i="56"/>
  <c r="R60" i="56"/>
  <c r="R53" i="56"/>
  <c r="R50" i="56"/>
  <c r="R45" i="56"/>
  <c r="R42" i="56"/>
  <c r="R33" i="56"/>
  <c r="R21" i="56"/>
  <c r="R18" i="56"/>
  <c r="R14" i="56"/>
  <c r="R56" i="56"/>
  <c r="R32" i="56"/>
  <c r="R28" i="56"/>
  <c r="R20" i="56"/>
  <c r="X12" i="56"/>
  <c r="R52" i="56"/>
  <c r="R47" i="56"/>
  <c r="R19" i="56"/>
  <c r="P16" i="56"/>
  <c r="R44" i="56"/>
  <c r="R30" i="56"/>
  <c r="R25" i="40"/>
  <c r="J27" i="40"/>
  <c r="R29" i="40"/>
  <c r="J31" i="40"/>
  <c r="R33" i="40"/>
  <c r="J34" i="40"/>
  <c r="F16" i="41"/>
  <c r="V28" i="42"/>
  <c r="V40" i="42"/>
  <c r="V52" i="42"/>
  <c r="V60" i="42"/>
  <c r="V84" i="42"/>
  <c r="V88" i="42"/>
  <c r="V94" i="42"/>
  <c r="J16" i="43"/>
  <c r="V22" i="43"/>
  <c r="R15" i="44"/>
  <c r="P18" i="44"/>
  <c r="R25" i="44"/>
  <c r="J27" i="44"/>
  <c r="R29" i="44"/>
  <c r="J31" i="44"/>
  <c r="R33" i="44"/>
  <c r="J34" i="44"/>
  <c r="R36" i="44"/>
  <c r="J17" i="45"/>
  <c r="V19" i="45"/>
  <c r="V23" i="45"/>
  <c r="V27" i="45"/>
  <c r="J31" i="45"/>
  <c r="V39" i="45"/>
  <c r="J43" i="45"/>
  <c r="J47" i="45"/>
  <c r="V51" i="45"/>
  <c r="J55" i="45"/>
  <c r="V59" i="45"/>
  <c r="J63" i="45"/>
  <c r="J67" i="45"/>
  <c r="J71" i="45"/>
  <c r="J75" i="45"/>
  <c r="V79" i="45"/>
  <c r="J81" i="45"/>
  <c r="V83" i="45"/>
  <c r="J89" i="45"/>
  <c r="J96" i="45"/>
  <c r="J18" i="46"/>
  <c r="V24" i="46"/>
  <c r="J15" i="47"/>
  <c r="H18" i="47"/>
  <c r="F21" i="47"/>
  <c r="V21" i="47"/>
  <c r="J25" i="47"/>
  <c r="R27" i="47"/>
  <c r="J29" i="47"/>
  <c r="R31" i="47"/>
  <c r="J33" i="47"/>
  <c r="R34" i="47"/>
  <c r="J36" i="47"/>
  <c r="R57" i="48"/>
  <c r="R33" i="48"/>
  <c r="R29" i="48"/>
  <c r="R21" i="48"/>
  <c r="R56" i="48"/>
  <c r="R53" i="48"/>
  <c r="R48" i="48"/>
  <c r="R45" i="48"/>
  <c r="R40" i="48"/>
  <c r="R32" i="48"/>
  <c r="R28" i="48"/>
  <c r="R71" i="48"/>
  <c r="R66" i="48"/>
  <c r="R59" i="48"/>
  <c r="R39" i="48"/>
  <c r="R31" i="48"/>
  <c r="R27" i="48"/>
  <c r="R20" i="48"/>
  <c r="R62" i="48"/>
  <c r="R55" i="48"/>
  <c r="R50" i="48"/>
  <c r="R47" i="48"/>
  <c r="R42" i="48"/>
  <c r="R38" i="48"/>
  <c r="R26" i="48"/>
  <c r="R61" i="48"/>
  <c r="R58" i="48"/>
  <c r="R37" i="48"/>
  <c r="R30" i="48"/>
  <c r="R64" i="48"/>
  <c r="F17" i="48"/>
  <c r="V17" i="48"/>
  <c r="R23" i="48"/>
  <c r="F26" i="48"/>
  <c r="J27" i="48"/>
  <c r="R43" i="48"/>
  <c r="F50" i="48"/>
  <c r="Z63" i="48"/>
  <c r="X63" i="48"/>
  <c r="Z24" i="50"/>
  <c r="X24" i="50"/>
  <c r="Z34" i="50"/>
  <c r="X34" i="50"/>
  <c r="R70" i="51"/>
  <c r="R53" i="51"/>
  <c r="R45" i="51"/>
  <c r="R41" i="51"/>
  <c r="R25" i="51"/>
  <c r="R18" i="51"/>
  <c r="R76" i="51"/>
  <c r="R64" i="51"/>
  <c r="R61" i="51"/>
  <c r="R56" i="51"/>
  <c r="R52" i="51"/>
  <c r="R40" i="51"/>
  <c r="R33" i="51"/>
  <c r="R24" i="51"/>
  <c r="R51" i="51"/>
  <c r="R44" i="51"/>
  <c r="R39" i="51"/>
  <c r="R23" i="51"/>
  <c r="R66" i="51"/>
  <c r="R63" i="51"/>
  <c r="R58" i="51"/>
  <c r="R55" i="51"/>
  <c r="R50" i="51"/>
  <c r="R38" i="51"/>
  <c r="P30" i="51"/>
  <c r="R30" i="51" s="1"/>
  <c r="R22" i="51"/>
  <c r="R75" i="51"/>
  <c r="R69" i="51"/>
  <c r="R49" i="51"/>
  <c r="R37" i="51"/>
  <c r="R21" i="51"/>
  <c r="R80" i="51"/>
  <c r="R68" i="51"/>
  <c r="R65" i="51"/>
  <c r="R60" i="51"/>
  <c r="R57" i="51"/>
  <c r="R48" i="51"/>
  <c r="R36" i="51"/>
  <c r="R28" i="51"/>
  <c r="R20" i="51"/>
  <c r="X12" i="51"/>
  <c r="V42" i="51"/>
  <c r="X59" i="51"/>
  <c r="Z59" i="51" s="1"/>
  <c r="R62" i="51"/>
  <c r="X67" i="51"/>
  <c r="Z67" i="51" s="1"/>
  <c r="X70" i="51"/>
  <c r="Z70" i="51" s="1"/>
  <c r="R74" i="51"/>
  <c r="P27" i="52"/>
  <c r="N20" i="53"/>
  <c r="L20" i="53"/>
  <c r="N20" i="54"/>
  <c r="L20" i="54"/>
  <c r="J22" i="55"/>
  <c r="J31" i="55"/>
  <c r="V57" i="56"/>
  <c r="V49" i="56"/>
  <c r="V41" i="56"/>
  <c r="V37" i="56"/>
  <c r="V48" i="56"/>
  <c r="V40" i="56"/>
  <c r="V36" i="56"/>
  <c r="V24" i="56"/>
  <c r="V51" i="56"/>
  <c r="V43" i="56"/>
  <c r="V35" i="56"/>
  <c r="V23" i="56"/>
  <c r="V66" i="56"/>
  <c r="V60" i="56"/>
  <c r="V50" i="56"/>
  <c r="V42" i="56"/>
  <c r="V34" i="56"/>
  <c r="V22" i="56"/>
  <c r="V18" i="56"/>
  <c r="V14" i="56"/>
  <c r="V53" i="56"/>
  <c r="V45" i="56"/>
  <c r="V33" i="56"/>
  <c r="V21" i="56"/>
  <c r="V56" i="56"/>
  <c r="V52" i="56"/>
  <c r="V44" i="56"/>
  <c r="V32" i="56"/>
  <c r="V28" i="56"/>
  <c r="V20" i="56"/>
  <c r="Z12" i="56"/>
  <c r="V55" i="56"/>
  <c r="V47" i="56"/>
  <c r="V39" i="56"/>
  <c r="V31" i="56"/>
  <c r="V27" i="56"/>
  <c r="V19" i="56"/>
  <c r="V29" i="56"/>
  <c r="V16" i="56"/>
  <c r="V64" i="56"/>
  <c r="T16" i="56"/>
  <c r="V54" i="56"/>
  <c r="V30" i="56"/>
  <c r="V25" i="56"/>
  <c r="V69" i="56"/>
  <c r="V62" i="56"/>
  <c r="V38" i="56"/>
  <c r="J16" i="40"/>
  <c r="V41" i="42"/>
  <c r="V49" i="42"/>
  <c r="V61" i="42"/>
  <c r="V69" i="42"/>
  <c r="V77" i="42"/>
  <c r="V15" i="43"/>
  <c r="T18" i="43"/>
  <c r="V25" i="43"/>
  <c r="V29" i="43"/>
  <c r="V33" i="43"/>
  <c r="J16" i="44"/>
  <c r="V28" i="45"/>
  <c r="J32" i="45"/>
  <c r="J36" i="45"/>
  <c r="V40" i="45"/>
  <c r="J44" i="45"/>
  <c r="V48" i="45"/>
  <c r="J50" i="45"/>
  <c r="V56" i="45"/>
  <c r="J58" i="45"/>
  <c r="V64" i="45"/>
  <c r="V68" i="45"/>
  <c r="J72" i="45"/>
  <c r="V27" i="46"/>
  <c r="V31" i="46"/>
  <c r="R16" i="47"/>
  <c r="V66" i="48"/>
  <c r="V56" i="48"/>
  <c r="V48" i="48"/>
  <c r="V40" i="48"/>
  <c r="V32" i="48"/>
  <c r="V28" i="48"/>
  <c r="V20" i="48"/>
  <c r="V71" i="48"/>
  <c r="V59" i="48"/>
  <c r="V55" i="48"/>
  <c r="V47" i="48"/>
  <c r="V39" i="48"/>
  <c r="V31" i="48"/>
  <c r="V27" i="48"/>
  <c r="V62" i="48"/>
  <c r="V58" i="48"/>
  <c r="V50" i="48"/>
  <c r="V42" i="48"/>
  <c r="V38" i="48"/>
  <c r="V30" i="48"/>
  <c r="V26" i="48"/>
  <c r="V61" i="48"/>
  <c r="V49" i="48"/>
  <c r="V41" i="48"/>
  <c r="V37" i="48"/>
  <c r="V25" i="48"/>
  <c r="V64" i="48"/>
  <c r="V60" i="48"/>
  <c r="V52" i="48"/>
  <c r="V44" i="48"/>
  <c r="V36" i="48"/>
  <c r="V67" i="48"/>
  <c r="V63" i="48"/>
  <c r="H17" i="48"/>
  <c r="R22" i="48"/>
  <c r="V23" i="48"/>
  <c r="J26" i="48"/>
  <c r="F31" i="48"/>
  <c r="F40" i="48"/>
  <c r="Z43" i="48"/>
  <c r="X43" i="48"/>
  <c r="J50" i="48"/>
  <c r="R51" i="48"/>
  <c r="V53" i="48"/>
  <c r="J61" i="48"/>
  <c r="F71" i="48"/>
  <c r="V21" i="49"/>
  <c r="V18" i="49"/>
  <c r="V36" i="49"/>
  <c r="V33" i="49"/>
  <c r="V29" i="49"/>
  <c r="V25" i="49"/>
  <c r="T18" i="49"/>
  <c r="V15" i="49"/>
  <c r="V22" i="49"/>
  <c r="V20" i="49"/>
  <c r="V16" i="49"/>
  <c r="Z12" i="49"/>
  <c r="N24" i="49"/>
  <c r="L24" i="49"/>
  <c r="R24" i="50"/>
  <c r="R21" i="50"/>
  <c r="R18" i="50"/>
  <c r="R36" i="50"/>
  <c r="R33" i="50"/>
  <c r="R29" i="50"/>
  <c r="R25" i="50"/>
  <c r="P18" i="50"/>
  <c r="R15" i="50"/>
  <c r="R22" i="50"/>
  <c r="X12" i="50"/>
  <c r="R20" i="50"/>
  <c r="R31" i="50"/>
  <c r="V76" i="51"/>
  <c r="V64" i="51"/>
  <c r="V56" i="51"/>
  <c r="V52" i="51"/>
  <c r="V44" i="51"/>
  <c r="V40" i="51"/>
  <c r="V24" i="51"/>
  <c r="V73" i="51"/>
  <c r="V63" i="51"/>
  <c r="V55" i="51"/>
  <c r="V51" i="51"/>
  <c r="V39" i="51"/>
  <c r="T30" i="51"/>
  <c r="V30" i="51" s="1"/>
  <c r="V23" i="51"/>
  <c r="V66" i="51"/>
  <c r="V58" i="51"/>
  <c r="V50" i="51"/>
  <c r="V38" i="51"/>
  <c r="V22" i="51"/>
  <c r="V75" i="51"/>
  <c r="V69" i="51"/>
  <c r="V65" i="51"/>
  <c r="V57" i="51"/>
  <c r="V49" i="51"/>
  <c r="V37" i="51"/>
  <c r="V21" i="51"/>
  <c r="V80" i="51"/>
  <c r="V68" i="51"/>
  <c r="V60" i="51"/>
  <c r="V48" i="51"/>
  <c r="V36" i="51"/>
  <c r="V32" i="51"/>
  <c r="V28" i="51"/>
  <c r="V20" i="51"/>
  <c r="Z12" i="51"/>
  <c r="V71" i="51"/>
  <c r="V67" i="51"/>
  <c r="V59" i="51"/>
  <c r="V47" i="51"/>
  <c r="V43" i="51"/>
  <c r="V35" i="51"/>
  <c r="V27" i="51"/>
  <c r="V19" i="51"/>
  <c r="R32" i="51"/>
  <c r="V33" i="51"/>
  <c r="N44" i="51"/>
  <c r="L44" i="51"/>
  <c r="L61" i="51"/>
  <c r="N61" i="51" s="1"/>
  <c r="V62" i="51"/>
  <c r="V70" i="51"/>
  <c r="V74" i="51"/>
  <c r="N16" i="52"/>
  <c r="L16" i="52"/>
  <c r="F34" i="53"/>
  <c r="F31" i="53"/>
  <c r="F27" i="53"/>
  <c r="F24" i="53"/>
  <c r="F21" i="53"/>
  <c r="F18" i="53"/>
  <c r="F36" i="53"/>
  <c r="F33" i="53"/>
  <c r="F29" i="53"/>
  <c r="F25" i="53"/>
  <c r="D18" i="53"/>
  <c r="F15" i="53"/>
  <c r="L12" i="53"/>
  <c r="F22" i="53"/>
  <c r="T35" i="55"/>
  <c r="P67" i="57"/>
  <c r="J51" i="51"/>
  <c r="J61" i="51"/>
  <c r="J76" i="51"/>
  <c r="J16" i="53"/>
  <c r="J20" i="53"/>
  <c r="R24" i="55"/>
  <c r="R21" i="55"/>
  <c r="P16" i="55"/>
  <c r="R38" i="55"/>
  <c r="R31" i="55"/>
  <c r="R26" i="55"/>
  <c r="R23" i="55"/>
  <c r="R18" i="55"/>
  <c r="R14" i="55"/>
  <c r="R25" i="55"/>
  <c r="R20" i="55"/>
  <c r="X12" i="55"/>
  <c r="R16" i="55"/>
  <c r="R19" i="55"/>
  <c r="D62" i="56"/>
  <c r="L16" i="56"/>
  <c r="N48" i="56"/>
  <c r="N57" i="56"/>
  <c r="N40" i="57"/>
  <c r="Z45" i="58"/>
  <c r="P18" i="49"/>
  <c r="R25" i="49"/>
  <c r="J27" i="49"/>
  <c r="R29" i="49"/>
  <c r="J31" i="49"/>
  <c r="R33" i="49"/>
  <c r="J34" i="49"/>
  <c r="R36" i="49"/>
  <c r="J24" i="50"/>
  <c r="J18" i="51"/>
  <c r="J24" i="51"/>
  <c r="J40" i="51"/>
  <c r="J52" i="51"/>
  <c r="J56" i="51"/>
  <c r="J64" i="51"/>
  <c r="J70" i="51"/>
  <c r="P73" i="51"/>
  <c r="X73" i="51" s="1"/>
  <c r="Z73" i="51" s="1"/>
  <c r="V15" i="53"/>
  <c r="T18" i="53"/>
  <c r="X18" i="53" s="1"/>
  <c r="R21" i="53"/>
  <c r="V25" i="53"/>
  <c r="V29" i="53"/>
  <c r="V33" i="53"/>
  <c r="V36" i="53"/>
  <c r="J31" i="54"/>
  <c r="J28" i="54"/>
  <c r="F14" i="54"/>
  <c r="F18" i="54"/>
  <c r="F22" i="54"/>
  <c r="Z19" i="55"/>
  <c r="R35" i="55"/>
  <c r="N16" i="56"/>
  <c r="H62" i="56"/>
  <c r="N29" i="56"/>
  <c r="Z54" i="56"/>
  <c r="N52" i="57"/>
  <c r="F80" i="58"/>
  <c r="F73" i="58"/>
  <c r="F37" i="58"/>
  <c r="F25" i="58"/>
  <c r="F71" i="58"/>
  <c r="F68" i="58"/>
  <c r="F67" i="58"/>
  <c r="F59" i="58"/>
  <c r="F56" i="58"/>
  <c r="F52" i="58"/>
  <c r="F47" i="58"/>
  <c r="F44" i="58"/>
  <c r="F36" i="58"/>
  <c r="F24" i="58"/>
  <c r="F19" i="58"/>
  <c r="F55" i="58"/>
  <c r="F35" i="58"/>
  <c r="F30" i="58"/>
  <c r="F23" i="58"/>
  <c r="F16" i="58"/>
  <c r="F61" i="58"/>
  <c r="F58" i="58"/>
  <c r="F54" i="58"/>
  <c r="F49" i="58"/>
  <c r="F46" i="58"/>
  <c r="F41" i="58"/>
  <c r="F34" i="58"/>
  <c r="F22" i="58"/>
  <c r="D16" i="58"/>
  <c r="F77" i="58"/>
  <c r="F75" i="58"/>
  <c r="F66" i="58"/>
  <c r="F33" i="58"/>
  <c r="F29" i="58"/>
  <c r="F21" i="58"/>
  <c r="F60" i="58"/>
  <c r="F51" i="58"/>
  <c r="F48" i="58"/>
  <c r="F43" i="58"/>
  <c r="F40" i="58"/>
  <c r="F32" i="58"/>
  <c r="F28" i="58"/>
  <c r="F20" i="58"/>
  <c r="L12" i="58"/>
  <c r="F65" i="58"/>
  <c r="F64" i="58"/>
  <c r="F63" i="58"/>
  <c r="F39" i="58"/>
  <c r="F31" i="58"/>
  <c r="F27" i="58"/>
  <c r="F18" i="58"/>
  <c r="F14" i="58"/>
  <c r="F38" i="58"/>
  <c r="F57" i="58"/>
  <c r="Z64" i="62"/>
  <c r="J95" i="68"/>
  <c r="J72" i="68"/>
  <c r="J66" i="68"/>
  <c r="J58" i="68"/>
  <c r="J50" i="68"/>
  <c r="J46" i="68"/>
  <c r="J30" i="68"/>
  <c r="J22" i="68"/>
  <c r="J97" i="68"/>
  <c r="J88" i="68"/>
  <c r="J84" i="68"/>
  <c r="J80" i="68"/>
  <c r="J74" i="68"/>
  <c r="J68" i="68"/>
  <c r="J60" i="68"/>
  <c r="J56" i="68"/>
  <c r="J44" i="68"/>
  <c r="J38" i="68"/>
  <c r="J28" i="68"/>
  <c r="J20" i="68"/>
  <c r="J87" i="68"/>
  <c r="J83" i="68"/>
  <c r="J79" i="68"/>
  <c r="J71" i="68"/>
  <c r="J65" i="68"/>
  <c r="J55" i="68"/>
  <c r="J43" i="68"/>
  <c r="J27" i="68"/>
  <c r="J19" i="68"/>
  <c r="J101" i="68"/>
  <c r="J96" i="68"/>
  <c r="J73" i="68"/>
  <c r="J67" i="68"/>
  <c r="J59" i="68"/>
  <c r="J53" i="68"/>
  <c r="J41" i="68"/>
  <c r="J33" i="68"/>
  <c r="J25" i="68"/>
  <c r="J92" i="68"/>
  <c r="J82" i="68"/>
  <c r="J78" i="68"/>
  <c r="J70" i="68"/>
  <c r="J64" i="68"/>
  <c r="J52" i="68"/>
  <c r="J40" i="68"/>
  <c r="J32" i="68"/>
  <c r="J24" i="68"/>
  <c r="J18" i="68"/>
  <c r="J89" i="68"/>
  <c r="J85" i="68"/>
  <c r="J75" i="68"/>
  <c r="J61" i="68"/>
  <c r="J51" i="68"/>
  <c r="J47" i="68"/>
  <c r="J39" i="68"/>
  <c r="J37" i="68"/>
  <c r="J31" i="68"/>
  <c r="J23" i="68"/>
  <c r="J94" i="68"/>
  <c r="J63" i="68"/>
  <c r="J45" i="68"/>
  <c r="J42" i="68"/>
  <c r="J26" i="68"/>
  <c r="J91" i="68"/>
  <c r="J90" i="68"/>
  <c r="J86" i="68"/>
  <c r="J76" i="68"/>
  <c r="J62" i="68"/>
  <c r="J49" i="68"/>
  <c r="H35" i="68"/>
  <c r="J57" i="68"/>
  <c r="J77" i="68"/>
  <c r="J54" i="68"/>
  <c r="J69" i="68"/>
  <c r="J48" i="68"/>
  <c r="J29" i="68"/>
  <c r="J21" i="68"/>
  <c r="J81" i="68"/>
  <c r="J16" i="49"/>
  <c r="R18" i="49"/>
  <c r="J20" i="49"/>
  <c r="F22" i="49"/>
  <c r="J27" i="50"/>
  <c r="J31" i="50"/>
  <c r="J34" i="50"/>
  <c r="J25" i="51"/>
  <c r="J41" i="51"/>
  <c r="J45" i="51"/>
  <c r="J53" i="51"/>
  <c r="J59" i="51"/>
  <c r="J67" i="51"/>
  <c r="J74" i="51"/>
  <c r="V21" i="52"/>
  <c r="R27" i="52"/>
  <c r="R31" i="52"/>
  <c r="R34" i="52"/>
  <c r="N12" i="53"/>
  <c r="V18" i="53"/>
  <c r="J22" i="53"/>
  <c r="R24" i="53"/>
  <c r="L12" i="54"/>
  <c r="P16" i="54"/>
  <c r="F26" i="54"/>
  <c r="F28" i="54"/>
  <c r="V29" i="54"/>
  <c r="N21" i="55"/>
  <c r="R22" i="55"/>
  <c r="R29" i="55"/>
  <c r="Z44" i="56"/>
  <c r="Z57" i="56"/>
  <c r="X16" i="57"/>
  <c r="Z29" i="57"/>
  <c r="Z40" i="57"/>
  <c r="L61" i="57"/>
  <c r="N19" i="58"/>
  <c r="F26" i="58"/>
  <c r="F42" i="58"/>
  <c r="N57" i="58"/>
  <c r="F62" i="58"/>
  <c r="Z66" i="58"/>
  <c r="L47" i="59"/>
  <c r="N47" i="59"/>
  <c r="L12" i="49"/>
  <c r="F15" i="49"/>
  <c r="D18" i="49"/>
  <c r="R21" i="49"/>
  <c r="F25" i="49"/>
  <c r="F29" i="49"/>
  <c r="F33" i="49"/>
  <c r="F36" i="49"/>
  <c r="J16" i="50"/>
  <c r="J20" i="50"/>
  <c r="F22" i="50"/>
  <c r="J26" i="51"/>
  <c r="J32" i="51"/>
  <c r="J34" i="51"/>
  <c r="J42" i="51"/>
  <c r="J46" i="51"/>
  <c r="J54" i="51"/>
  <c r="J62" i="51"/>
  <c r="D73" i="51"/>
  <c r="L73" i="51" s="1"/>
  <c r="N73" i="51" s="1"/>
  <c r="V24" i="52"/>
  <c r="J15" i="53"/>
  <c r="H18" i="53"/>
  <c r="V21" i="53"/>
  <c r="J25" i="53"/>
  <c r="R27" i="53"/>
  <c r="J29" i="53"/>
  <c r="R31" i="53"/>
  <c r="J33" i="53"/>
  <c r="R34" i="53"/>
  <c r="J36" i="53"/>
  <c r="N12" i="54"/>
  <c r="J14" i="54"/>
  <c r="Z14" i="54"/>
  <c r="R16" i="54"/>
  <c r="J18" i="54"/>
  <c r="J22" i="54"/>
  <c r="J24" i="54"/>
  <c r="J26" i="54"/>
  <c r="F29" i="54"/>
  <c r="X21" i="55"/>
  <c r="Z21" i="55" s="1"/>
  <c r="R27" i="55"/>
  <c r="L14" i="56"/>
  <c r="Z19" i="56"/>
  <c r="N46" i="56"/>
  <c r="P73" i="58"/>
  <c r="F53" i="58"/>
  <c r="H63" i="59"/>
  <c r="D66" i="48"/>
  <c r="L66" i="48" s="1"/>
  <c r="N66" i="48" s="1"/>
  <c r="F18" i="49"/>
  <c r="J22" i="49"/>
  <c r="R24" i="49"/>
  <c r="L12" i="50"/>
  <c r="F25" i="50"/>
  <c r="F29" i="50"/>
  <c r="F33" i="50"/>
  <c r="F36" i="50"/>
  <c r="J19" i="51"/>
  <c r="J27" i="51"/>
  <c r="J35" i="51"/>
  <c r="J43" i="51"/>
  <c r="J47" i="51"/>
  <c r="J57" i="51"/>
  <c r="J65" i="51"/>
  <c r="J71" i="51"/>
  <c r="V27" i="52"/>
  <c r="V31" i="52"/>
  <c r="V34" i="52"/>
  <c r="R16" i="53"/>
  <c r="J18" i="53"/>
  <c r="R20" i="53"/>
  <c r="V24" i="53"/>
  <c r="R29" i="54"/>
  <c r="R26" i="54"/>
  <c r="D16" i="54"/>
  <c r="N18" i="55"/>
  <c r="D35" i="55"/>
  <c r="R33" i="55"/>
  <c r="N14" i="56"/>
  <c r="N40" i="56"/>
  <c r="N42" i="57"/>
  <c r="N54" i="57"/>
  <c r="Z57" i="58"/>
  <c r="J15" i="49"/>
  <c r="H18" i="49"/>
  <c r="J25" i="49"/>
  <c r="R27" i="49"/>
  <c r="J29" i="49"/>
  <c r="R31" i="49"/>
  <c r="J33" i="49"/>
  <c r="N12" i="50"/>
  <c r="J20" i="51"/>
  <c r="J28" i="51"/>
  <c r="J36" i="51"/>
  <c r="J48" i="51"/>
  <c r="J60" i="51"/>
  <c r="J68" i="51"/>
  <c r="J75" i="51"/>
  <c r="Z12" i="52"/>
  <c r="V16" i="52"/>
  <c r="V27" i="53"/>
  <c r="V31" i="53"/>
  <c r="F16" i="54"/>
  <c r="V16" i="54"/>
  <c r="F20" i="54"/>
  <c r="J29" i="54"/>
  <c r="F31" i="54"/>
  <c r="L16" i="55"/>
  <c r="N19" i="55"/>
  <c r="Z46" i="56"/>
  <c r="N18" i="57"/>
  <c r="X18" i="58"/>
  <c r="Z18" i="58" s="1"/>
  <c r="Z43" i="58"/>
  <c r="F45" i="58"/>
  <c r="R64" i="60"/>
  <c r="R57" i="60"/>
  <c r="R49" i="60"/>
  <c r="R36" i="60"/>
  <c r="R29" i="60"/>
  <c r="R24" i="60"/>
  <c r="P16" i="60"/>
  <c r="R52" i="60"/>
  <c r="R43" i="60"/>
  <c r="R40" i="60"/>
  <c r="R35" i="60"/>
  <c r="R23" i="60"/>
  <c r="R46" i="60"/>
  <c r="R34" i="60"/>
  <c r="R22" i="60"/>
  <c r="R45" i="60"/>
  <c r="R42" i="60"/>
  <c r="R33" i="60"/>
  <c r="R21" i="60"/>
  <c r="R18" i="60"/>
  <c r="R14" i="60"/>
  <c r="R61" i="60"/>
  <c r="R55" i="60"/>
  <c r="R48" i="60"/>
  <c r="R32" i="60"/>
  <c r="R28" i="60"/>
  <c r="R20" i="60"/>
  <c r="X12" i="60"/>
  <c r="R51" i="60"/>
  <c r="R44" i="60"/>
  <c r="R39" i="60"/>
  <c r="R31" i="60"/>
  <c r="R27" i="60"/>
  <c r="R25" i="60"/>
  <c r="R59" i="60"/>
  <c r="R53" i="60"/>
  <c r="R41" i="60"/>
  <c r="R30" i="60"/>
  <c r="R26" i="60"/>
  <c r="R19" i="60"/>
  <c r="R16" i="60"/>
  <c r="R50" i="60"/>
  <c r="R47" i="60"/>
  <c r="R37" i="60"/>
  <c r="R38" i="60"/>
  <c r="V16" i="55"/>
  <c r="V22" i="55"/>
  <c r="F27" i="55"/>
  <c r="F33" i="55"/>
  <c r="F19" i="56"/>
  <c r="J23" i="56"/>
  <c r="F24" i="56"/>
  <c r="J29" i="56"/>
  <c r="J35" i="56"/>
  <c r="F36" i="56"/>
  <c r="J43" i="56"/>
  <c r="J51" i="56"/>
  <c r="J57" i="56"/>
  <c r="D16" i="57"/>
  <c r="T16" i="57"/>
  <c r="R19" i="57"/>
  <c r="J21" i="57"/>
  <c r="F22" i="57"/>
  <c r="V25" i="57"/>
  <c r="R26" i="57"/>
  <c r="F29" i="57"/>
  <c r="V29" i="57"/>
  <c r="R30" i="57"/>
  <c r="J33" i="57"/>
  <c r="F34" i="57"/>
  <c r="V37" i="57"/>
  <c r="R38" i="57"/>
  <c r="V41" i="57"/>
  <c r="J45" i="57"/>
  <c r="V49" i="57"/>
  <c r="R50" i="57"/>
  <c r="V53" i="57"/>
  <c r="J57" i="57"/>
  <c r="J61" i="57"/>
  <c r="R63" i="57"/>
  <c r="J67" i="57"/>
  <c r="R70" i="57"/>
  <c r="J80" i="58"/>
  <c r="J73" i="58"/>
  <c r="J77" i="58"/>
  <c r="J71" i="58"/>
  <c r="J67" i="58"/>
  <c r="V14" i="58"/>
  <c r="N16" i="58"/>
  <c r="V18" i="58"/>
  <c r="V22" i="58"/>
  <c r="R23" i="58"/>
  <c r="J26" i="58"/>
  <c r="V34" i="58"/>
  <c r="R35" i="58"/>
  <c r="J38" i="58"/>
  <c r="J42" i="58"/>
  <c r="V46" i="58"/>
  <c r="J50" i="58"/>
  <c r="V54" i="58"/>
  <c r="R55" i="58"/>
  <c r="V58" i="58"/>
  <c r="J62" i="58"/>
  <c r="R66" i="58"/>
  <c r="R67" i="58"/>
  <c r="N68" i="58"/>
  <c r="J69" i="58"/>
  <c r="D59" i="59"/>
  <c r="L16" i="59"/>
  <c r="N18" i="59"/>
  <c r="L19" i="59"/>
  <c r="N19" i="59" s="1"/>
  <c r="R24" i="59"/>
  <c r="R28" i="59"/>
  <c r="R38" i="59"/>
  <c r="R59" i="59"/>
  <c r="N18" i="60"/>
  <c r="Z29" i="60"/>
  <c r="Z40" i="61"/>
  <c r="Z48" i="61"/>
  <c r="N51" i="61"/>
  <c r="T87" i="62"/>
  <c r="Z16" i="62"/>
  <c r="N80" i="65"/>
  <c r="L80" i="65"/>
  <c r="F19" i="55"/>
  <c r="V19" i="55"/>
  <c r="F24" i="55"/>
  <c r="F29" i="55"/>
  <c r="V29" i="55"/>
  <c r="F35" i="55"/>
  <c r="V35" i="55"/>
  <c r="J16" i="56"/>
  <c r="J24" i="56"/>
  <c r="F25" i="56"/>
  <c r="J36" i="56"/>
  <c r="F37" i="56"/>
  <c r="F41" i="56"/>
  <c r="F44" i="56"/>
  <c r="J46" i="56"/>
  <c r="F49" i="56"/>
  <c r="F52" i="56"/>
  <c r="J54" i="56"/>
  <c r="J62" i="56"/>
  <c r="J69" i="56"/>
  <c r="F16" i="57"/>
  <c r="V16" i="57"/>
  <c r="J22" i="57"/>
  <c r="F23" i="57"/>
  <c r="V26" i="57"/>
  <c r="R27" i="57"/>
  <c r="V30" i="57"/>
  <c r="R31" i="57"/>
  <c r="J34" i="57"/>
  <c r="F35" i="57"/>
  <c r="V38" i="57"/>
  <c r="R39" i="57"/>
  <c r="J40" i="57"/>
  <c r="F43" i="57"/>
  <c r="R44" i="57"/>
  <c r="F46" i="57"/>
  <c r="V46" i="57"/>
  <c r="R47" i="57"/>
  <c r="J48" i="57"/>
  <c r="V50" i="57"/>
  <c r="R51" i="57"/>
  <c r="J52" i="57"/>
  <c r="F55" i="57"/>
  <c r="R56" i="57"/>
  <c r="F58" i="57"/>
  <c r="V58" i="57"/>
  <c r="R59" i="57"/>
  <c r="R65" i="57"/>
  <c r="X14" i="58"/>
  <c r="V23" i="58"/>
  <c r="R24" i="58"/>
  <c r="J27" i="58"/>
  <c r="J31" i="58"/>
  <c r="V35" i="58"/>
  <c r="R36" i="58"/>
  <c r="J39" i="58"/>
  <c r="R41" i="58"/>
  <c r="V43" i="58"/>
  <c r="R44" i="58"/>
  <c r="J45" i="58"/>
  <c r="R49" i="58"/>
  <c r="V51" i="58"/>
  <c r="R52" i="58"/>
  <c r="J53" i="58"/>
  <c r="V55" i="58"/>
  <c r="R56" i="58"/>
  <c r="J57" i="58"/>
  <c r="R61" i="58"/>
  <c r="J63" i="58"/>
  <c r="J64" i="58"/>
  <c r="J65" i="58"/>
  <c r="R30" i="59"/>
  <c r="R48" i="59"/>
  <c r="R49" i="59"/>
  <c r="T57" i="60"/>
  <c r="L14" i="61"/>
  <c r="P56" i="61"/>
  <c r="X16" i="61"/>
  <c r="V49" i="63"/>
  <c r="V41" i="63"/>
  <c r="V33" i="63"/>
  <c r="V29" i="63"/>
  <c r="V48" i="63"/>
  <c r="V40" i="63"/>
  <c r="V32" i="63"/>
  <c r="V28" i="63"/>
  <c r="T19" i="63"/>
  <c r="V19" i="63" s="1"/>
  <c r="V61" i="63"/>
  <c r="V51" i="63"/>
  <c r="V43" i="63"/>
  <c r="V39" i="63"/>
  <c r="V31" i="63"/>
  <c r="V27" i="63"/>
  <c r="V50" i="63"/>
  <c r="V42" i="63"/>
  <c r="V38" i="63"/>
  <c r="V26" i="63"/>
  <c r="V57" i="63"/>
  <c r="V53" i="63"/>
  <c r="V45" i="63"/>
  <c r="V37" i="63"/>
  <c r="V25" i="63"/>
  <c r="V21" i="63"/>
  <c r="V17" i="63"/>
  <c r="V56" i="63"/>
  <c r="V52" i="63"/>
  <c r="V44" i="63"/>
  <c r="V36" i="63"/>
  <c r="V24" i="63"/>
  <c r="V16" i="63"/>
  <c r="V65" i="63"/>
  <c r="V59" i="63"/>
  <c r="V55" i="63"/>
  <c r="V47" i="63"/>
  <c r="V35" i="63"/>
  <c r="V23" i="63"/>
  <c r="V34" i="63"/>
  <c r="V54" i="63"/>
  <c r="V46" i="63"/>
  <c r="V30" i="63"/>
  <c r="N19" i="66"/>
  <c r="L19" i="66"/>
  <c r="V20" i="55"/>
  <c r="J19" i="56"/>
  <c r="J25" i="56"/>
  <c r="F26" i="56"/>
  <c r="F30" i="56"/>
  <c r="J37" i="56"/>
  <c r="F38" i="56"/>
  <c r="J41" i="56"/>
  <c r="J49" i="56"/>
  <c r="F58" i="56"/>
  <c r="F64" i="56"/>
  <c r="H16" i="57"/>
  <c r="F19" i="57"/>
  <c r="V19" i="57"/>
  <c r="R20" i="57"/>
  <c r="J23" i="57"/>
  <c r="F24" i="57"/>
  <c r="V27" i="57"/>
  <c r="R28" i="57"/>
  <c r="J29" i="57"/>
  <c r="V31" i="57"/>
  <c r="R32" i="57"/>
  <c r="J35" i="57"/>
  <c r="F36" i="57"/>
  <c r="V39" i="57"/>
  <c r="J43" i="57"/>
  <c r="V47" i="57"/>
  <c r="V51" i="57"/>
  <c r="J55" i="57"/>
  <c r="V59" i="57"/>
  <c r="F63" i="57"/>
  <c r="V63" i="57"/>
  <c r="V65" i="57"/>
  <c r="F70" i="57"/>
  <c r="V70" i="57"/>
  <c r="V24" i="58"/>
  <c r="R25" i="58"/>
  <c r="J28" i="58"/>
  <c r="R30" i="58"/>
  <c r="J32" i="58"/>
  <c r="V36" i="58"/>
  <c r="R37" i="58"/>
  <c r="J40" i="58"/>
  <c r="V44" i="58"/>
  <c r="J48" i="58"/>
  <c r="V52" i="58"/>
  <c r="V56" i="58"/>
  <c r="J60" i="58"/>
  <c r="V66" i="58"/>
  <c r="R68" i="58"/>
  <c r="V71" i="58"/>
  <c r="R29" i="59"/>
  <c r="H16" i="61"/>
  <c r="N14" i="61"/>
  <c r="Z29" i="61"/>
  <c r="F22" i="55"/>
  <c r="F25" i="55"/>
  <c r="V25" i="55"/>
  <c r="F14" i="56"/>
  <c r="F18" i="56"/>
  <c r="J26" i="56"/>
  <c r="F27" i="56"/>
  <c r="J30" i="56"/>
  <c r="F31" i="56"/>
  <c r="J38" i="56"/>
  <c r="F39" i="56"/>
  <c r="F42" i="56"/>
  <c r="J44" i="56"/>
  <c r="F47" i="56"/>
  <c r="F50" i="56"/>
  <c r="J52" i="56"/>
  <c r="F55" i="56"/>
  <c r="J58" i="56"/>
  <c r="F60" i="56"/>
  <c r="J64" i="56"/>
  <c r="F66" i="56"/>
  <c r="Z12" i="57"/>
  <c r="R14" i="57"/>
  <c r="J16" i="57"/>
  <c r="R18" i="57"/>
  <c r="V20" i="57"/>
  <c r="R21" i="57"/>
  <c r="J24" i="57"/>
  <c r="F25" i="57"/>
  <c r="V28" i="57"/>
  <c r="V32" i="57"/>
  <c r="R33" i="57"/>
  <c r="J36" i="57"/>
  <c r="F37" i="57"/>
  <c r="F41" i="57"/>
  <c r="R42" i="57"/>
  <c r="F44" i="57"/>
  <c r="V44" i="57"/>
  <c r="R45" i="57"/>
  <c r="J46" i="57"/>
  <c r="F49" i="57"/>
  <c r="F53" i="57"/>
  <c r="R54" i="57"/>
  <c r="F56" i="57"/>
  <c r="V56" i="57"/>
  <c r="R57" i="57"/>
  <c r="J58" i="57"/>
  <c r="R77" i="58"/>
  <c r="R71" i="58"/>
  <c r="R64" i="58"/>
  <c r="R80" i="58"/>
  <c r="R73" i="58"/>
  <c r="T16" i="58"/>
  <c r="R19" i="58"/>
  <c r="J21" i="58"/>
  <c r="V25" i="58"/>
  <c r="R26" i="58"/>
  <c r="J29" i="58"/>
  <c r="J33" i="58"/>
  <c r="V37" i="58"/>
  <c r="R38" i="58"/>
  <c r="V41" i="58"/>
  <c r="R42" i="58"/>
  <c r="J43" i="58"/>
  <c r="R47" i="58"/>
  <c r="V49" i="58"/>
  <c r="R50" i="58"/>
  <c r="J51" i="58"/>
  <c r="R59" i="58"/>
  <c r="R62" i="58"/>
  <c r="J75" i="58"/>
  <c r="R61" i="59"/>
  <c r="R55" i="59"/>
  <c r="R39" i="59"/>
  <c r="R31" i="59"/>
  <c r="R27" i="59"/>
  <c r="R66" i="59"/>
  <c r="R41" i="59"/>
  <c r="R37" i="59"/>
  <c r="R25" i="59"/>
  <c r="R16" i="59"/>
  <c r="R53" i="59"/>
  <c r="R43" i="59"/>
  <c r="R40" i="59"/>
  <c r="R35" i="59"/>
  <c r="R23" i="59"/>
  <c r="R63" i="59"/>
  <c r="R57" i="59"/>
  <c r="R50" i="59"/>
  <c r="R46" i="59"/>
  <c r="R34" i="59"/>
  <c r="R22" i="59"/>
  <c r="P16" i="59"/>
  <c r="R36" i="59"/>
  <c r="N42" i="59"/>
  <c r="Z47" i="59"/>
  <c r="N40" i="60"/>
  <c r="L40" i="60"/>
  <c r="L52" i="60"/>
  <c r="L18" i="61"/>
  <c r="N18" i="61" s="1"/>
  <c r="N42" i="61"/>
  <c r="Z50" i="62"/>
  <c r="J55" i="56"/>
  <c r="F56" i="56"/>
  <c r="F26" i="57"/>
  <c r="F30" i="57"/>
  <c r="J37" i="57"/>
  <c r="F38" i="57"/>
  <c r="J41" i="57"/>
  <c r="V45" i="57"/>
  <c r="J49" i="57"/>
  <c r="F50" i="57"/>
  <c r="J53" i="57"/>
  <c r="V57" i="57"/>
  <c r="R61" i="57"/>
  <c r="J63" i="57"/>
  <c r="R67" i="57"/>
  <c r="J70" i="57"/>
  <c r="V67" i="58"/>
  <c r="V63" i="58"/>
  <c r="V80" i="58"/>
  <c r="V75" i="58"/>
  <c r="V73" i="58"/>
  <c r="V69" i="58"/>
  <c r="V16" i="58"/>
  <c r="V26" i="58"/>
  <c r="V30" i="58"/>
  <c r="V38" i="58"/>
  <c r="V42" i="58"/>
  <c r="V50" i="58"/>
  <c r="J54" i="58"/>
  <c r="J58" i="58"/>
  <c r="V62" i="58"/>
  <c r="R63" i="58"/>
  <c r="V64" i="58"/>
  <c r="R65" i="58"/>
  <c r="J66" i="58"/>
  <c r="V68" i="58"/>
  <c r="T63" i="59"/>
  <c r="L51" i="59"/>
  <c r="N51" i="59" s="1"/>
  <c r="T56" i="61"/>
  <c r="P87" i="62"/>
  <c r="X16" i="62"/>
  <c r="Z30" i="62"/>
  <c r="N69" i="62"/>
  <c r="L69" i="62"/>
  <c r="F20" i="55"/>
  <c r="F23" i="55"/>
  <c r="V23" i="55"/>
  <c r="V27" i="55"/>
  <c r="F31" i="55"/>
  <c r="V31" i="55"/>
  <c r="V33" i="55"/>
  <c r="J20" i="56"/>
  <c r="F21" i="56"/>
  <c r="J28" i="56"/>
  <c r="J32" i="56"/>
  <c r="F33" i="56"/>
  <c r="F40" i="56"/>
  <c r="J42" i="56"/>
  <c r="F45" i="56"/>
  <c r="F48" i="56"/>
  <c r="J50" i="56"/>
  <c r="F53" i="56"/>
  <c r="J56" i="56"/>
  <c r="J60" i="56"/>
  <c r="F14" i="57"/>
  <c r="F18" i="57"/>
  <c r="J26" i="57"/>
  <c r="F27" i="57"/>
  <c r="J30" i="57"/>
  <c r="F31" i="57"/>
  <c r="V34" i="57"/>
  <c r="R35" i="57"/>
  <c r="J38" i="57"/>
  <c r="F39" i="57"/>
  <c r="R40" i="57"/>
  <c r="F42" i="57"/>
  <c r="V42" i="57"/>
  <c r="R43" i="57"/>
  <c r="J44" i="57"/>
  <c r="F47" i="57"/>
  <c r="R48" i="57"/>
  <c r="J50" i="57"/>
  <c r="F51" i="57"/>
  <c r="R52" i="57"/>
  <c r="F54" i="57"/>
  <c r="V54" i="57"/>
  <c r="J56" i="57"/>
  <c r="F59" i="57"/>
  <c r="F65" i="57"/>
  <c r="X12" i="58"/>
  <c r="V19" i="58"/>
  <c r="V27" i="58"/>
  <c r="R28" i="58"/>
  <c r="V31" i="58"/>
  <c r="R32" i="58"/>
  <c r="J35" i="58"/>
  <c r="V39" i="58"/>
  <c r="R40" i="58"/>
  <c r="J41" i="58"/>
  <c r="R45" i="58"/>
  <c r="V47" i="58"/>
  <c r="R48" i="58"/>
  <c r="J49" i="58"/>
  <c r="R53" i="58"/>
  <c r="J55" i="58"/>
  <c r="R57" i="58"/>
  <c r="V59" i="58"/>
  <c r="R60" i="58"/>
  <c r="J61" i="58"/>
  <c r="V65" i="58"/>
  <c r="R52" i="59"/>
  <c r="R54" i="59"/>
  <c r="Z49" i="60"/>
  <c r="N52" i="60"/>
  <c r="H16" i="62"/>
  <c r="N14" i="62"/>
  <c r="N52" i="62"/>
  <c r="F87" i="65"/>
  <c r="F82" i="65"/>
  <c r="F80" i="65"/>
  <c r="F75" i="65"/>
  <c r="F47" i="65"/>
  <c r="F43" i="65"/>
  <c r="F35" i="65"/>
  <c r="F27" i="65"/>
  <c r="F19" i="65"/>
  <c r="F78" i="65"/>
  <c r="F74" i="65"/>
  <c r="F65" i="65"/>
  <c r="F62" i="65"/>
  <c r="F57" i="65"/>
  <c r="F54" i="65"/>
  <c r="F46" i="65"/>
  <c r="F42" i="65"/>
  <c r="F34" i="65"/>
  <c r="F26" i="65"/>
  <c r="F77" i="65"/>
  <c r="F53" i="65"/>
  <c r="F45" i="65"/>
  <c r="F41" i="65"/>
  <c r="F32" i="65"/>
  <c r="F25" i="65"/>
  <c r="F81" i="65"/>
  <c r="F71" i="65"/>
  <c r="F67" i="65"/>
  <c r="F64" i="65"/>
  <c r="F59" i="65"/>
  <c r="F56" i="65"/>
  <c r="F52" i="65"/>
  <c r="F40" i="65"/>
  <c r="F24" i="65"/>
  <c r="F51" i="65"/>
  <c r="F39" i="65"/>
  <c r="F23" i="65"/>
  <c r="F18" i="65"/>
  <c r="F83" i="65"/>
  <c r="F73" i="65"/>
  <c r="F70" i="65"/>
  <c r="F66" i="65"/>
  <c r="F61" i="65"/>
  <c r="F58" i="65"/>
  <c r="F50" i="65"/>
  <c r="F38" i="65"/>
  <c r="F33" i="65"/>
  <c r="F22" i="65"/>
  <c r="F76" i="65"/>
  <c r="F69" i="65"/>
  <c r="F49" i="65"/>
  <c r="F44" i="65"/>
  <c r="F37" i="65"/>
  <c r="F30" i="65"/>
  <c r="F21" i="65"/>
  <c r="F48" i="65"/>
  <c r="F55" i="65"/>
  <c r="D30" i="65"/>
  <c r="F36" i="65"/>
  <c r="L12" i="65"/>
  <c r="F63" i="65"/>
  <c r="F60" i="65"/>
  <c r="F68" i="65"/>
  <c r="F20" i="65"/>
  <c r="F20" i="57"/>
  <c r="F28" i="57"/>
  <c r="F32" i="57"/>
  <c r="J51" i="57"/>
  <c r="J59" i="57"/>
  <c r="F61" i="57"/>
  <c r="V61" i="57"/>
  <c r="V40" i="58"/>
  <c r="V48" i="58"/>
  <c r="V60" i="58"/>
  <c r="R75" i="58"/>
  <c r="V77" i="58"/>
  <c r="L18" i="62"/>
  <c r="N18" i="62" s="1"/>
  <c r="X41" i="62"/>
  <c r="Z41" i="62" s="1"/>
  <c r="L43" i="62"/>
  <c r="N43" i="62" s="1"/>
  <c r="X52" i="62"/>
  <c r="Z52" i="62" s="1"/>
  <c r="Z55" i="65"/>
  <c r="J19" i="59"/>
  <c r="V21" i="59"/>
  <c r="J25" i="59"/>
  <c r="F26" i="59"/>
  <c r="F30" i="59"/>
  <c r="V33" i="59"/>
  <c r="J37" i="59"/>
  <c r="F38" i="59"/>
  <c r="J41" i="59"/>
  <c r="F45" i="59"/>
  <c r="V45" i="59"/>
  <c r="J47" i="59"/>
  <c r="V49" i="59"/>
  <c r="J51" i="59"/>
  <c r="F54" i="59"/>
  <c r="J59" i="59"/>
  <c r="J66" i="59"/>
  <c r="F16" i="60"/>
  <c r="V16" i="60"/>
  <c r="J22" i="60"/>
  <c r="F23" i="60"/>
  <c r="V26" i="60"/>
  <c r="V30" i="60"/>
  <c r="J34" i="60"/>
  <c r="F35" i="60"/>
  <c r="V38" i="60"/>
  <c r="J40" i="60"/>
  <c r="F43" i="60"/>
  <c r="J46" i="60"/>
  <c r="V50" i="60"/>
  <c r="J52" i="60"/>
  <c r="D16" i="61"/>
  <c r="R19" i="61"/>
  <c r="F22" i="61"/>
  <c r="R26" i="61"/>
  <c r="F29" i="61"/>
  <c r="V29" i="61"/>
  <c r="R30" i="61"/>
  <c r="J33" i="61"/>
  <c r="F34" i="61"/>
  <c r="V37" i="61"/>
  <c r="R38" i="61"/>
  <c r="V41" i="61"/>
  <c r="J45" i="61"/>
  <c r="V49" i="61"/>
  <c r="R50" i="61"/>
  <c r="J51" i="61"/>
  <c r="R75" i="62"/>
  <c r="R78" i="62"/>
  <c r="R74" i="62"/>
  <c r="R70" i="62"/>
  <c r="R66" i="62"/>
  <c r="R89" i="62"/>
  <c r="R84" i="62"/>
  <c r="R73" i="62"/>
  <c r="R65" i="62"/>
  <c r="R62" i="62"/>
  <c r="R57" i="62"/>
  <c r="R54" i="62"/>
  <c r="R94" i="62"/>
  <c r="R87" i="62"/>
  <c r="R80" i="62"/>
  <c r="R77" i="62"/>
  <c r="R72" i="62"/>
  <c r="R64" i="62"/>
  <c r="R59" i="62"/>
  <c r="R56" i="62"/>
  <c r="R82" i="62"/>
  <c r="R79" i="62"/>
  <c r="R85" i="62"/>
  <c r="R61" i="62"/>
  <c r="R58" i="62"/>
  <c r="R53" i="62"/>
  <c r="D16" i="62"/>
  <c r="R19" i="62"/>
  <c r="F22" i="62"/>
  <c r="R26" i="62"/>
  <c r="J33" i="62"/>
  <c r="F34" i="62"/>
  <c r="V37" i="62"/>
  <c r="R38" i="62"/>
  <c r="F41" i="62"/>
  <c r="V41" i="62"/>
  <c r="R42" i="62"/>
  <c r="J43" i="62"/>
  <c r="F46" i="62"/>
  <c r="J49" i="62"/>
  <c r="J56" i="62"/>
  <c r="Z58" i="62"/>
  <c r="X60" i="62"/>
  <c r="Z60" i="62" s="1"/>
  <c r="F62" i="62"/>
  <c r="J67" i="62"/>
  <c r="J69" i="62"/>
  <c r="V70" i="62"/>
  <c r="R91" i="62"/>
  <c r="Z21" i="63"/>
  <c r="Z46" i="63"/>
  <c r="N65" i="65"/>
  <c r="F14" i="59"/>
  <c r="V14" i="59"/>
  <c r="F18" i="59"/>
  <c r="V18" i="59"/>
  <c r="V22" i="59"/>
  <c r="J26" i="59"/>
  <c r="F27" i="59"/>
  <c r="J30" i="59"/>
  <c r="F31" i="59"/>
  <c r="V34" i="59"/>
  <c r="J38" i="59"/>
  <c r="F39" i="59"/>
  <c r="F42" i="59"/>
  <c r="V42" i="59"/>
  <c r="V46" i="59"/>
  <c r="V50" i="59"/>
  <c r="J54" i="59"/>
  <c r="F55" i="59"/>
  <c r="F61" i="59"/>
  <c r="H16" i="60"/>
  <c r="F19" i="60"/>
  <c r="V19" i="60"/>
  <c r="J23" i="60"/>
  <c r="F24" i="60"/>
  <c r="V27" i="60"/>
  <c r="J29" i="60"/>
  <c r="V31" i="60"/>
  <c r="J35" i="60"/>
  <c r="F36" i="60"/>
  <c r="V39" i="60"/>
  <c r="J43" i="60"/>
  <c r="F47" i="60"/>
  <c r="V47" i="60"/>
  <c r="J49" i="60"/>
  <c r="V51" i="60"/>
  <c r="J57" i="60"/>
  <c r="J64" i="60"/>
  <c r="F16" i="61"/>
  <c r="V16" i="61"/>
  <c r="J22" i="61"/>
  <c r="F23" i="61"/>
  <c r="V26" i="61"/>
  <c r="R27" i="61"/>
  <c r="V30" i="61"/>
  <c r="R31" i="61"/>
  <c r="J34" i="61"/>
  <c r="F35" i="61"/>
  <c r="V38" i="61"/>
  <c r="R39" i="61"/>
  <c r="J40" i="61"/>
  <c r="F43" i="61"/>
  <c r="R44" i="61"/>
  <c r="F46" i="61"/>
  <c r="V46" i="61"/>
  <c r="R47" i="61"/>
  <c r="J48" i="61"/>
  <c r="V50" i="61"/>
  <c r="R54" i="61"/>
  <c r="J56" i="61"/>
  <c r="R60" i="61"/>
  <c r="J63" i="61"/>
  <c r="V84" i="62"/>
  <c r="V78" i="62"/>
  <c r="V74" i="62"/>
  <c r="V94" i="62"/>
  <c r="V89" i="62"/>
  <c r="V87" i="62"/>
  <c r="V77" i="62"/>
  <c r="V73" i="62"/>
  <c r="V69" i="62"/>
  <c r="V65" i="62"/>
  <c r="V57" i="62"/>
  <c r="V80" i="62"/>
  <c r="V72" i="62"/>
  <c r="V64" i="62"/>
  <c r="V56" i="62"/>
  <c r="V79" i="62"/>
  <c r="V82" i="62"/>
  <c r="V58" i="62"/>
  <c r="V91" i="62"/>
  <c r="V85" i="62"/>
  <c r="V81" i="62"/>
  <c r="V61" i="62"/>
  <c r="V76" i="62"/>
  <c r="V68" i="62"/>
  <c r="V60" i="62"/>
  <c r="F16" i="62"/>
  <c r="V16" i="62"/>
  <c r="J22" i="62"/>
  <c r="F23" i="62"/>
  <c r="V26" i="62"/>
  <c r="R27" i="62"/>
  <c r="F30" i="62"/>
  <c r="V30" i="62"/>
  <c r="R31" i="62"/>
  <c r="J34" i="62"/>
  <c r="F35" i="62"/>
  <c r="V38" i="62"/>
  <c r="R39" i="62"/>
  <c r="V42" i="62"/>
  <c r="J46" i="62"/>
  <c r="F47" i="62"/>
  <c r="R48" i="62"/>
  <c r="F50" i="62"/>
  <c r="V50" i="62"/>
  <c r="R51" i="62"/>
  <c r="J52" i="62"/>
  <c r="Z54" i="62"/>
  <c r="R55" i="62"/>
  <c r="N62" i="62"/>
  <c r="L62" i="62"/>
  <c r="J64" i="62"/>
  <c r="L84" i="62"/>
  <c r="P84" i="62"/>
  <c r="X84" i="62" s="1"/>
  <c r="X85" i="62"/>
  <c r="Z85" i="62" s="1"/>
  <c r="J94" i="62"/>
  <c r="Z54" i="63"/>
  <c r="P24" i="66"/>
  <c r="F57" i="59"/>
  <c r="F63" i="59"/>
  <c r="J16" i="60"/>
  <c r="J24" i="60"/>
  <c r="J36" i="60"/>
  <c r="F59" i="60"/>
  <c r="F19" i="61"/>
  <c r="F24" i="61"/>
  <c r="F36" i="61"/>
  <c r="F52" i="61"/>
  <c r="F58" i="61"/>
  <c r="F19" i="62"/>
  <c r="F24" i="62"/>
  <c r="F36" i="62"/>
  <c r="F44" i="62"/>
  <c r="R45" i="62"/>
  <c r="V54" i="62"/>
  <c r="V55" i="62"/>
  <c r="R63" i="62"/>
  <c r="R67" i="62"/>
  <c r="R68" i="62"/>
  <c r="R69" i="62"/>
  <c r="N84" i="62"/>
  <c r="J87" i="62"/>
  <c r="H63" i="63"/>
  <c r="P28" i="64"/>
  <c r="F21" i="59"/>
  <c r="J28" i="59"/>
  <c r="J32" i="59"/>
  <c r="F33" i="59"/>
  <c r="V36" i="59"/>
  <c r="F40" i="59"/>
  <c r="V40" i="59"/>
  <c r="J42" i="59"/>
  <c r="V44" i="59"/>
  <c r="J48" i="59"/>
  <c r="F49" i="59"/>
  <c r="J52" i="59"/>
  <c r="J19" i="60"/>
  <c r="V21" i="60"/>
  <c r="J25" i="60"/>
  <c r="F26" i="60"/>
  <c r="F30" i="60"/>
  <c r="V33" i="60"/>
  <c r="J37" i="60"/>
  <c r="F38" i="60"/>
  <c r="J41" i="60"/>
  <c r="V45" i="60"/>
  <c r="J47" i="60"/>
  <c r="F50" i="60"/>
  <c r="J53" i="60"/>
  <c r="F55" i="60"/>
  <c r="V55" i="60"/>
  <c r="J59" i="60"/>
  <c r="F61" i="60"/>
  <c r="V61" i="60"/>
  <c r="R14" i="61"/>
  <c r="R18" i="61"/>
  <c r="R21" i="61"/>
  <c r="F25" i="61"/>
  <c r="V28" i="61"/>
  <c r="V32" i="61"/>
  <c r="R33" i="61"/>
  <c r="J36" i="61"/>
  <c r="F37" i="61"/>
  <c r="F41" i="61"/>
  <c r="R42" i="61"/>
  <c r="F44" i="61"/>
  <c r="V44" i="61"/>
  <c r="R45" i="61"/>
  <c r="J46" i="61"/>
  <c r="F49" i="61"/>
  <c r="J52" i="61"/>
  <c r="F54" i="61"/>
  <c r="V54" i="61"/>
  <c r="J58" i="61"/>
  <c r="F60" i="61"/>
  <c r="V60" i="61"/>
  <c r="R14" i="62"/>
  <c r="R18" i="62"/>
  <c r="R21" i="62"/>
  <c r="F25" i="62"/>
  <c r="V28" i="62"/>
  <c r="R29" i="62"/>
  <c r="J30" i="62"/>
  <c r="V32" i="62"/>
  <c r="R33" i="62"/>
  <c r="J36" i="62"/>
  <c r="F37" i="62"/>
  <c r="V40" i="62"/>
  <c r="J44" i="62"/>
  <c r="F48" i="62"/>
  <c r="V48" i="62"/>
  <c r="R49" i="62"/>
  <c r="J50" i="62"/>
  <c r="F53" i="62"/>
  <c r="Z62" i="62"/>
  <c r="V63" i="62"/>
  <c r="X64" i="62"/>
  <c r="V67" i="62"/>
  <c r="J71" i="62"/>
  <c r="N77" i="62"/>
  <c r="Z84" i="62"/>
  <c r="P63" i="63"/>
  <c r="N76" i="65"/>
  <c r="J26" i="60"/>
  <c r="J30" i="60"/>
  <c r="J38" i="60"/>
  <c r="J44" i="60"/>
  <c r="J50" i="60"/>
  <c r="F26" i="61"/>
  <c r="F30" i="61"/>
  <c r="F38" i="61"/>
  <c r="F50" i="61"/>
  <c r="F84" i="62"/>
  <c r="F94" i="62"/>
  <c r="F87" i="62"/>
  <c r="F82" i="62"/>
  <c r="F77" i="62"/>
  <c r="F69" i="62"/>
  <c r="F72" i="62"/>
  <c r="F64" i="62"/>
  <c r="F61" i="62"/>
  <c r="F56" i="62"/>
  <c r="F85" i="62"/>
  <c r="F79" i="62"/>
  <c r="F75" i="62"/>
  <c r="F71" i="62"/>
  <c r="F67" i="62"/>
  <c r="F63" i="62"/>
  <c r="F58" i="62"/>
  <c r="F91" i="62"/>
  <c r="F81" i="62"/>
  <c r="F78" i="62"/>
  <c r="F74" i="62"/>
  <c r="F70" i="62"/>
  <c r="F66" i="62"/>
  <c r="F89" i="62"/>
  <c r="F73" i="62"/>
  <c r="F65" i="62"/>
  <c r="F60" i="62"/>
  <c r="F57" i="62"/>
  <c r="F26" i="62"/>
  <c r="F38" i="62"/>
  <c r="F42" i="62"/>
  <c r="F45" i="62"/>
  <c r="F54" i="62"/>
  <c r="N60" i="62"/>
  <c r="N72" i="62"/>
  <c r="F76" i="62"/>
  <c r="F80" i="62"/>
  <c r="R81" i="62"/>
  <c r="P12" i="65"/>
  <c r="X15" i="65"/>
  <c r="P80" i="65"/>
  <c r="X80" i="65" s="1"/>
  <c r="Z80" i="65" s="1"/>
  <c r="X81" i="65"/>
  <c r="Z81" i="65" s="1"/>
  <c r="F16" i="59"/>
  <c r="V16" i="59"/>
  <c r="J22" i="59"/>
  <c r="F23" i="59"/>
  <c r="V26" i="59"/>
  <c r="V30" i="59"/>
  <c r="J34" i="59"/>
  <c r="F35" i="59"/>
  <c r="V38" i="59"/>
  <c r="J40" i="59"/>
  <c r="J46" i="59"/>
  <c r="L12" i="60"/>
  <c r="F20" i="60"/>
  <c r="V23" i="60"/>
  <c r="J27" i="60"/>
  <c r="F28" i="60"/>
  <c r="J31" i="60"/>
  <c r="F32" i="60"/>
  <c r="V35" i="60"/>
  <c r="J39" i="60"/>
  <c r="J51" i="60"/>
  <c r="J55" i="60"/>
  <c r="F14" i="61"/>
  <c r="V14" i="61"/>
  <c r="F18" i="61"/>
  <c r="V18" i="61"/>
  <c r="V22" i="61"/>
  <c r="R23" i="61"/>
  <c r="J26" i="61"/>
  <c r="F27" i="61"/>
  <c r="J30" i="61"/>
  <c r="F31" i="61"/>
  <c r="V34" i="61"/>
  <c r="R35" i="61"/>
  <c r="J38" i="61"/>
  <c r="F39" i="61"/>
  <c r="R40" i="61"/>
  <c r="F42" i="61"/>
  <c r="R43" i="61"/>
  <c r="J44" i="61"/>
  <c r="R48" i="61"/>
  <c r="J50" i="61"/>
  <c r="J54" i="61"/>
  <c r="R56" i="61"/>
  <c r="J82" i="62"/>
  <c r="J79" i="62"/>
  <c r="J61" i="62"/>
  <c r="J85" i="62"/>
  <c r="J76" i="62"/>
  <c r="J68" i="62"/>
  <c r="J58" i="62"/>
  <c r="J91" i="62"/>
  <c r="J81" i="62"/>
  <c r="J78" i="62"/>
  <c r="J74" i="62"/>
  <c r="J70" i="62"/>
  <c r="J66" i="62"/>
  <c r="J60" i="62"/>
  <c r="J89" i="62"/>
  <c r="J73" i="62"/>
  <c r="J65" i="62"/>
  <c r="J84" i="62"/>
  <c r="J80" i="62"/>
  <c r="J62" i="62"/>
  <c r="J54" i="62"/>
  <c r="F14" i="62"/>
  <c r="V14" i="62"/>
  <c r="F18" i="62"/>
  <c r="V18" i="62"/>
  <c r="V22" i="62"/>
  <c r="R23" i="62"/>
  <c r="J26" i="62"/>
  <c r="F27" i="62"/>
  <c r="F31" i="62"/>
  <c r="V34" i="62"/>
  <c r="R35" i="62"/>
  <c r="J38" i="62"/>
  <c r="F39" i="62"/>
  <c r="J42" i="62"/>
  <c r="V46" i="62"/>
  <c r="R47" i="62"/>
  <c r="J48" i="62"/>
  <c r="F51" i="62"/>
  <c r="R52" i="62"/>
  <c r="F55" i="62"/>
  <c r="V66" i="62"/>
  <c r="J72" i="62"/>
  <c r="J75" i="62"/>
  <c r="H16" i="64"/>
  <c r="N14" i="64"/>
  <c r="N18" i="64"/>
  <c r="T85" i="65"/>
  <c r="V85" i="65" s="1"/>
  <c r="Z44" i="65"/>
  <c r="Z76" i="65"/>
  <c r="X76" i="65"/>
  <c r="X12" i="63"/>
  <c r="Z12" i="63" s="1"/>
  <c r="J19" i="63"/>
  <c r="R21" i="63"/>
  <c r="R24" i="63"/>
  <c r="J27" i="63"/>
  <c r="R36" i="63"/>
  <c r="J39" i="63"/>
  <c r="J43" i="63"/>
  <c r="J51" i="63"/>
  <c r="R56" i="63"/>
  <c r="N12" i="64"/>
  <c r="J14" i="64"/>
  <c r="R16" i="64"/>
  <c r="J18" i="64"/>
  <c r="J20" i="64"/>
  <c r="V24" i="64"/>
  <c r="F28" i="64"/>
  <c r="V28" i="64"/>
  <c r="V30" i="64"/>
  <c r="F35" i="64"/>
  <c r="V35" i="64"/>
  <c r="N12" i="65"/>
  <c r="J20" i="65"/>
  <c r="V24" i="65"/>
  <c r="J28" i="65"/>
  <c r="V30" i="65"/>
  <c r="J36" i="65"/>
  <c r="V40" i="65"/>
  <c r="V44" i="65"/>
  <c r="J48" i="65"/>
  <c r="V52" i="65"/>
  <c r="X55" i="65"/>
  <c r="V56" i="65"/>
  <c r="L57" i="65"/>
  <c r="N57" i="65" s="1"/>
  <c r="J60" i="65"/>
  <c r="X63" i="65"/>
  <c r="V64" i="65"/>
  <c r="L65" i="65"/>
  <c r="J68" i="65"/>
  <c r="J72" i="65"/>
  <c r="V76" i="65"/>
  <c r="J80" i="65"/>
  <c r="J19" i="66"/>
  <c r="H24" i="66"/>
  <c r="J31" i="66"/>
  <c r="P12" i="68"/>
  <c r="L65" i="68"/>
  <c r="N65" i="68" s="1"/>
  <c r="N74" i="68"/>
  <c r="X82" i="68"/>
  <c r="Z23" i="69"/>
  <c r="F27" i="69"/>
  <c r="F47" i="69"/>
  <c r="Z56" i="69"/>
  <c r="Z44" i="70"/>
  <c r="R17" i="63"/>
  <c r="J22" i="63"/>
  <c r="R25" i="63"/>
  <c r="J28" i="63"/>
  <c r="J32" i="63"/>
  <c r="R37" i="63"/>
  <c r="J40" i="63"/>
  <c r="R42" i="63"/>
  <c r="R45" i="63"/>
  <c r="J46" i="63"/>
  <c r="R50" i="63"/>
  <c r="R53" i="63"/>
  <c r="J54" i="63"/>
  <c r="R57" i="63"/>
  <c r="J58" i="63"/>
  <c r="D16" i="64"/>
  <c r="T16" i="64"/>
  <c r="X16" i="64" s="1"/>
  <c r="R19" i="64"/>
  <c r="F21" i="64"/>
  <c r="V21" i="64"/>
  <c r="R22" i="64"/>
  <c r="J23" i="64"/>
  <c r="J21" i="65"/>
  <c r="V25" i="65"/>
  <c r="H30" i="65"/>
  <c r="V33" i="65"/>
  <c r="J37" i="65"/>
  <c r="V41" i="65"/>
  <c r="V45" i="65"/>
  <c r="J49" i="65"/>
  <c r="V53" i="65"/>
  <c r="J55" i="65"/>
  <c r="V61" i="65"/>
  <c r="J63" i="65"/>
  <c r="J69" i="65"/>
  <c r="V73" i="65"/>
  <c r="V77" i="65"/>
  <c r="V81" i="65"/>
  <c r="J24" i="66"/>
  <c r="R28" i="66"/>
  <c r="Z82" i="68"/>
  <c r="Z22" i="69"/>
  <c r="X44" i="69"/>
  <c r="Z44" i="69" s="1"/>
  <c r="L46" i="69"/>
  <c r="N46" i="69" s="1"/>
  <c r="N66" i="69"/>
  <c r="D12" i="63"/>
  <c r="R26" i="63"/>
  <c r="J29" i="63"/>
  <c r="R31" i="63"/>
  <c r="J33" i="63"/>
  <c r="R38" i="63"/>
  <c r="J41" i="63"/>
  <c r="J49" i="63"/>
  <c r="R61" i="63"/>
  <c r="J63" i="63"/>
  <c r="R67" i="63"/>
  <c r="F16" i="64"/>
  <c r="V16" i="64"/>
  <c r="V22" i="64"/>
  <c r="R26" i="64"/>
  <c r="J28" i="64"/>
  <c r="R32" i="64"/>
  <c r="J35" i="64"/>
  <c r="V18" i="65"/>
  <c r="J22" i="65"/>
  <c r="V26" i="65"/>
  <c r="J30" i="65"/>
  <c r="V34" i="65"/>
  <c r="J38" i="65"/>
  <c r="V42" i="65"/>
  <c r="J44" i="65"/>
  <c r="V46" i="65"/>
  <c r="J50" i="65"/>
  <c r="V54" i="65"/>
  <c r="J58" i="65"/>
  <c r="V62" i="65"/>
  <c r="J66" i="65"/>
  <c r="J70" i="65"/>
  <c r="V74" i="65"/>
  <c r="J76" i="65"/>
  <c r="V78" i="65"/>
  <c r="J83" i="65"/>
  <c r="L12" i="66"/>
  <c r="X14" i="66"/>
  <c r="X70" i="68"/>
  <c r="Z85" i="68"/>
  <c r="Z89" i="68"/>
  <c r="X14" i="69"/>
  <c r="P12" i="69"/>
  <c r="F20" i="69"/>
  <c r="L33" i="69"/>
  <c r="J16" i="63"/>
  <c r="R27" i="63"/>
  <c r="J30" i="63"/>
  <c r="J34" i="63"/>
  <c r="R39" i="63"/>
  <c r="R43" i="63"/>
  <c r="J44" i="63"/>
  <c r="R48" i="63"/>
  <c r="R51" i="63"/>
  <c r="J52" i="63"/>
  <c r="J21" i="64"/>
  <c r="J23" i="65"/>
  <c r="J33" i="65"/>
  <c r="J39" i="65"/>
  <c r="V43" i="65"/>
  <c r="V47" i="65"/>
  <c r="J51" i="65"/>
  <c r="V59" i="65"/>
  <c r="J61" i="65"/>
  <c r="V67" i="65"/>
  <c r="V71" i="65"/>
  <c r="J73" i="65"/>
  <c r="V75" i="65"/>
  <c r="V87" i="65"/>
  <c r="L13" i="68"/>
  <c r="N13" i="68" s="1"/>
  <c r="D12" i="68"/>
  <c r="N33" i="69"/>
  <c r="R19" i="63"/>
  <c r="J21" i="63"/>
  <c r="J23" i="63"/>
  <c r="R28" i="63"/>
  <c r="R32" i="63"/>
  <c r="J35" i="63"/>
  <c r="R40" i="63"/>
  <c r="J47" i="63"/>
  <c r="J55" i="63"/>
  <c r="J59" i="63"/>
  <c r="J65" i="63"/>
  <c r="Z12" i="64"/>
  <c r="R14" i="64"/>
  <c r="J16" i="64"/>
  <c r="V20" i="64"/>
  <c r="J24" i="64"/>
  <c r="F26" i="64"/>
  <c r="V26" i="64"/>
  <c r="J30" i="64"/>
  <c r="F32" i="64"/>
  <c r="J18" i="65"/>
  <c r="V20" i="65"/>
  <c r="J24" i="65"/>
  <c r="V28" i="65"/>
  <c r="V32" i="65"/>
  <c r="V36" i="65"/>
  <c r="J40" i="65"/>
  <c r="V48" i="65"/>
  <c r="J52" i="65"/>
  <c r="J56" i="65"/>
  <c r="V60" i="65"/>
  <c r="J64" i="65"/>
  <c r="V68" i="65"/>
  <c r="V72" i="65"/>
  <c r="J81" i="65"/>
  <c r="V82" i="65"/>
  <c r="L14" i="66"/>
  <c r="D16" i="66"/>
  <c r="T16" i="66"/>
  <c r="X16" i="66" s="1"/>
  <c r="R19" i="66"/>
  <c r="Z18" i="68"/>
  <c r="Z37" i="68"/>
  <c r="Z38" i="68"/>
  <c r="Z65" i="68"/>
  <c r="N72" i="68"/>
  <c r="L72" i="68"/>
  <c r="Z78" i="68"/>
  <c r="L21" i="63"/>
  <c r="N21" i="63" s="1"/>
  <c r="R22" i="63"/>
  <c r="J24" i="63"/>
  <c r="R29" i="63"/>
  <c r="X31" i="63"/>
  <c r="Z31" i="63" s="1"/>
  <c r="R33" i="63"/>
  <c r="J36" i="63"/>
  <c r="R41" i="63"/>
  <c r="J42" i="63"/>
  <c r="R46" i="63"/>
  <c r="R49" i="63"/>
  <c r="J50" i="63"/>
  <c r="R54" i="63"/>
  <c r="J56" i="63"/>
  <c r="R58" i="63"/>
  <c r="X61" i="63"/>
  <c r="J19" i="64"/>
  <c r="X26" i="64"/>
  <c r="L18" i="65"/>
  <c r="N18" i="65" s="1"/>
  <c r="J25" i="65"/>
  <c r="V37" i="65"/>
  <c r="J41" i="65"/>
  <c r="J45" i="65"/>
  <c r="V49" i="65"/>
  <c r="J53" i="65"/>
  <c r="V57" i="65"/>
  <c r="J59" i="65"/>
  <c r="V65" i="65"/>
  <c r="J67" i="65"/>
  <c r="V69" i="65"/>
  <c r="J71" i="65"/>
  <c r="J77" i="65"/>
  <c r="V16" i="66"/>
  <c r="J22" i="66"/>
  <c r="F64" i="69"/>
  <c r="F60" i="69"/>
  <c r="F40" i="69"/>
  <c r="F28" i="69"/>
  <c r="F23" i="69"/>
  <c r="F59" i="69"/>
  <c r="F50" i="69"/>
  <c r="F67" i="69"/>
  <c r="F53" i="69"/>
  <c r="F38" i="69"/>
  <c r="F33" i="69"/>
  <c r="F26" i="69"/>
  <c r="D20" i="69"/>
  <c r="F18" i="69"/>
  <c r="L12" i="69"/>
  <c r="N12" i="69" s="1"/>
  <c r="F56" i="69"/>
  <c r="F49" i="69"/>
  <c r="F44" i="69"/>
  <c r="F37" i="69"/>
  <c r="F25" i="69"/>
  <c r="F63" i="69"/>
  <c r="F71" i="69"/>
  <c r="F58" i="69"/>
  <c r="F55" i="69"/>
  <c r="F51" i="69"/>
  <c r="F46" i="69"/>
  <c r="F43" i="69"/>
  <c r="F35" i="69"/>
  <c r="F31" i="69"/>
  <c r="F22" i="69"/>
  <c r="F62" i="69"/>
  <c r="F54" i="69"/>
  <c r="F42" i="69"/>
  <c r="F34" i="69"/>
  <c r="F30" i="69"/>
  <c r="F17" i="69"/>
  <c r="F61" i="69"/>
  <c r="F57" i="69"/>
  <c r="F48" i="69"/>
  <c r="F45" i="69"/>
  <c r="F41" i="69"/>
  <c r="F29" i="69"/>
  <c r="L22" i="69"/>
  <c r="N22" i="69" s="1"/>
  <c r="F32" i="69"/>
  <c r="Z46" i="69"/>
  <c r="J17" i="63"/>
  <c r="J25" i="63"/>
  <c r="R30" i="63"/>
  <c r="J31" i="63"/>
  <c r="R34" i="63"/>
  <c r="J37" i="63"/>
  <c r="J45" i="63"/>
  <c r="J53" i="63"/>
  <c r="J57" i="63"/>
  <c r="J61" i="63"/>
  <c r="R63" i="63"/>
  <c r="J22" i="64"/>
  <c r="J26" i="64"/>
  <c r="J26" i="65"/>
  <c r="J32" i="65"/>
  <c r="J34" i="65"/>
  <c r="J42" i="65"/>
  <c r="J46" i="65"/>
  <c r="J54" i="65"/>
  <c r="V58" i="65"/>
  <c r="J62" i="65"/>
  <c r="V66" i="65"/>
  <c r="V70" i="65"/>
  <c r="J74" i="65"/>
  <c r="N67" i="68"/>
  <c r="X91" i="68"/>
  <c r="Z91" i="68" s="1"/>
  <c r="Z33" i="69"/>
  <c r="V19" i="68"/>
  <c r="V27" i="68"/>
  <c r="V43" i="68"/>
  <c r="V55" i="68"/>
  <c r="V59" i="68"/>
  <c r="V67" i="68"/>
  <c r="V71" i="68"/>
  <c r="V79" i="68"/>
  <c r="V83" i="68"/>
  <c r="V87" i="68"/>
  <c r="J20" i="69"/>
  <c r="V24" i="69"/>
  <c r="J28" i="69"/>
  <c r="V32" i="69"/>
  <c r="V36" i="69"/>
  <c r="J40" i="69"/>
  <c r="V48" i="69"/>
  <c r="J50" i="69"/>
  <c r="V52" i="69"/>
  <c r="L53" i="69"/>
  <c r="N53" i="69" s="1"/>
  <c r="J60" i="69"/>
  <c r="J64" i="69"/>
  <c r="V66" i="69"/>
  <c r="P12" i="70"/>
  <c r="J21" i="70"/>
  <c r="V25" i="70"/>
  <c r="H30" i="70"/>
  <c r="V33" i="70"/>
  <c r="J37" i="70"/>
  <c r="V41" i="70"/>
  <c r="J49" i="70"/>
  <c r="J50" i="70"/>
  <c r="Z55" i="70"/>
  <c r="J58" i="70"/>
  <c r="J75" i="70"/>
  <c r="P58" i="72"/>
  <c r="F43" i="72"/>
  <c r="V46" i="72"/>
  <c r="F62" i="72"/>
  <c r="X50" i="74"/>
  <c r="Z50" i="74" s="1"/>
  <c r="V20" i="68"/>
  <c r="V28" i="68"/>
  <c r="T35" i="68"/>
  <c r="V35" i="68" s="1"/>
  <c r="V44" i="68"/>
  <c r="V48" i="68"/>
  <c r="V56" i="68"/>
  <c r="V60" i="68"/>
  <c r="V68" i="68"/>
  <c r="V76" i="68"/>
  <c r="V80" i="68"/>
  <c r="V84" i="68"/>
  <c r="V88" i="68"/>
  <c r="V94" i="68"/>
  <c r="J23" i="69"/>
  <c r="V25" i="69"/>
  <c r="J29" i="69"/>
  <c r="V37" i="69"/>
  <c r="J41" i="69"/>
  <c r="J45" i="69"/>
  <c r="V49" i="69"/>
  <c r="J57" i="69"/>
  <c r="J61" i="69"/>
  <c r="V80" i="70"/>
  <c r="V78" i="70"/>
  <c r="V68" i="70"/>
  <c r="V60" i="70"/>
  <c r="V71" i="70"/>
  <c r="V67" i="70"/>
  <c r="V59" i="70"/>
  <c r="V61" i="70"/>
  <c r="V53" i="70"/>
  <c r="V73" i="70"/>
  <c r="V63" i="70"/>
  <c r="V55" i="70"/>
  <c r="V51" i="70"/>
  <c r="V66" i="70"/>
  <c r="V58" i="70"/>
  <c r="V18" i="70"/>
  <c r="J22" i="70"/>
  <c r="V26" i="70"/>
  <c r="J30" i="70"/>
  <c r="V34" i="70"/>
  <c r="J38" i="70"/>
  <c r="V42" i="70"/>
  <c r="J44" i="70"/>
  <c r="V46" i="70"/>
  <c r="J51" i="70"/>
  <c r="V52" i="70"/>
  <c r="J59" i="70"/>
  <c r="V64" i="70"/>
  <c r="V69" i="70"/>
  <c r="J74" i="70"/>
  <c r="V22" i="72"/>
  <c r="V30" i="72"/>
  <c r="V34" i="72"/>
  <c r="F56" i="72"/>
  <c r="Z18" i="74"/>
  <c r="T71" i="74"/>
  <c r="V21" i="68"/>
  <c r="V29" i="68"/>
  <c r="V45" i="68"/>
  <c r="V49" i="68"/>
  <c r="V57" i="68"/>
  <c r="V65" i="68"/>
  <c r="V69" i="68"/>
  <c r="V77" i="68"/>
  <c r="V81" i="68"/>
  <c r="V97" i="68"/>
  <c r="V18" i="69"/>
  <c r="V22" i="69"/>
  <c r="V26" i="69"/>
  <c r="J30" i="69"/>
  <c r="J34" i="69"/>
  <c r="V38" i="69"/>
  <c r="J42" i="69"/>
  <c r="V46" i="69"/>
  <c r="J48" i="69"/>
  <c r="J54" i="69"/>
  <c r="V58" i="69"/>
  <c r="J62" i="69"/>
  <c r="J66" i="69"/>
  <c r="V19" i="70"/>
  <c r="J23" i="70"/>
  <c r="V27" i="70"/>
  <c r="J33" i="70"/>
  <c r="V35" i="70"/>
  <c r="J39" i="70"/>
  <c r="V43" i="70"/>
  <c r="V47" i="70"/>
  <c r="X59" i="70"/>
  <c r="L63" i="70"/>
  <c r="N63" i="70" s="1"/>
  <c r="J68" i="70"/>
  <c r="Z70" i="70"/>
  <c r="N73" i="70"/>
  <c r="J80" i="70"/>
  <c r="F22" i="72"/>
  <c r="N52" i="74"/>
  <c r="L52" i="74"/>
  <c r="X63" i="75"/>
  <c r="Z63" i="75" s="1"/>
  <c r="P73" i="70"/>
  <c r="X73" i="70" s="1"/>
  <c r="Z73" i="70" s="1"/>
  <c r="X74" i="70"/>
  <c r="V51" i="72"/>
  <c r="V43" i="72"/>
  <c r="V39" i="72"/>
  <c r="V31" i="72"/>
  <c r="V27" i="72"/>
  <c r="V65" i="72"/>
  <c r="V60" i="72"/>
  <c r="V58" i="72"/>
  <c r="V54" i="72"/>
  <c r="V42" i="72"/>
  <c r="V38" i="72"/>
  <c r="V26" i="72"/>
  <c r="V53" i="72"/>
  <c r="V45" i="72"/>
  <c r="V37" i="72"/>
  <c r="V25" i="72"/>
  <c r="V21" i="72"/>
  <c r="V17" i="72"/>
  <c r="V48" i="72"/>
  <c r="V44" i="72"/>
  <c r="V36" i="72"/>
  <c r="V24" i="72"/>
  <c r="V16" i="72"/>
  <c r="Z12" i="72"/>
  <c r="V47" i="72"/>
  <c r="V35" i="72"/>
  <c r="V23" i="72"/>
  <c r="V49" i="72"/>
  <c r="V41" i="72"/>
  <c r="V33" i="72"/>
  <c r="V29" i="72"/>
  <c r="V19" i="72"/>
  <c r="V52" i="72"/>
  <c r="V40" i="72"/>
  <c r="V32" i="72"/>
  <c r="V28" i="72"/>
  <c r="T19" i="72"/>
  <c r="V23" i="68"/>
  <c r="V31" i="68"/>
  <c r="V39" i="68"/>
  <c r="V47" i="68"/>
  <c r="V51" i="68"/>
  <c r="V63" i="68"/>
  <c r="V75" i="68"/>
  <c r="L76" i="68"/>
  <c r="V91" i="68"/>
  <c r="V95" i="68"/>
  <c r="J22" i="69"/>
  <c r="J24" i="69"/>
  <c r="V28" i="69"/>
  <c r="J32" i="69"/>
  <c r="J36" i="69"/>
  <c r="V40" i="69"/>
  <c r="V44" i="69"/>
  <c r="J46" i="69"/>
  <c r="J52" i="69"/>
  <c r="V56" i="69"/>
  <c r="J58" i="69"/>
  <c r="V60" i="69"/>
  <c r="V64" i="69"/>
  <c r="D12" i="70"/>
  <c r="V21" i="70"/>
  <c r="J25" i="70"/>
  <c r="V37" i="70"/>
  <c r="J41" i="70"/>
  <c r="V50" i="70"/>
  <c r="N55" i="70"/>
  <c r="V56" i="70"/>
  <c r="V74" i="70"/>
  <c r="V75" i="70"/>
  <c r="N21" i="72"/>
  <c r="D71" i="74"/>
  <c r="L18" i="74"/>
  <c r="P71" i="74"/>
  <c r="X18" i="74"/>
  <c r="V24" i="68"/>
  <c r="V32" i="68"/>
  <c r="V40" i="68"/>
  <c r="V52" i="68"/>
  <c r="V64" i="68"/>
  <c r="V72" i="68"/>
  <c r="V92" i="68"/>
  <c r="T20" i="69"/>
  <c r="J25" i="69"/>
  <c r="V29" i="69"/>
  <c r="V33" i="69"/>
  <c r="J37" i="69"/>
  <c r="V41" i="69"/>
  <c r="V45" i="69"/>
  <c r="J49" i="69"/>
  <c r="V53" i="69"/>
  <c r="V57" i="69"/>
  <c r="V61" i="69"/>
  <c r="J63" i="69"/>
  <c r="J70" i="70"/>
  <c r="J64" i="70"/>
  <c r="J56" i="70"/>
  <c r="J52" i="70"/>
  <c r="J76" i="70"/>
  <c r="J61" i="70"/>
  <c r="J73" i="70"/>
  <c r="J69" i="70"/>
  <c r="J63" i="70"/>
  <c r="J55" i="70"/>
  <c r="J71" i="70"/>
  <c r="J65" i="70"/>
  <c r="J57" i="70"/>
  <c r="J62" i="70"/>
  <c r="J54" i="70"/>
  <c r="V22" i="70"/>
  <c r="J26" i="70"/>
  <c r="J32" i="70"/>
  <c r="J34" i="70"/>
  <c r="V38" i="70"/>
  <c r="J42" i="70"/>
  <c r="J46" i="70"/>
  <c r="J53" i="70"/>
  <c r="V62" i="70"/>
  <c r="Z63" i="70"/>
  <c r="J66" i="70"/>
  <c r="J67" i="70"/>
  <c r="F51" i="72"/>
  <c r="F48" i="72"/>
  <c r="F36" i="72"/>
  <c r="F31" i="72"/>
  <c r="F24" i="72"/>
  <c r="L12" i="72"/>
  <c r="F65" i="72"/>
  <c r="F58" i="72"/>
  <c r="F47" i="72"/>
  <c r="F42" i="72"/>
  <c r="F35" i="72"/>
  <c r="F23" i="72"/>
  <c r="F53" i="72"/>
  <c r="F50" i="72"/>
  <c r="F34" i="72"/>
  <c r="F30" i="72"/>
  <c r="F21" i="72"/>
  <c r="F44" i="72"/>
  <c r="F41" i="72"/>
  <c r="F33" i="72"/>
  <c r="F29" i="72"/>
  <c r="F16" i="72"/>
  <c r="F52" i="72"/>
  <c r="F40" i="72"/>
  <c r="F32" i="72"/>
  <c r="F28" i="72"/>
  <c r="F60" i="72"/>
  <c r="F54" i="72"/>
  <c r="F49" i="72"/>
  <c r="F38" i="72"/>
  <c r="F26" i="72"/>
  <c r="F19" i="72"/>
  <c r="F45" i="72"/>
  <c r="F37" i="72"/>
  <c r="F25" i="72"/>
  <c r="D19" i="72"/>
  <c r="F17" i="72"/>
  <c r="F39" i="72"/>
  <c r="N49" i="72"/>
  <c r="L49" i="72"/>
  <c r="V50" i="72"/>
  <c r="T82" i="70"/>
  <c r="Z21" i="73"/>
  <c r="X21" i="73"/>
  <c r="T25" i="73"/>
  <c r="L20" i="74"/>
  <c r="N20" i="74" s="1"/>
  <c r="X30" i="74"/>
  <c r="Z30" i="74" s="1"/>
  <c r="V18" i="68"/>
  <c r="V26" i="68"/>
  <c r="V42" i="68"/>
  <c r="V54" i="68"/>
  <c r="V62" i="68"/>
  <c r="V70" i="68"/>
  <c r="V78" i="68"/>
  <c r="V82" i="68"/>
  <c r="V86" i="68"/>
  <c r="V90" i="68"/>
  <c r="H20" i="69"/>
  <c r="V23" i="69"/>
  <c r="J27" i="69"/>
  <c r="V31" i="69"/>
  <c r="J33" i="69"/>
  <c r="V35" i="69"/>
  <c r="J39" i="69"/>
  <c r="V43" i="69"/>
  <c r="J47" i="69"/>
  <c r="V51" i="69"/>
  <c r="J53" i="69"/>
  <c r="V55" i="69"/>
  <c r="D66" i="69"/>
  <c r="L66" i="69" s="1"/>
  <c r="V71" i="69"/>
  <c r="J20" i="70"/>
  <c r="V24" i="70"/>
  <c r="J28" i="70"/>
  <c r="V30" i="70"/>
  <c r="J36" i="70"/>
  <c r="V40" i="70"/>
  <c r="V44" i="70"/>
  <c r="J48" i="70"/>
  <c r="V54" i="70"/>
  <c r="Z61" i="70"/>
  <c r="N65" i="70"/>
  <c r="H58" i="72"/>
  <c r="N19" i="72"/>
  <c r="Z21" i="72"/>
  <c r="N53" i="72"/>
  <c r="V56" i="72"/>
  <c r="X14" i="75"/>
  <c r="P12" i="75"/>
  <c r="N24" i="75"/>
  <c r="L48" i="76"/>
  <c r="N48" i="76"/>
  <c r="N12" i="72"/>
  <c r="R22" i="72"/>
  <c r="J24" i="72"/>
  <c r="R29" i="72"/>
  <c r="R33" i="72"/>
  <c r="J36" i="72"/>
  <c r="R41" i="72"/>
  <c r="J42" i="72"/>
  <c r="R46" i="72"/>
  <c r="J48" i="72"/>
  <c r="R56" i="72"/>
  <c r="J58" i="72"/>
  <c r="R62" i="72"/>
  <c r="J65" i="72"/>
  <c r="R16" i="73"/>
  <c r="H19" i="73"/>
  <c r="F15" i="74"/>
  <c r="R16" i="74"/>
  <c r="J21" i="74"/>
  <c r="V23" i="74"/>
  <c r="R24" i="74"/>
  <c r="J27" i="74"/>
  <c r="F28" i="74"/>
  <c r="J31" i="74"/>
  <c r="F32" i="74"/>
  <c r="V35" i="74"/>
  <c r="R36" i="74"/>
  <c r="J39" i="74"/>
  <c r="F40" i="74"/>
  <c r="R41" i="74"/>
  <c r="F43" i="74"/>
  <c r="V43" i="74"/>
  <c r="R44" i="74"/>
  <c r="J45" i="74"/>
  <c r="V47" i="74"/>
  <c r="J51" i="74"/>
  <c r="V55" i="74"/>
  <c r="R56" i="74"/>
  <c r="J57" i="74"/>
  <c r="V59" i="74"/>
  <c r="R60" i="74"/>
  <c r="F63" i="74"/>
  <c r="V63" i="74"/>
  <c r="R64" i="74"/>
  <c r="V67" i="74"/>
  <c r="H71" i="74"/>
  <c r="J88" i="75"/>
  <c r="J82" i="75"/>
  <c r="J65" i="75"/>
  <c r="J78" i="75"/>
  <c r="J68" i="75"/>
  <c r="J64" i="75"/>
  <c r="J76" i="75"/>
  <c r="J73" i="75"/>
  <c r="J58" i="75"/>
  <c r="J50" i="75"/>
  <c r="J38" i="75"/>
  <c r="J74" i="75"/>
  <c r="J72" i="75"/>
  <c r="J71" i="75"/>
  <c r="J57" i="75"/>
  <c r="J49" i="75"/>
  <c r="J43" i="75"/>
  <c r="J35" i="75"/>
  <c r="J31" i="75"/>
  <c r="J17" i="75"/>
  <c r="J81" i="75"/>
  <c r="J69" i="75"/>
  <c r="J62" i="75"/>
  <c r="J54" i="75"/>
  <c r="J46" i="75"/>
  <c r="J42" i="75"/>
  <c r="J30" i="75"/>
  <c r="J24" i="75"/>
  <c r="D12" i="75"/>
  <c r="X17" i="75"/>
  <c r="Z17" i="75" s="1"/>
  <c r="L23" i="75"/>
  <c r="N23" i="75" s="1"/>
  <c r="L24" i="75"/>
  <c r="J33" i="75"/>
  <c r="J36" i="75"/>
  <c r="V40" i="75"/>
  <c r="V41" i="75"/>
  <c r="V48" i="75"/>
  <c r="X49" i="75"/>
  <c r="Z49" i="75" s="1"/>
  <c r="J53" i="75"/>
  <c r="L59" i="75"/>
  <c r="N59" i="75" s="1"/>
  <c r="J63" i="75"/>
  <c r="V64" i="75"/>
  <c r="V67" i="75"/>
  <c r="V79" i="75"/>
  <c r="J17" i="72"/>
  <c r="J25" i="72"/>
  <c r="R30" i="72"/>
  <c r="J31" i="72"/>
  <c r="R34" i="72"/>
  <c r="J37" i="72"/>
  <c r="J45" i="72"/>
  <c r="R50" i="72"/>
  <c r="J51" i="72"/>
  <c r="X12" i="73"/>
  <c r="Z12" i="73" s="1"/>
  <c r="J19" i="73"/>
  <c r="R21" i="73"/>
  <c r="J23" i="73"/>
  <c r="V16" i="74"/>
  <c r="F20" i="74"/>
  <c r="V20" i="74"/>
  <c r="V24" i="74"/>
  <c r="R25" i="74"/>
  <c r="J28" i="74"/>
  <c r="F29" i="74"/>
  <c r="R30" i="74"/>
  <c r="J32" i="74"/>
  <c r="F33" i="74"/>
  <c r="V36" i="74"/>
  <c r="R37" i="74"/>
  <c r="J40" i="74"/>
  <c r="V44" i="74"/>
  <c r="F49" i="74"/>
  <c r="R50" i="74"/>
  <c r="F52" i="74"/>
  <c r="V52" i="74"/>
  <c r="R53" i="74"/>
  <c r="J54" i="74"/>
  <c r="V56" i="74"/>
  <c r="V60" i="74"/>
  <c r="R61" i="74"/>
  <c r="V64" i="74"/>
  <c r="R65" i="74"/>
  <c r="J66" i="74"/>
  <c r="X69" i="74"/>
  <c r="J71" i="74"/>
  <c r="F73" i="74"/>
  <c r="V75" i="74"/>
  <c r="R78" i="74"/>
  <c r="L13" i="75"/>
  <c r="N13" i="75" s="1"/>
  <c r="T21" i="75"/>
  <c r="J32" i="75"/>
  <c r="N34" i="75"/>
  <c r="J44" i="75"/>
  <c r="V45" i="75"/>
  <c r="J55" i="75"/>
  <c r="V71" i="75"/>
  <c r="R19" i="76"/>
  <c r="X12" i="72"/>
  <c r="J19" i="72"/>
  <c r="R21" i="72"/>
  <c r="R24" i="72"/>
  <c r="J27" i="72"/>
  <c r="R36" i="72"/>
  <c r="J39" i="72"/>
  <c r="J43" i="72"/>
  <c r="R48" i="72"/>
  <c r="J49" i="72"/>
  <c r="R53" i="72"/>
  <c r="D12" i="73"/>
  <c r="V17" i="73"/>
  <c r="V21" i="73"/>
  <c r="V25" i="73"/>
  <c r="V27" i="73"/>
  <c r="L15" i="74"/>
  <c r="R18" i="74"/>
  <c r="F23" i="74"/>
  <c r="V26" i="74"/>
  <c r="R27" i="74"/>
  <c r="F30" i="74"/>
  <c r="V30" i="74"/>
  <c r="R31" i="74"/>
  <c r="J34" i="74"/>
  <c r="F35" i="74"/>
  <c r="V38" i="74"/>
  <c r="R39" i="74"/>
  <c r="V42" i="74"/>
  <c r="J46" i="74"/>
  <c r="F47" i="74"/>
  <c r="R48" i="74"/>
  <c r="F50" i="74"/>
  <c r="V50" i="74"/>
  <c r="R51" i="74"/>
  <c r="J52" i="74"/>
  <c r="F55" i="74"/>
  <c r="J58" i="74"/>
  <c r="F59" i="74"/>
  <c r="V62" i="74"/>
  <c r="F67" i="74"/>
  <c r="J75" i="74"/>
  <c r="V78" i="74"/>
  <c r="V17" i="75"/>
  <c r="J25" i="75"/>
  <c r="J28" i="75"/>
  <c r="V36" i="75"/>
  <c r="V37" i="75"/>
  <c r="V49" i="75"/>
  <c r="V51" i="75"/>
  <c r="J59" i="75"/>
  <c r="V63" i="75"/>
  <c r="V74" i="75"/>
  <c r="R38" i="76"/>
  <c r="J76" i="77"/>
  <c r="J69" i="77"/>
  <c r="J64" i="77"/>
  <c r="J56" i="77"/>
  <c r="J52" i="77"/>
  <c r="J44" i="77"/>
  <c r="J36" i="77"/>
  <c r="J24" i="77"/>
  <c r="J16" i="77"/>
  <c r="J61" i="77"/>
  <c r="J55" i="77"/>
  <c r="J49" i="77"/>
  <c r="J43" i="77"/>
  <c r="J35" i="77"/>
  <c r="J29" i="77"/>
  <c r="J23" i="77"/>
  <c r="H16" i="77"/>
  <c r="J67" i="77"/>
  <c r="J58" i="77"/>
  <c r="J46" i="77"/>
  <c r="J40" i="77"/>
  <c r="J34" i="77"/>
  <c r="J22" i="77"/>
  <c r="J73" i="77"/>
  <c r="J63" i="77"/>
  <c r="J51" i="77"/>
  <c r="J71" i="77"/>
  <c r="J57" i="77"/>
  <c r="J45" i="77"/>
  <c r="J39" i="77"/>
  <c r="J31" i="77"/>
  <c r="J27" i="77"/>
  <c r="J62" i="77"/>
  <c r="J21" i="77"/>
  <c r="J47" i="77"/>
  <c r="J38" i="77"/>
  <c r="J30" i="77"/>
  <c r="J37" i="77"/>
  <c r="J53" i="77"/>
  <c r="J48" i="77"/>
  <c r="N12" i="77"/>
  <c r="J66" i="77"/>
  <c r="J60" i="77"/>
  <c r="J41" i="77"/>
  <c r="J33" i="77"/>
  <c r="J26" i="77"/>
  <c r="J19" i="77"/>
  <c r="J50" i="77"/>
  <c r="J25" i="77"/>
  <c r="J20" i="77"/>
  <c r="J18" i="77"/>
  <c r="J28" i="77"/>
  <c r="J16" i="73"/>
  <c r="P19" i="73"/>
  <c r="R19" i="73" s="1"/>
  <c r="R21" i="74"/>
  <c r="R28" i="74"/>
  <c r="R32" i="74"/>
  <c r="R40" i="74"/>
  <c r="R45" i="74"/>
  <c r="R57" i="74"/>
  <c r="R71" i="74"/>
  <c r="V84" i="75"/>
  <c r="V77" i="75"/>
  <c r="V73" i="75"/>
  <c r="V69" i="75"/>
  <c r="V80" i="75"/>
  <c r="V76" i="75"/>
  <c r="V72" i="75"/>
  <c r="V81" i="75"/>
  <c r="V70" i="75"/>
  <c r="V62" i="75"/>
  <c r="V54" i="75"/>
  <c r="V46" i="75"/>
  <c r="V42" i="75"/>
  <c r="V34" i="75"/>
  <c r="V88" i="75"/>
  <c r="V61" i="75"/>
  <c r="V82" i="75"/>
  <c r="V55" i="75"/>
  <c r="V47" i="75"/>
  <c r="V39" i="75"/>
  <c r="V27" i="75"/>
  <c r="V23" i="75"/>
  <c r="V19" i="75"/>
  <c r="V58" i="75"/>
  <c r="V50" i="75"/>
  <c r="V38" i="75"/>
  <c r="V26" i="75"/>
  <c r="V18" i="75"/>
  <c r="V32" i="75"/>
  <c r="V33" i="75"/>
  <c r="V35" i="75"/>
  <c r="V56" i="75"/>
  <c r="Z51" i="77"/>
  <c r="X51" i="77"/>
  <c r="R26" i="72"/>
  <c r="J29" i="72"/>
  <c r="R31" i="72"/>
  <c r="J33" i="72"/>
  <c r="R38" i="72"/>
  <c r="J41" i="72"/>
  <c r="R51" i="72"/>
  <c r="R54" i="72"/>
  <c r="R60" i="72"/>
  <c r="J21" i="73"/>
  <c r="R23" i="73"/>
  <c r="J16" i="74"/>
  <c r="F18" i="74"/>
  <c r="V18" i="74"/>
  <c r="J24" i="74"/>
  <c r="F25" i="74"/>
  <c r="V28" i="74"/>
  <c r="R29" i="74"/>
  <c r="J30" i="74"/>
  <c r="V32" i="74"/>
  <c r="R33" i="74"/>
  <c r="J36" i="74"/>
  <c r="F37" i="74"/>
  <c r="V40" i="74"/>
  <c r="J44" i="74"/>
  <c r="F48" i="74"/>
  <c r="V48" i="74"/>
  <c r="R49" i="74"/>
  <c r="J50" i="74"/>
  <c r="F53" i="74"/>
  <c r="R54" i="74"/>
  <c r="J56" i="74"/>
  <c r="J60" i="74"/>
  <c r="F61" i="74"/>
  <c r="J64" i="74"/>
  <c r="F65" i="74"/>
  <c r="R66" i="74"/>
  <c r="R73" i="74"/>
  <c r="H21" i="75"/>
  <c r="V28" i="75"/>
  <c r="V31" i="75"/>
  <c r="J40" i="75"/>
  <c r="J41" i="75"/>
  <c r="V43" i="75"/>
  <c r="V44" i="75"/>
  <c r="J47" i="75"/>
  <c r="V53" i="75"/>
  <c r="V60" i="75"/>
  <c r="J66" i="75"/>
  <c r="J79" i="75"/>
  <c r="J80" i="75"/>
  <c r="N81" i="75"/>
  <c r="R49" i="76"/>
  <c r="R33" i="76"/>
  <c r="R29" i="76"/>
  <c r="R21" i="76"/>
  <c r="R14" i="76"/>
  <c r="R60" i="76"/>
  <c r="R52" i="76"/>
  <c r="R45" i="76"/>
  <c r="R40" i="76"/>
  <c r="R32" i="76"/>
  <c r="R28" i="76"/>
  <c r="X12" i="76"/>
  <c r="R72" i="76"/>
  <c r="R66" i="76"/>
  <c r="R59" i="76"/>
  <c r="R51" i="76"/>
  <c r="R48" i="76"/>
  <c r="R39" i="76"/>
  <c r="R31" i="76"/>
  <c r="R27" i="76"/>
  <c r="R20" i="76"/>
  <c r="R70" i="76"/>
  <c r="R64" i="76"/>
  <c r="R61" i="76"/>
  <c r="R56" i="76"/>
  <c r="R53" i="76"/>
  <c r="R44" i="76"/>
  <c r="R41" i="76"/>
  <c r="R36" i="76"/>
  <c r="R24" i="76"/>
  <c r="R50" i="76"/>
  <c r="R47" i="76"/>
  <c r="R34" i="76"/>
  <c r="R15" i="76"/>
  <c r="R75" i="76"/>
  <c r="R58" i="76"/>
  <c r="R35" i="76"/>
  <c r="R30" i="76"/>
  <c r="R22" i="76"/>
  <c r="R17" i="76"/>
  <c r="R68" i="76"/>
  <c r="R57" i="76"/>
  <c r="R23" i="76"/>
  <c r="P17" i="76"/>
  <c r="R37" i="76"/>
  <c r="R26" i="76"/>
  <c r="X14" i="76"/>
  <c r="Z14" i="76"/>
  <c r="R42" i="76"/>
  <c r="Z43" i="76"/>
  <c r="X43" i="76"/>
  <c r="R54" i="76"/>
  <c r="R55" i="76"/>
  <c r="J32" i="77"/>
  <c r="J16" i="72"/>
  <c r="J30" i="72"/>
  <c r="J34" i="72"/>
  <c r="R39" i="72"/>
  <c r="J44" i="72"/>
  <c r="X12" i="74"/>
  <c r="R15" i="74"/>
  <c r="R22" i="74"/>
  <c r="R34" i="74"/>
  <c r="F38" i="74"/>
  <c r="F42" i="74"/>
  <c r="R43" i="74"/>
  <c r="F45" i="74"/>
  <c r="V45" i="74"/>
  <c r="R46" i="74"/>
  <c r="V49" i="74"/>
  <c r="J53" i="74"/>
  <c r="F57" i="74"/>
  <c r="V57" i="74"/>
  <c r="R58" i="74"/>
  <c r="J61" i="74"/>
  <c r="R63" i="74"/>
  <c r="J65" i="74"/>
  <c r="J69" i="74"/>
  <c r="V71" i="74"/>
  <c r="Z24" i="75"/>
  <c r="V29" i="75"/>
  <c r="V30" i="75"/>
  <c r="J39" i="75"/>
  <c r="N47" i="75"/>
  <c r="J48" i="75"/>
  <c r="N51" i="75"/>
  <c r="Z53" i="75"/>
  <c r="Z57" i="75"/>
  <c r="V59" i="75"/>
  <c r="J67" i="75"/>
  <c r="V68" i="75"/>
  <c r="L19" i="76"/>
  <c r="N19" i="76" s="1"/>
  <c r="J54" i="77"/>
  <c r="J17" i="73"/>
  <c r="R20" i="74"/>
  <c r="R23" i="74"/>
  <c r="R35" i="74"/>
  <c r="R47" i="74"/>
  <c r="R52" i="74"/>
  <c r="R55" i="74"/>
  <c r="R59" i="74"/>
  <c r="R67" i="74"/>
  <c r="V57" i="75"/>
  <c r="V65" i="75"/>
  <c r="J19" i="76"/>
  <c r="J29" i="76"/>
  <c r="F51" i="76"/>
  <c r="F58" i="76"/>
  <c r="F59" i="76"/>
  <c r="Z61" i="76"/>
  <c r="F68" i="76"/>
  <c r="F14" i="77"/>
  <c r="D16" i="77"/>
  <c r="F26" i="77"/>
  <c r="F27" i="77"/>
  <c r="X29" i="77"/>
  <c r="R30" i="77"/>
  <c r="F33" i="77"/>
  <c r="F34" i="77"/>
  <c r="F42" i="77"/>
  <c r="R63" i="77"/>
  <c r="R27" i="80"/>
  <c r="R32" i="80"/>
  <c r="Z78" i="75"/>
  <c r="J17" i="76"/>
  <c r="F22" i="76"/>
  <c r="J57" i="76"/>
  <c r="J58" i="76"/>
  <c r="F66" i="77"/>
  <c r="F53" i="77"/>
  <c r="F41" i="77"/>
  <c r="F37" i="77"/>
  <c r="F25" i="77"/>
  <c r="F76" i="77"/>
  <c r="F69" i="77"/>
  <c r="F64" i="77"/>
  <c r="F59" i="77"/>
  <c r="F56" i="77"/>
  <c r="F52" i="77"/>
  <c r="F47" i="77"/>
  <c r="F44" i="77"/>
  <c r="F36" i="77"/>
  <c r="F24" i="77"/>
  <c r="F19" i="77"/>
  <c r="F55" i="77"/>
  <c r="F43" i="77"/>
  <c r="F35" i="77"/>
  <c r="F23" i="77"/>
  <c r="F16" i="77"/>
  <c r="F67" i="77"/>
  <c r="F61" i="77"/>
  <c r="F58" i="77"/>
  <c r="F49" i="77"/>
  <c r="F46" i="77"/>
  <c r="F73" i="77"/>
  <c r="F63" i="77"/>
  <c r="F60" i="77"/>
  <c r="F51" i="77"/>
  <c r="F48" i="77"/>
  <c r="F32" i="77"/>
  <c r="F28" i="77"/>
  <c r="F20" i="77"/>
  <c r="L12" i="77"/>
  <c r="Z29" i="77"/>
  <c r="N42" i="77"/>
  <c r="R51" i="77"/>
  <c r="Z63" i="77"/>
  <c r="R67" i="77"/>
  <c r="L16" i="80"/>
  <c r="D12" i="80"/>
  <c r="L78" i="75"/>
  <c r="N78" i="75" s="1"/>
  <c r="F72" i="76"/>
  <c r="F66" i="76"/>
  <c r="F57" i="76"/>
  <c r="F48" i="76"/>
  <c r="F37" i="76"/>
  <c r="F25" i="76"/>
  <c r="F20" i="76"/>
  <c r="F70" i="76"/>
  <c r="F64" i="76"/>
  <c r="F56" i="76"/>
  <c r="F44" i="76"/>
  <c r="F36" i="76"/>
  <c r="F24" i="76"/>
  <c r="F17" i="76"/>
  <c r="F50" i="76"/>
  <c r="F47" i="76"/>
  <c r="F35" i="76"/>
  <c r="F30" i="76"/>
  <c r="F23" i="76"/>
  <c r="D17" i="76"/>
  <c r="F15" i="76"/>
  <c r="F63" i="76"/>
  <c r="F60" i="76"/>
  <c r="F55" i="76"/>
  <c r="F52" i="76"/>
  <c r="F43" i="76"/>
  <c r="F40" i="76"/>
  <c r="F32" i="76"/>
  <c r="F28" i="76"/>
  <c r="F19" i="76"/>
  <c r="L12" i="76"/>
  <c r="X30" i="76"/>
  <c r="F41" i="76"/>
  <c r="F46" i="76"/>
  <c r="J48" i="76"/>
  <c r="F54" i="76"/>
  <c r="F62" i="76"/>
  <c r="R25" i="77"/>
  <c r="R34" i="77"/>
  <c r="R41" i="77"/>
  <c r="X49" i="77"/>
  <c r="Z49" i="77" s="1"/>
  <c r="F16" i="78"/>
  <c r="F21" i="78"/>
  <c r="D16" i="78"/>
  <c r="F35" i="78"/>
  <c r="F28" i="78"/>
  <c r="F23" i="78"/>
  <c r="F20" i="78"/>
  <c r="L12" i="78"/>
  <c r="F18" i="78"/>
  <c r="F14" i="78"/>
  <c r="F32" i="78"/>
  <c r="F26" i="78"/>
  <c r="F30" i="78"/>
  <c r="J70" i="76"/>
  <c r="J64" i="76"/>
  <c r="J56" i="76"/>
  <c r="J50" i="76"/>
  <c r="J44" i="76"/>
  <c r="J36" i="76"/>
  <c r="J30" i="76"/>
  <c r="J24" i="76"/>
  <c r="H17" i="76"/>
  <c r="J61" i="76"/>
  <c r="J53" i="76"/>
  <c r="J47" i="76"/>
  <c r="J41" i="76"/>
  <c r="J35" i="76"/>
  <c r="J23" i="76"/>
  <c r="J15" i="76"/>
  <c r="J75" i="76"/>
  <c r="J68" i="76"/>
  <c r="J46" i="76"/>
  <c r="J34" i="76"/>
  <c r="J22" i="76"/>
  <c r="J59" i="76"/>
  <c r="J51" i="76"/>
  <c r="J45" i="76"/>
  <c r="J39" i="76"/>
  <c r="J31" i="76"/>
  <c r="J27" i="76"/>
  <c r="J14" i="76"/>
  <c r="F26" i="76"/>
  <c r="F27" i="76"/>
  <c r="J40" i="76"/>
  <c r="J43" i="76"/>
  <c r="X50" i="76"/>
  <c r="Z50" i="76" s="1"/>
  <c r="F53" i="76"/>
  <c r="J54" i="76"/>
  <c r="N55" i="76"/>
  <c r="F61" i="76"/>
  <c r="J62" i="76"/>
  <c r="N63" i="76"/>
  <c r="J72" i="76"/>
  <c r="R73" i="77"/>
  <c r="R54" i="77"/>
  <c r="R42" i="77"/>
  <c r="R33" i="77"/>
  <c r="R21" i="77"/>
  <c r="R18" i="77"/>
  <c r="R14" i="77"/>
  <c r="R60" i="77"/>
  <c r="R57" i="77"/>
  <c r="R48" i="77"/>
  <c r="R45" i="77"/>
  <c r="R32" i="77"/>
  <c r="R28" i="77"/>
  <c r="R20" i="77"/>
  <c r="X12" i="77"/>
  <c r="R71" i="77"/>
  <c r="R66" i="77"/>
  <c r="R39" i="77"/>
  <c r="R31" i="77"/>
  <c r="R27" i="77"/>
  <c r="R76" i="77"/>
  <c r="R69" i="77"/>
  <c r="R62" i="77"/>
  <c r="R59" i="77"/>
  <c r="R50" i="77"/>
  <c r="R47" i="77"/>
  <c r="R38" i="77"/>
  <c r="R64" i="77"/>
  <c r="R61" i="77"/>
  <c r="R56" i="77"/>
  <c r="R52" i="77"/>
  <c r="R49" i="77"/>
  <c r="R44" i="77"/>
  <c r="R36" i="77"/>
  <c r="R29" i="77"/>
  <c r="R24" i="77"/>
  <c r="P16" i="77"/>
  <c r="T16" i="77"/>
  <c r="R19" i="77"/>
  <c r="R26" i="77"/>
  <c r="X18" i="78"/>
  <c r="R84" i="80"/>
  <c r="R71" i="80"/>
  <c r="R92" i="80"/>
  <c r="R87" i="80"/>
  <c r="R80" i="80"/>
  <c r="R76" i="80"/>
  <c r="R68" i="80"/>
  <c r="R83" i="80"/>
  <c r="R82" i="80"/>
  <c r="R78" i="80"/>
  <c r="R64" i="80"/>
  <c r="R59" i="80"/>
  <c r="R56" i="80"/>
  <c r="R43" i="80"/>
  <c r="R36" i="80"/>
  <c r="R31" i="80"/>
  <c r="R81" i="80"/>
  <c r="R77" i="80"/>
  <c r="R50" i="80"/>
  <c r="R47" i="80"/>
  <c r="R42" i="80"/>
  <c r="R30" i="80"/>
  <c r="R73" i="80"/>
  <c r="R72" i="80"/>
  <c r="R61" i="80"/>
  <c r="R58" i="80"/>
  <c r="R41" i="80"/>
  <c r="R29" i="80"/>
  <c r="R21" i="80"/>
  <c r="R70" i="80"/>
  <c r="R67" i="80"/>
  <c r="R52" i="80"/>
  <c r="R49" i="80"/>
  <c r="R40" i="80"/>
  <c r="R28" i="80"/>
  <c r="R69" i="80"/>
  <c r="R63" i="80"/>
  <c r="R60" i="80"/>
  <c r="R55" i="80"/>
  <c r="R88" i="80"/>
  <c r="R66" i="80"/>
  <c r="R62" i="80"/>
  <c r="R57" i="80"/>
  <c r="R45" i="80"/>
  <c r="R65" i="80"/>
  <c r="R33" i="80"/>
  <c r="R46" i="80"/>
  <c r="R25" i="80"/>
  <c r="R79" i="80"/>
  <c r="R51" i="80"/>
  <c r="R34" i="80"/>
  <c r="R85" i="80"/>
  <c r="R37" i="80"/>
  <c r="R35" i="80"/>
  <c r="R20" i="80"/>
  <c r="R74" i="80"/>
  <c r="R38" i="80"/>
  <c r="R19" i="80"/>
  <c r="R44" i="80"/>
  <c r="R39" i="80"/>
  <c r="P23" i="80"/>
  <c r="R23" i="80" s="1"/>
  <c r="R18" i="80"/>
  <c r="R75" i="80"/>
  <c r="R53" i="80"/>
  <c r="X12" i="80"/>
  <c r="Z30" i="76"/>
  <c r="J63" i="76"/>
  <c r="Z18" i="77"/>
  <c r="R40" i="77"/>
  <c r="N45" i="77"/>
  <c r="N54" i="77"/>
  <c r="L63" i="77"/>
  <c r="F24" i="78"/>
  <c r="V78" i="80"/>
  <c r="V70" i="80"/>
  <c r="V87" i="80"/>
  <c r="V81" i="80"/>
  <c r="V83" i="80"/>
  <c r="V79" i="80"/>
  <c r="V75" i="80"/>
  <c r="V67" i="80"/>
  <c r="V92" i="80"/>
  <c r="V77" i="80"/>
  <c r="V72" i="80"/>
  <c r="V58" i="80"/>
  <c r="V50" i="80"/>
  <c r="V42" i="80"/>
  <c r="V30" i="80"/>
  <c r="V73" i="80"/>
  <c r="V61" i="80"/>
  <c r="V49" i="80"/>
  <c r="V41" i="80"/>
  <c r="V29" i="80"/>
  <c r="V25" i="80"/>
  <c r="V21" i="80"/>
  <c r="V68" i="80"/>
  <c r="V60" i="80"/>
  <c r="V52" i="80"/>
  <c r="V40" i="80"/>
  <c r="V28" i="80"/>
  <c r="V20" i="80"/>
  <c r="Z12" i="80"/>
  <c r="V69" i="80"/>
  <c r="V63" i="80"/>
  <c r="V55" i="80"/>
  <c r="V51" i="80"/>
  <c r="V39" i="80"/>
  <c r="V35" i="80"/>
  <c r="V27" i="80"/>
  <c r="V71" i="80"/>
  <c r="V62" i="80"/>
  <c r="V54" i="80"/>
  <c r="V85" i="80"/>
  <c r="V84" i="80"/>
  <c r="V82" i="80"/>
  <c r="V65" i="80"/>
  <c r="V64" i="80"/>
  <c r="V56" i="80"/>
  <c r="V48" i="80"/>
  <c r="V44" i="80"/>
  <c r="V76" i="80"/>
  <c r="V46" i="80"/>
  <c r="V59" i="80"/>
  <c r="V36" i="80"/>
  <c r="V34" i="80"/>
  <c r="V74" i="80"/>
  <c r="V37" i="80"/>
  <c r="V23" i="80"/>
  <c r="V66" i="80"/>
  <c r="V43" i="80"/>
  <c r="V38" i="80"/>
  <c r="T23" i="80"/>
  <c r="V19" i="80"/>
  <c r="V18" i="80"/>
  <c r="V80" i="80"/>
  <c r="V53" i="80"/>
  <c r="V57" i="80"/>
  <c r="V47" i="80"/>
  <c r="V31" i="80"/>
  <c r="V26" i="80"/>
  <c r="V32" i="80"/>
  <c r="N63" i="77"/>
  <c r="L67" i="77"/>
  <c r="D66" i="77"/>
  <c r="L66" i="77" s="1"/>
  <c r="Z18" i="78"/>
  <c r="N18" i="77"/>
  <c r="R37" i="77"/>
  <c r="H28" i="78"/>
  <c r="N16" i="78"/>
  <c r="X26" i="78"/>
  <c r="H30" i="79"/>
  <c r="H90" i="80"/>
  <c r="J23" i="80"/>
  <c r="R48" i="80"/>
  <c r="N27" i="93"/>
  <c r="H31" i="93"/>
  <c r="V35" i="76"/>
  <c r="V43" i="76"/>
  <c r="V47" i="76"/>
  <c r="V55" i="76"/>
  <c r="V63" i="76"/>
  <c r="V35" i="77"/>
  <c r="V43" i="77"/>
  <c r="V51" i="77"/>
  <c r="V55" i="77"/>
  <c r="V63" i="77"/>
  <c r="V67" i="77"/>
  <c r="V73" i="77"/>
  <c r="Z12" i="78"/>
  <c r="J16" i="78"/>
  <c r="V20" i="78"/>
  <c r="J24" i="78"/>
  <c r="V26" i="78"/>
  <c r="J30" i="78"/>
  <c r="V32" i="78"/>
  <c r="Z12" i="79"/>
  <c r="J16" i="79"/>
  <c r="V20" i="79"/>
  <c r="J26" i="79"/>
  <c r="J33" i="79"/>
  <c r="Z26" i="80"/>
  <c r="N64" i="80"/>
  <c r="F22" i="79"/>
  <c r="F28" i="79"/>
  <c r="N36" i="80"/>
  <c r="J22" i="78"/>
  <c r="J26" i="78"/>
  <c r="J32" i="78"/>
  <c r="F14" i="79"/>
  <c r="F18" i="79"/>
  <c r="J22" i="79"/>
  <c r="F24" i="79"/>
  <c r="J28" i="79"/>
  <c r="F30" i="79"/>
  <c r="X16" i="80"/>
  <c r="Z18" i="80"/>
  <c r="J36" i="80"/>
  <c r="N56" i="80"/>
  <c r="N61" i="81"/>
  <c r="T17" i="76"/>
  <c r="V26" i="76"/>
  <c r="V30" i="76"/>
  <c r="V38" i="76"/>
  <c r="V42" i="76"/>
  <c r="V50" i="76"/>
  <c r="V54" i="76"/>
  <c r="V58" i="76"/>
  <c r="V62" i="76"/>
  <c r="V16" i="77"/>
  <c r="V26" i="77"/>
  <c r="V30" i="77"/>
  <c r="V38" i="77"/>
  <c r="V50" i="77"/>
  <c r="V62" i="77"/>
  <c r="P16" i="78"/>
  <c r="R21" i="78"/>
  <c r="V23" i="78"/>
  <c r="R24" i="78"/>
  <c r="R30" i="78"/>
  <c r="L12" i="79"/>
  <c r="P16" i="79"/>
  <c r="F20" i="79"/>
  <c r="R21" i="79"/>
  <c r="R33" i="79"/>
  <c r="J90" i="80"/>
  <c r="J72" i="80"/>
  <c r="J85" i="80"/>
  <c r="J88" i="80"/>
  <c r="J71" i="80"/>
  <c r="J60" i="80"/>
  <c r="J54" i="80"/>
  <c r="J46" i="80"/>
  <c r="J38" i="80"/>
  <c r="J34" i="80"/>
  <c r="J66" i="80"/>
  <c r="J65" i="80"/>
  <c r="J57" i="80"/>
  <c r="J51" i="80"/>
  <c r="J45" i="80"/>
  <c r="J37" i="80"/>
  <c r="J33" i="80"/>
  <c r="J87" i="80"/>
  <c r="J84" i="80"/>
  <c r="J82" i="80"/>
  <c r="J80" i="80"/>
  <c r="J79" i="80"/>
  <c r="J76" i="80"/>
  <c r="J75" i="80"/>
  <c r="J74" i="80"/>
  <c r="J62" i="80"/>
  <c r="J48" i="80"/>
  <c r="J44" i="80"/>
  <c r="J32" i="80"/>
  <c r="J26" i="80"/>
  <c r="J18" i="80"/>
  <c r="J92" i="80"/>
  <c r="J83" i="80"/>
  <c r="J81" i="80"/>
  <c r="J78" i="80"/>
  <c r="J77" i="80"/>
  <c r="J59" i="80"/>
  <c r="J53" i="80"/>
  <c r="J43" i="80"/>
  <c r="J31" i="80"/>
  <c r="J73" i="80"/>
  <c r="J64" i="80"/>
  <c r="J56" i="80"/>
  <c r="J50" i="80"/>
  <c r="J70" i="80"/>
  <c r="J69" i="80"/>
  <c r="J58" i="80"/>
  <c r="J52" i="80"/>
  <c r="J40" i="80"/>
  <c r="J29" i="80"/>
  <c r="J41" i="80"/>
  <c r="J55" i="80"/>
  <c r="X64" i="80"/>
  <c r="Z64" i="80" s="1"/>
  <c r="V19" i="81"/>
  <c r="T80" i="81"/>
  <c r="V17" i="76"/>
  <c r="V27" i="76"/>
  <c r="V31" i="76"/>
  <c r="V39" i="76"/>
  <c r="V51" i="76"/>
  <c r="V59" i="76"/>
  <c r="V19" i="77"/>
  <c r="V27" i="77"/>
  <c r="V31" i="77"/>
  <c r="V39" i="77"/>
  <c r="V47" i="77"/>
  <c r="V59" i="77"/>
  <c r="V69" i="77"/>
  <c r="V71" i="77"/>
  <c r="V76" i="77"/>
  <c r="N12" i="78"/>
  <c r="J14" i="78"/>
  <c r="R16" i="78"/>
  <c r="J18" i="78"/>
  <c r="J20" i="78"/>
  <c r="V24" i="78"/>
  <c r="V28" i="78"/>
  <c r="V30" i="78"/>
  <c r="V35" i="78"/>
  <c r="N12" i="79"/>
  <c r="J14" i="79"/>
  <c r="R16" i="79"/>
  <c r="J18" i="79"/>
  <c r="J20" i="79"/>
  <c r="J24" i="79"/>
  <c r="R26" i="79"/>
  <c r="L18" i="80"/>
  <c r="N18" i="80" s="1"/>
  <c r="J27" i="80"/>
  <c r="J28" i="80"/>
  <c r="Z56" i="80"/>
  <c r="N84" i="80"/>
  <c r="F74" i="81"/>
  <c r="F84" i="81"/>
  <c r="F78" i="81"/>
  <c r="F82" i="81"/>
  <c r="F76" i="81"/>
  <c r="F64" i="81"/>
  <c r="F60" i="81"/>
  <c r="F56" i="81"/>
  <c r="F47" i="81"/>
  <c r="F44" i="81"/>
  <c r="F40" i="81"/>
  <c r="F70" i="81"/>
  <c r="F63" i="81"/>
  <c r="F59" i="81"/>
  <c r="F55" i="81"/>
  <c r="F50" i="81"/>
  <c r="F39" i="81"/>
  <c r="F27" i="81"/>
  <c r="F22" i="81"/>
  <c r="F73" i="81"/>
  <c r="F62" i="81"/>
  <c r="F58" i="81"/>
  <c r="F46" i="81"/>
  <c r="F38" i="81"/>
  <c r="F26" i="81"/>
  <c r="F19" i="81"/>
  <c r="F75" i="81"/>
  <c r="F72" i="81"/>
  <c r="F68" i="81"/>
  <c r="F48" i="81"/>
  <c r="F43" i="81"/>
  <c r="F36" i="81"/>
  <c r="F24" i="81"/>
  <c r="L12" i="81"/>
  <c r="F61" i="81"/>
  <c r="F30" i="81"/>
  <c r="F87" i="81"/>
  <c r="F54" i="81"/>
  <c r="F53" i="81"/>
  <c r="F51" i="81"/>
  <c r="F42" i="81"/>
  <c r="F41" i="81"/>
  <c r="F34" i="81"/>
  <c r="F33" i="81"/>
  <c r="F31" i="81"/>
  <c r="F23" i="81"/>
  <c r="F52" i="81"/>
  <c r="F35" i="81"/>
  <c r="F32" i="81"/>
  <c r="F80" i="81"/>
  <c r="F49" i="81"/>
  <c r="F45" i="81"/>
  <c r="F17" i="81"/>
  <c r="F71" i="81"/>
  <c r="F69" i="81"/>
  <c r="F57" i="81"/>
  <c r="F25" i="81"/>
  <c r="F66" i="81"/>
  <c r="F65" i="81"/>
  <c r="D19" i="81"/>
  <c r="F28" i="81"/>
  <c r="Z45" i="81"/>
  <c r="V45" i="81"/>
  <c r="Z16" i="82"/>
  <c r="T48" i="82"/>
  <c r="V28" i="76"/>
  <c r="V32" i="76"/>
  <c r="V40" i="76"/>
  <c r="V48" i="76"/>
  <c r="V52" i="76"/>
  <c r="V60" i="76"/>
  <c r="V66" i="76"/>
  <c r="V32" i="77"/>
  <c r="V48" i="77"/>
  <c r="V60" i="77"/>
  <c r="T16" i="78"/>
  <c r="R19" i="78"/>
  <c r="V21" i="78"/>
  <c r="J23" i="78"/>
  <c r="D16" i="79"/>
  <c r="T16" i="79"/>
  <c r="R19" i="79"/>
  <c r="F21" i="79"/>
  <c r="V21" i="79"/>
  <c r="R22" i="79"/>
  <c r="V33" i="79"/>
  <c r="N58" i="80"/>
  <c r="V16" i="78"/>
  <c r="J28" i="78"/>
  <c r="F16" i="79"/>
  <c r="V16" i="79"/>
  <c r="V22" i="79"/>
  <c r="F26" i="79"/>
  <c r="V26" i="79"/>
  <c r="X62" i="80"/>
  <c r="Z62" i="80" s="1"/>
  <c r="Z84" i="80"/>
  <c r="X14" i="81"/>
  <c r="Z14" i="81" s="1"/>
  <c r="P12" i="81"/>
  <c r="Z54" i="81"/>
  <c r="Z79" i="80"/>
  <c r="L16" i="81"/>
  <c r="N16" i="81" s="1"/>
  <c r="J27" i="81"/>
  <c r="J28" i="81"/>
  <c r="X54" i="81"/>
  <c r="Z73" i="81"/>
  <c r="L75" i="81"/>
  <c r="N75" i="81" s="1"/>
  <c r="J82" i="81"/>
  <c r="J76" i="81"/>
  <c r="J70" i="81"/>
  <c r="J73" i="81"/>
  <c r="J63" i="81"/>
  <c r="J59" i="81"/>
  <c r="J55" i="81"/>
  <c r="J39" i="81"/>
  <c r="J62" i="81"/>
  <c r="J58" i="81"/>
  <c r="J52" i="81"/>
  <c r="J46" i="81"/>
  <c r="J38" i="81"/>
  <c r="J32" i="81"/>
  <c r="J26" i="81"/>
  <c r="H19" i="81"/>
  <c r="J75" i="81"/>
  <c r="J69" i="81"/>
  <c r="J49" i="81"/>
  <c r="J43" i="81"/>
  <c r="J37" i="81"/>
  <c r="J25" i="81"/>
  <c r="J17" i="81"/>
  <c r="J71" i="81"/>
  <c r="J67" i="81"/>
  <c r="J61" i="81"/>
  <c r="J57" i="81"/>
  <c r="J51" i="81"/>
  <c r="J45" i="81"/>
  <c r="J35" i="81"/>
  <c r="J31" i="81"/>
  <c r="J23" i="81"/>
  <c r="J21" i="81"/>
  <c r="J19" i="81"/>
  <c r="N21" i="81"/>
  <c r="J64" i="81"/>
  <c r="J74" i="81"/>
  <c r="T34" i="84"/>
  <c r="N12" i="81"/>
  <c r="J16" i="81"/>
  <c r="J24" i="81"/>
  <c r="J36" i="81"/>
  <c r="J44" i="81"/>
  <c r="N47" i="81"/>
  <c r="V54" i="81"/>
  <c r="J56" i="81"/>
  <c r="N57" i="81"/>
  <c r="V61" i="81"/>
  <c r="J39" i="82"/>
  <c r="J33" i="82"/>
  <c r="J41" i="82"/>
  <c r="J31" i="82"/>
  <c r="J27" i="82"/>
  <c r="J55" i="82"/>
  <c r="J48" i="82"/>
  <c r="J38" i="82"/>
  <c r="J30" i="82"/>
  <c r="J26" i="82"/>
  <c r="J43" i="82"/>
  <c r="J37" i="82"/>
  <c r="J29" i="82"/>
  <c r="J25" i="82"/>
  <c r="J40" i="82"/>
  <c r="J19" i="82"/>
  <c r="J16" i="82"/>
  <c r="J50" i="82"/>
  <c r="J32" i="82"/>
  <c r="H16" i="82"/>
  <c r="J52" i="82"/>
  <c r="J42" i="82"/>
  <c r="J34" i="82"/>
  <c r="J23" i="82"/>
  <c r="J22" i="82"/>
  <c r="J35" i="82"/>
  <c r="J24" i="82"/>
  <c r="J21" i="82"/>
  <c r="J44" i="82"/>
  <c r="J28" i="82"/>
  <c r="J22" i="81"/>
  <c r="L43" i="81"/>
  <c r="N45" i="81"/>
  <c r="J47" i="81"/>
  <c r="J48" i="81"/>
  <c r="J50" i="81"/>
  <c r="X61" i="81"/>
  <c r="Z61" i="81" s="1"/>
  <c r="J68" i="81"/>
  <c r="X75" i="81"/>
  <c r="Z75" i="81" s="1"/>
  <c r="J78" i="81"/>
  <c r="N12" i="82"/>
  <c r="J14" i="82"/>
  <c r="V49" i="85"/>
  <c r="V41" i="85"/>
  <c r="V58" i="85"/>
  <c r="V52" i="85"/>
  <c r="V42" i="85"/>
  <c r="V45" i="85"/>
  <c r="V48" i="85"/>
  <c r="V44" i="85"/>
  <c r="V36" i="85"/>
  <c r="V24" i="85"/>
  <c r="V61" i="85"/>
  <c r="V35" i="85"/>
  <c r="V40" i="85"/>
  <c r="V34" i="85"/>
  <c r="V22" i="85"/>
  <c r="V18" i="85"/>
  <c r="V14" i="85"/>
  <c r="V56" i="85"/>
  <c r="V50" i="85"/>
  <c r="V33" i="85"/>
  <c r="V21" i="85"/>
  <c r="V43" i="85"/>
  <c r="V32" i="85"/>
  <c r="V28" i="85"/>
  <c r="V20" i="85"/>
  <c r="Z12" i="85"/>
  <c r="V46" i="85"/>
  <c r="V39" i="85"/>
  <c r="V31" i="85"/>
  <c r="V27" i="85"/>
  <c r="V19" i="85"/>
  <c r="V16" i="85"/>
  <c r="V26" i="85"/>
  <c r="T16" i="85"/>
  <c r="V47" i="85"/>
  <c r="V23" i="85"/>
  <c r="V29" i="85"/>
  <c r="V37" i="85"/>
  <c r="V30" i="85"/>
  <c r="D54" i="85"/>
  <c r="L16" i="85"/>
  <c r="X82" i="80"/>
  <c r="Z82" i="80" s="1"/>
  <c r="L22" i="81"/>
  <c r="N22" i="81" s="1"/>
  <c r="L47" i="81"/>
  <c r="J46" i="82"/>
  <c r="T73" i="86"/>
  <c r="X74" i="80"/>
  <c r="Z74" i="80" s="1"/>
  <c r="Z21" i="81"/>
  <c r="J33" i="81"/>
  <c r="J34" i="81"/>
  <c r="J40" i="81"/>
  <c r="J41" i="81"/>
  <c r="J42" i="81"/>
  <c r="J53" i="81"/>
  <c r="Z57" i="81"/>
  <c r="J20" i="82"/>
  <c r="J36" i="82"/>
  <c r="L17" i="84"/>
  <c r="D27" i="84"/>
  <c r="H16" i="85"/>
  <c r="N14" i="85"/>
  <c r="L14" i="85"/>
  <c r="V27" i="81"/>
  <c r="V39" i="81"/>
  <c r="V43" i="81"/>
  <c r="V55" i="81"/>
  <c r="V59" i="81"/>
  <c r="V63" i="81"/>
  <c r="V75" i="81"/>
  <c r="L12" i="82"/>
  <c r="P16" i="82"/>
  <c r="F20" i="82"/>
  <c r="R27" i="82"/>
  <c r="F29" i="82"/>
  <c r="F36" i="82"/>
  <c r="F37" i="82"/>
  <c r="L18" i="83"/>
  <c r="N18" i="83" s="1"/>
  <c r="J28" i="83"/>
  <c r="F34" i="84"/>
  <c r="F27" i="84"/>
  <c r="F17" i="84"/>
  <c r="F21" i="84"/>
  <c r="F31" i="84"/>
  <c r="F25" i="84"/>
  <c r="F19" i="84"/>
  <c r="L12" i="84"/>
  <c r="F29" i="84"/>
  <c r="F23" i="84"/>
  <c r="F14" i="84"/>
  <c r="X14" i="84"/>
  <c r="N20" i="84"/>
  <c r="Z46" i="85"/>
  <c r="D77" i="86"/>
  <c r="V29" i="81"/>
  <c r="V33" i="81"/>
  <c r="V41" i="81"/>
  <c r="V53" i="81"/>
  <c r="V65" i="81"/>
  <c r="V73" i="81"/>
  <c r="R43" i="82"/>
  <c r="R38" i="82"/>
  <c r="R30" i="82"/>
  <c r="R26" i="82"/>
  <c r="R40" i="82"/>
  <c r="R36" i="82"/>
  <c r="R24" i="82"/>
  <c r="R52" i="82"/>
  <c r="R46" i="82"/>
  <c r="R35" i="82"/>
  <c r="R28" i="82"/>
  <c r="R23" i="82"/>
  <c r="R42" i="82"/>
  <c r="R39" i="82"/>
  <c r="R34" i="82"/>
  <c r="D16" i="82"/>
  <c r="R19" i="82"/>
  <c r="F22" i="82"/>
  <c r="F23" i="82"/>
  <c r="F43" i="82"/>
  <c r="R48" i="82"/>
  <c r="F52" i="82"/>
  <c r="J33" i="83"/>
  <c r="N40" i="85"/>
  <c r="R76" i="87"/>
  <c r="R77" i="87"/>
  <c r="R71" i="87"/>
  <c r="R67" i="87"/>
  <c r="R59" i="87"/>
  <c r="R56" i="87"/>
  <c r="R51" i="87"/>
  <c r="R48" i="87"/>
  <c r="R39" i="87"/>
  <c r="R27" i="87"/>
  <c r="R19" i="87"/>
  <c r="R70" i="87"/>
  <c r="R66" i="87"/>
  <c r="R62" i="87"/>
  <c r="R38" i="87"/>
  <c r="R34" i="87"/>
  <c r="R26" i="87"/>
  <c r="R23" i="87"/>
  <c r="R18" i="87"/>
  <c r="R69" i="87"/>
  <c r="R65" i="87"/>
  <c r="R61" i="87"/>
  <c r="R58" i="87"/>
  <c r="R53" i="87"/>
  <c r="R50" i="87"/>
  <c r="R45" i="87"/>
  <c r="R37" i="87"/>
  <c r="R33" i="87"/>
  <c r="R25" i="87"/>
  <c r="R84" i="87"/>
  <c r="R75" i="87"/>
  <c r="R64" i="87"/>
  <c r="R80" i="87"/>
  <c r="R68" i="87"/>
  <c r="R60" i="87"/>
  <c r="R55" i="87"/>
  <c r="R52" i="87"/>
  <c r="R47" i="87"/>
  <c r="R43" i="87"/>
  <c r="R31" i="87"/>
  <c r="R24" i="87"/>
  <c r="R72" i="87"/>
  <c r="R46" i="87"/>
  <c r="R78" i="87"/>
  <c r="R32" i="87"/>
  <c r="R17" i="87"/>
  <c r="R63" i="87"/>
  <c r="R73" i="87"/>
  <c r="R49" i="87"/>
  <c r="R40" i="87"/>
  <c r="R41" i="87"/>
  <c r="R28" i="87"/>
  <c r="X12" i="87"/>
  <c r="R74" i="87"/>
  <c r="R57" i="87"/>
  <c r="R42" i="87"/>
  <c r="R36" i="87"/>
  <c r="R35" i="87"/>
  <c r="P21" i="87"/>
  <c r="R54" i="87"/>
  <c r="R29" i="87"/>
  <c r="R44" i="87"/>
  <c r="V22" i="81"/>
  <c r="V30" i="81"/>
  <c r="V34" i="81"/>
  <c r="V42" i="81"/>
  <c r="V50" i="81"/>
  <c r="V66" i="81"/>
  <c r="V70" i="81"/>
  <c r="V74" i="81"/>
  <c r="V37" i="82"/>
  <c r="V29" i="82"/>
  <c r="V25" i="82"/>
  <c r="V39" i="82"/>
  <c r="V35" i="82"/>
  <c r="V23" i="82"/>
  <c r="V42" i="82"/>
  <c r="V34" i="82"/>
  <c r="V22" i="82"/>
  <c r="V41" i="82"/>
  <c r="V33" i="82"/>
  <c r="V55" i="82"/>
  <c r="V50" i="82"/>
  <c r="V48" i="82"/>
  <c r="V44" i="82"/>
  <c r="F16" i="82"/>
  <c r="V16" i="82"/>
  <c r="R29" i="82"/>
  <c r="R37" i="82"/>
  <c r="R44" i="82"/>
  <c r="V34" i="84"/>
  <c r="V29" i="84"/>
  <c r="V27" i="84"/>
  <c r="V23" i="84"/>
  <c r="V17" i="84"/>
  <c r="X12" i="84"/>
  <c r="V31" i="84"/>
  <c r="V25" i="84"/>
  <c r="V19" i="84"/>
  <c r="V15" i="84"/>
  <c r="V14" i="84"/>
  <c r="Z20" i="84"/>
  <c r="X19" i="85"/>
  <c r="Z19" i="85" s="1"/>
  <c r="Z41" i="86"/>
  <c r="L56" i="86"/>
  <c r="N56" i="86" s="1"/>
  <c r="R30" i="87"/>
  <c r="V67" i="81"/>
  <c r="F19" i="82"/>
  <c r="F33" i="82"/>
  <c r="X43" i="82"/>
  <c r="L14" i="83"/>
  <c r="J16" i="83"/>
  <c r="L24" i="83"/>
  <c r="P16" i="85"/>
  <c r="R19" i="85"/>
  <c r="R26" i="85"/>
  <c r="R27" i="85"/>
  <c r="Z18" i="83"/>
  <c r="H31" i="84"/>
  <c r="L29" i="85"/>
  <c r="N29" i="85" s="1"/>
  <c r="F42" i="82"/>
  <c r="F34" i="82"/>
  <c r="F50" i="82"/>
  <c r="F44" i="82"/>
  <c r="F39" i="82"/>
  <c r="F32" i="82"/>
  <c r="F31" i="82"/>
  <c r="F27" i="82"/>
  <c r="F41" i="82"/>
  <c r="F38" i="82"/>
  <c r="F30" i="82"/>
  <c r="F26" i="82"/>
  <c r="F55" i="82"/>
  <c r="F48" i="82"/>
  <c r="F28" i="82"/>
  <c r="J19" i="83"/>
  <c r="J21" i="83"/>
  <c r="H16" i="83"/>
  <c r="J30" i="83"/>
  <c r="J24" i="83"/>
  <c r="J20" i="83"/>
  <c r="J18" i="83"/>
  <c r="J14" i="83"/>
  <c r="N12" i="83"/>
  <c r="Z19" i="83"/>
  <c r="P26" i="83"/>
  <c r="R56" i="85"/>
  <c r="R50" i="85"/>
  <c r="R61" i="85"/>
  <c r="R54" i="85"/>
  <c r="R43" i="85"/>
  <c r="R40" i="85"/>
  <c r="R58" i="85"/>
  <c r="R52" i="85"/>
  <c r="R45" i="85"/>
  <c r="R42" i="85"/>
  <c r="R48" i="85"/>
  <c r="R47" i="85"/>
  <c r="R37" i="85"/>
  <c r="R25" i="85"/>
  <c r="R16" i="85"/>
  <c r="R49" i="85"/>
  <c r="R36" i="85"/>
  <c r="R29" i="85"/>
  <c r="R35" i="85"/>
  <c r="R23" i="85"/>
  <c r="R34" i="85"/>
  <c r="R22" i="85"/>
  <c r="R44" i="85"/>
  <c r="R33" i="85"/>
  <c r="R21" i="85"/>
  <c r="R18" i="85"/>
  <c r="R14" i="85"/>
  <c r="R41" i="85"/>
  <c r="R32" i="85"/>
  <c r="R28" i="85"/>
  <c r="R20" i="85"/>
  <c r="X12" i="85"/>
  <c r="R31" i="85"/>
  <c r="R38" i="85"/>
  <c r="R16" i="83"/>
  <c r="R26" i="83"/>
  <c r="R33" i="83"/>
  <c r="R15" i="84"/>
  <c r="J20" i="84"/>
  <c r="F19" i="85"/>
  <c r="J23" i="85"/>
  <c r="F24" i="85"/>
  <c r="J29" i="85"/>
  <c r="J35" i="85"/>
  <c r="F36" i="85"/>
  <c r="L49" i="85"/>
  <c r="F77" i="86"/>
  <c r="F71" i="86"/>
  <c r="F80" i="86"/>
  <c r="F73" i="86"/>
  <c r="F62" i="86"/>
  <c r="F51" i="86"/>
  <c r="F48" i="86"/>
  <c r="F43" i="86"/>
  <c r="F40" i="86"/>
  <c r="F32" i="86"/>
  <c r="F28" i="86"/>
  <c r="F20" i="86"/>
  <c r="L12" i="86"/>
  <c r="F39" i="86"/>
  <c r="F31" i="86"/>
  <c r="F27" i="86"/>
  <c r="F18" i="86"/>
  <c r="F14" i="86"/>
  <c r="F75" i="86"/>
  <c r="F69" i="86"/>
  <c r="F56" i="86"/>
  <c r="F37" i="86"/>
  <c r="F25" i="86"/>
  <c r="F60" i="86"/>
  <c r="F52" i="86"/>
  <c r="F47" i="86"/>
  <c r="F44" i="86"/>
  <c r="F36" i="86"/>
  <c r="F24" i="86"/>
  <c r="F19" i="86"/>
  <c r="F59" i="86"/>
  <c r="F55" i="86"/>
  <c r="F35" i="86"/>
  <c r="F30" i="86"/>
  <c r="F23" i="86"/>
  <c r="F16" i="86"/>
  <c r="L14" i="86"/>
  <c r="R22" i="86"/>
  <c r="R34" i="86"/>
  <c r="F38" i="86"/>
  <c r="R50" i="86"/>
  <c r="R51" i="86"/>
  <c r="R58" i="86"/>
  <c r="F66" i="86"/>
  <c r="R80" i="86"/>
  <c r="D16" i="83"/>
  <c r="T16" i="83"/>
  <c r="X16" i="83" s="1"/>
  <c r="R19" i="83"/>
  <c r="F21" i="83"/>
  <c r="V21" i="83"/>
  <c r="R22" i="83"/>
  <c r="R28" i="83"/>
  <c r="J23" i="84"/>
  <c r="J29" i="84"/>
  <c r="J24" i="85"/>
  <c r="F25" i="85"/>
  <c r="J36" i="85"/>
  <c r="F37" i="85"/>
  <c r="F48" i="85"/>
  <c r="N49" i="85"/>
  <c r="R25" i="86"/>
  <c r="R26" i="86"/>
  <c r="X30" i="86"/>
  <c r="F64" i="86"/>
  <c r="F65" i="86"/>
  <c r="Z68" i="86"/>
  <c r="L13" i="87"/>
  <c r="D12" i="87"/>
  <c r="Z54" i="87"/>
  <c r="F16" i="83"/>
  <c r="V16" i="83"/>
  <c r="V22" i="83"/>
  <c r="F26" i="83"/>
  <c r="V26" i="83"/>
  <c r="V28" i="83"/>
  <c r="F33" i="83"/>
  <c r="V33" i="83"/>
  <c r="N12" i="84"/>
  <c r="J14" i="84"/>
  <c r="P17" i="84"/>
  <c r="R22" i="84"/>
  <c r="F49" i="85"/>
  <c r="F58" i="85"/>
  <c r="F52" i="85"/>
  <c r="F47" i="85"/>
  <c r="F42" i="85"/>
  <c r="F56" i="85"/>
  <c r="F50" i="85"/>
  <c r="F44" i="85"/>
  <c r="F41" i="85"/>
  <c r="J19" i="85"/>
  <c r="J25" i="85"/>
  <c r="F26" i="85"/>
  <c r="F30" i="85"/>
  <c r="J37" i="85"/>
  <c r="F38" i="85"/>
  <c r="Z44" i="85"/>
  <c r="L46" i="85"/>
  <c r="N46" i="85" s="1"/>
  <c r="J48" i="85"/>
  <c r="N18" i="86"/>
  <c r="R30" i="86"/>
  <c r="F42" i="86"/>
  <c r="N43" i="86"/>
  <c r="Z49" i="86"/>
  <c r="F53" i="86"/>
  <c r="F54" i="86"/>
  <c r="Z56" i="86"/>
  <c r="F63" i="86"/>
  <c r="N58" i="87"/>
  <c r="L58" i="87"/>
  <c r="X77" i="87"/>
  <c r="Z77" i="87" s="1"/>
  <c r="F19" i="83"/>
  <c r="R17" i="84"/>
  <c r="J19" i="84"/>
  <c r="J21" i="84"/>
  <c r="J25" i="84"/>
  <c r="R27" i="84"/>
  <c r="J31" i="84"/>
  <c r="J45" i="85"/>
  <c r="J58" i="85"/>
  <c r="J52" i="85"/>
  <c r="J56" i="85"/>
  <c r="J50" i="85"/>
  <c r="J44" i="85"/>
  <c r="J41" i="85"/>
  <c r="J61" i="85"/>
  <c r="J54" i="85"/>
  <c r="J46" i="85"/>
  <c r="F14" i="85"/>
  <c r="F18" i="85"/>
  <c r="J26" i="85"/>
  <c r="F27" i="85"/>
  <c r="J30" i="85"/>
  <c r="F31" i="85"/>
  <c r="J38" i="85"/>
  <c r="F39" i="85"/>
  <c r="F46" i="85"/>
  <c r="J47" i="85"/>
  <c r="F54" i="85"/>
  <c r="R66" i="86"/>
  <c r="R77" i="86"/>
  <c r="R75" i="86"/>
  <c r="R71" i="86"/>
  <c r="R69" i="86"/>
  <c r="R68" i="86"/>
  <c r="R60" i="86"/>
  <c r="R52" i="86"/>
  <c r="R49" i="86"/>
  <c r="R44" i="86"/>
  <c r="R41" i="86"/>
  <c r="R36" i="86"/>
  <c r="R24" i="86"/>
  <c r="P16" i="86"/>
  <c r="R59" i="86"/>
  <c r="R55" i="86"/>
  <c r="R35" i="86"/>
  <c r="R23" i="86"/>
  <c r="R67" i="86"/>
  <c r="R64" i="86"/>
  <c r="R63" i="86"/>
  <c r="R57" i="86"/>
  <c r="R33" i="86"/>
  <c r="R29" i="86"/>
  <c r="R21" i="86"/>
  <c r="R18" i="86"/>
  <c r="R14" i="86"/>
  <c r="R62" i="86"/>
  <c r="R53" i="86"/>
  <c r="R48" i="86"/>
  <c r="R45" i="86"/>
  <c r="R40" i="86"/>
  <c r="R32" i="86"/>
  <c r="R28" i="86"/>
  <c r="R20" i="86"/>
  <c r="X12" i="86"/>
  <c r="R61" i="86"/>
  <c r="R56" i="86"/>
  <c r="R39" i="86"/>
  <c r="R31" i="86"/>
  <c r="R27" i="86"/>
  <c r="Z30" i="86"/>
  <c r="R37" i="86"/>
  <c r="R38" i="86"/>
  <c r="F41" i="86"/>
  <c r="R47" i="86"/>
  <c r="J31" i="85"/>
  <c r="F32" i="85"/>
  <c r="J39" i="85"/>
  <c r="F45" i="85"/>
  <c r="L52" i="85"/>
  <c r="Z45" i="86"/>
  <c r="L51" i="86"/>
  <c r="N51" i="86" s="1"/>
  <c r="R65" i="86"/>
  <c r="X71" i="86"/>
  <c r="X46" i="87"/>
  <c r="F22" i="83"/>
  <c r="F21" i="85"/>
  <c r="J28" i="85"/>
  <c r="J32" i="85"/>
  <c r="F33" i="85"/>
  <c r="F40" i="85"/>
  <c r="F43" i="85"/>
  <c r="X18" i="86"/>
  <c r="Z18" i="86" s="1"/>
  <c r="R42" i="86"/>
  <c r="R43" i="86"/>
  <c r="F50" i="86"/>
  <c r="R54" i="86"/>
  <c r="F57" i="86"/>
  <c r="F58" i="86"/>
  <c r="F68" i="86"/>
  <c r="P72" i="88"/>
  <c r="V77" i="86"/>
  <c r="V71" i="86"/>
  <c r="V80" i="86"/>
  <c r="V75" i="86"/>
  <c r="V73" i="86"/>
  <c r="V69" i="86"/>
  <c r="V65" i="86"/>
  <c r="V16" i="86"/>
  <c r="J22" i="86"/>
  <c r="V26" i="86"/>
  <c r="V30" i="86"/>
  <c r="J34" i="86"/>
  <c r="V38" i="86"/>
  <c r="V42" i="86"/>
  <c r="J46" i="86"/>
  <c r="V50" i="86"/>
  <c r="J54" i="86"/>
  <c r="J58" i="86"/>
  <c r="J65" i="86"/>
  <c r="J66" i="86"/>
  <c r="J67" i="86"/>
  <c r="V75" i="87"/>
  <c r="V86" i="87"/>
  <c r="V70" i="87"/>
  <c r="V66" i="87"/>
  <c r="V62" i="87"/>
  <c r="V58" i="87"/>
  <c r="V50" i="87"/>
  <c r="V38" i="87"/>
  <c r="V34" i="87"/>
  <c r="V26" i="87"/>
  <c r="V18" i="87"/>
  <c r="Z12" i="87"/>
  <c r="V82" i="87"/>
  <c r="V69" i="87"/>
  <c r="V65" i="87"/>
  <c r="V61" i="87"/>
  <c r="V53" i="87"/>
  <c r="V45" i="87"/>
  <c r="V37" i="87"/>
  <c r="V33" i="87"/>
  <c r="V25" i="87"/>
  <c r="V17" i="87"/>
  <c r="V84" i="87"/>
  <c r="V80" i="87"/>
  <c r="V76" i="87"/>
  <c r="V68" i="87"/>
  <c r="V64" i="87"/>
  <c r="V60" i="87"/>
  <c r="V52" i="87"/>
  <c r="V44" i="87"/>
  <c r="V36" i="87"/>
  <c r="V32" i="87"/>
  <c r="V24" i="87"/>
  <c r="V63" i="87"/>
  <c r="V55" i="87"/>
  <c r="V54" i="87"/>
  <c r="V46" i="87"/>
  <c r="V42" i="87"/>
  <c r="V30" i="87"/>
  <c r="T21" i="87"/>
  <c r="J17" i="87"/>
  <c r="V29" i="87"/>
  <c r="J33" i="87"/>
  <c r="N56" i="87"/>
  <c r="V59" i="87"/>
  <c r="V67" i="87"/>
  <c r="V71" i="87"/>
  <c r="V77" i="87"/>
  <c r="N49" i="88"/>
  <c r="X51" i="90"/>
  <c r="Z51" i="90" s="1"/>
  <c r="H16" i="86"/>
  <c r="V19" i="86"/>
  <c r="J23" i="86"/>
  <c r="V27" i="86"/>
  <c r="V31" i="86"/>
  <c r="J35" i="86"/>
  <c r="V39" i="86"/>
  <c r="J41" i="86"/>
  <c r="V47" i="86"/>
  <c r="J49" i="86"/>
  <c r="J55" i="86"/>
  <c r="J59" i="86"/>
  <c r="J68" i="86"/>
  <c r="V19" i="87"/>
  <c r="V21" i="87"/>
  <c r="J27" i="87"/>
  <c r="J39" i="87"/>
  <c r="J47" i="87"/>
  <c r="J50" i="87"/>
  <c r="V51" i="87"/>
  <c r="J55" i="87"/>
  <c r="V57" i="87"/>
  <c r="Z60" i="87"/>
  <c r="Z68" i="87"/>
  <c r="V74" i="87"/>
  <c r="L19" i="88"/>
  <c r="N19" i="88" s="1"/>
  <c r="V44" i="88"/>
  <c r="X13" i="90"/>
  <c r="Z13" i="90" s="1"/>
  <c r="P12" i="90"/>
  <c r="Z12" i="86"/>
  <c r="J16" i="86"/>
  <c r="V20" i="86"/>
  <c r="J24" i="86"/>
  <c r="V28" i="86"/>
  <c r="J30" i="86"/>
  <c r="V32" i="86"/>
  <c r="J36" i="86"/>
  <c r="V40" i="86"/>
  <c r="J44" i="86"/>
  <c r="V48" i="86"/>
  <c r="J52" i="86"/>
  <c r="V56" i="86"/>
  <c r="J60" i="86"/>
  <c r="V61" i="86"/>
  <c r="V62" i="86"/>
  <c r="J71" i="86"/>
  <c r="X24" i="87"/>
  <c r="V28" i="87"/>
  <c r="J31" i="87"/>
  <c r="J32" i="87"/>
  <c r="V35" i="87"/>
  <c r="V41" i="87"/>
  <c r="L46" i="87"/>
  <c r="L50" i="87"/>
  <c r="N50" i="87" s="1"/>
  <c r="Z52" i="87"/>
  <c r="J84" i="87"/>
  <c r="X14" i="88"/>
  <c r="Z24" i="87"/>
  <c r="V56" i="87"/>
  <c r="V73" i="87"/>
  <c r="N65" i="88"/>
  <c r="J75" i="86"/>
  <c r="J69" i="86"/>
  <c r="J26" i="86"/>
  <c r="J38" i="86"/>
  <c r="J42" i="86"/>
  <c r="V46" i="86"/>
  <c r="J50" i="86"/>
  <c r="V54" i="86"/>
  <c r="J56" i="86"/>
  <c r="V58" i="86"/>
  <c r="N61" i="86"/>
  <c r="X68" i="86"/>
  <c r="J43" i="87"/>
  <c r="J44" i="87"/>
  <c r="J45" i="87"/>
  <c r="V47" i="87"/>
  <c r="N54" i="87"/>
  <c r="X56" i="87"/>
  <c r="Z56" i="87" s="1"/>
  <c r="J61" i="87"/>
  <c r="J65" i="87"/>
  <c r="N41" i="88"/>
  <c r="V23" i="86"/>
  <c r="J27" i="86"/>
  <c r="J31" i="86"/>
  <c r="V35" i="86"/>
  <c r="J39" i="86"/>
  <c r="V43" i="86"/>
  <c r="J45" i="86"/>
  <c r="V51" i="86"/>
  <c r="J53" i="86"/>
  <c r="V55" i="86"/>
  <c r="V59" i="86"/>
  <c r="J61" i="86"/>
  <c r="J86" i="87"/>
  <c r="J77" i="87"/>
  <c r="J80" i="87"/>
  <c r="J68" i="87"/>
  <c r="J60" i="87"/>
  <c r="J52" i="87"/>
  <c r="J42" i="87"/>
  <c r="J30" i="87"/>
  <c r="J24" i="87"/>
  <c r="J74" i="87"/>
  <c r="J73" i="87"/>
  <c r="J63" i="87"/>
  <c r="J57" i="87"/>
  <c r="J49" i="87"/>
  <c r="J41" i="87"/>
  <c r="J35" i="87"/>
  <c r="J29" i="87"/>
  <c r="J21" i="87"/>
  <c r="J78" i="87"/>
  <c r="J72" i="87"/>
  <c r="J54" i="87"/>
  <c r="J46" i="87"/>
  <c r="J40" i="87"/>
  <c r="J28" i="87"/>
  <c r="J71" i="87"/>
  <c r="J67" i="87"/>
  <c r="J59" i="87"/>
  <c r="J51" i="87"/>
  <c r="J89" i="87"/>
  <c r="J70" i="87"/>
  <c r="J66" i="87"/>
  <c r="J62" i="87"/>
  <c r="J56" i="87"/>
  <c r="J48" i="87"/>
  <c r="J38" i="87"/>
  <c r="J34" i="87"/>
  <c r="J26" i="87"/>
  <c r="J18" i="87"/>
  <c r="N12" i="87"/>
  <c r="H21" i="87"/>
  <c r="V31" i="87"/>
  <c r="J36" i="87"/>
  <c r="J37" i="87"/>
  <c r="V48" i="87"/>
  <c r="J53" i="87"/>
  <c r="X54" i="87"/>
  <c r="V78" i="87"/>
  <c r="V89" i="87"/>
  <c r="V67" i="88"/>
  <c r="V59" i="88"/>
  <c r="V55" i="88"/>
  <c r="V51" i="88"/>
  <c r="V43" i="88"/>
  <c r="V35" i="88"/>
  <c r="V58" i="88"/>
  <c r="V54" i="88"/>
  <c r="V46" i="88"/>
  <c r="V34" i="88"/>
  <c r="V22" i="88"/>
  <c r="V18" i="88"/>
  <c r="V14" i="88"/>
  <c r="V76" i="88"/>
  <c r="V70" i="88"/>
  <c r="V64" i="88"/>
  <c r="V48" i="88"/>
  <c r="V40" i="88"/>
  <c r="V32" i="88"/>
  <c r="V28" i="88"/>
  <c r="V63" i="88"/>
  <c r="V47" i="88"/>
  <c r="V39" i="88"/>
  <c r="V65" i="88"/>
  <c r="V61" i="88"/>
  <c r="V57" i="88"/>
  <c r="V53" i="88"/>
  <c r="V49" i="88"/>
  <c r="V41" i="88"/>
  <c r="V37" i="88"/>
  <c r="V25" i="88"/>
  <c r="T16" i="88"/>
  <c r="V72" i="88"/>
  <c r="V60" i="88"/>
  <c r="V56" i="88"/>
  <c r="V52" i="88"/>
  <c r="V23" i="88"/>
  <c r="V21" i="88"/>
  <c r="V19" i="88"/>
  <c r="V38" i="88"/>
  <c r="V30" i="88"/>
  <c r="V24" i="88"/>
  <c r="V31" i="88"/>
  <c r="V26" i="88"/>
  <c r="V27" i="88"/>
  <c r="V74" i="88"/>
  <c r="V68" i="88"/>
  <c r="V45" i="88"/>
  <c r="V42" i="88"/>
  <c r="V33" i="88"/>
  <c r="V16" i="88"/>
  <c r="Z12" i="88"/>
  <c r="V79" i="88"/>
  <c r="V62" i="88"/>
  <c r="V50" i="88"/>
  <c r="V29" i="88"/>
  <c r="N30" i="88"/>
  <c r="L30" i="88"/>
  <c r="Z30" i="90"/>
  <c r="V18" i="89"/>
  <c r="V14" i="89"/>
  <c r="V27" i="89"/>
  <c r="V21" i="89"/>
  <c r="Z12" i="89"/>
  <c r="X12" i="89"/>
  <c r="V30" i="89"/>
  <c r="V25" i="89"/>
  <c r="V23" i="89"/>
  <c r="T16" i="89"/>
  <c r="H27" i="89"/>
  <c r="N23" i="89"/>
  <c r="N43" i="90"/>
  <c r="F20" i="88"/>
  <c r="F21" i="88"/>
  <c r="Z43" i="88"/>
  <c r="Z65" i="88"/>
  <c r="F34" i="90"/>
  <c r="Z41" i="90"/>
  <c r="F67" i="88"/>
  <c r="F64" i="88"/>
  <c r="F51" i="88"/>
  <c r="F48" i="88"/>
  <c r="F43" i="88"/>
  <c r="F40" i="88"/>
  <c r="F32" i="88"/>
  <c r="F28" i="88"/>
  <c r="F63" i="88"/>
  <c r="F58" i="88"/>
  <c r="F54" i="88"/>
  <c r="F39" i="88"/>
  <c r="F31" i="88"/>
  <c r="F27" i="88"/>
  <c r="F18" i="88"/>
  <c r="F14" i="88"/>
  <c r="F66" i="88"/>
  <c r="F62" i="88"/>
  <c r="F76" i="88"/>
  <c r="F70" i="88"/>
  <c r="F61" i="88"/>
  <c r="F57" i="88"/>
  <c r="F53" i="88"/>
  <c r="F37" i="88"/>
  <c r="F74" i="88"/>
  <c r="F68" i="88"/>
  <c r="F60" i="88"/>
  <c r="F56" i="88"/>
  <c r="F52" i="88"/>
  <c r="F47" i="88"/>
  <c r="F44" i="88"/>
  <c r="F65" i="88"/>
  <c r="F49" i="88"/>
  <c r="F46" i="88"/>
  <c r="F41" i="88"/>
  <c r="F34" i="88"/>
  <c r="F22" i="88"/>
  <c r="D16" i="88"/>
  <c r="F36" i="88"/>
  <c r="N67" i="88"/>
  <c r="F16" i="88"/>
  <c r="F35" i="88"/>
  <c r="F45" i="88"/>
  <c r="X49" i="88"/>
  <c r="Z49" i="88" s="1"/>
  <c r="L67" i="88"/>
  <c r="F72" i="88"/>
  <c r="X75" i="87"/>
  <c r="Z75" i="87" s="1"/>
  <c r="X80" i="87"/>
  <c r="L12" i="88"/>
  <c r="H16" i="88"/>
  <c r="F29" i="88"/>
  <c r="X41" i="88"/>
  <c r="Z41" i="88" s="1"/>
  <c r="F64" i="90"/>
  <c r="F67" i="90"/>
  <c r="F54" i="90"/>
  <c r="F49" i="90"/>
  <c r="F46" i="90"/>
  <c r="F41" i="90"/>
  <c r="F60" i="90"/>
  <c r="F57" i="90"/>
  <c r="F63" i="90"/>
  <c r="F56" i="90"/>
  <c r="F51" i="90"/>
  <c r="F48" i="90"/>
  <c r="F43" i="90"/>
  <c r="F71" i="90"/>
  <c r="F59" i="90"/>
  <c r="F62" i="90"/>
  <c r="F53" i="90"/>
  <c r="F50" i="90"/>
  <c r="F45" i="90"/>
  <c r="F42" i="90"/>
  <c r="F38" i="90"/>
  <c r="F66" i="90"/>
  <c r="F61" i="90"/>
  <c r="F33" i="90"/>
  <c r="F29" i="90"/>
  <c r="F21" i="90"/>
  <c r="F32" i="90"/>
  <c r="F28" i="90"/>
  <c r="F19" i="90"/>
  <c r="F15" i="90"/>
  <c r="F55" i="90"/>
  <c r="F31" i="90"/>
  <c r="F27" i="90"/>
  <c r="F26" i="90"/>
  <c r="F40" i="90"/>
  <c r="F37" i="90"/>
  <c r="F25" i="90"/>
  <c r="F20" i="90"/>
  <c r="F35" i="90"/>
  <c r="F30" i="90"/>
  <c r="F23" i="90"/>
  <c r="D17" i="90"/>
  <c r="Z20" i="90"/>
  <c r="N30" i="90"/>
  <c r="F36" i="90"/>
  <c r="L45" i="90"/>
  <c r="N45" i="90" s="1"/>
  <c r="F30" i="88"/>
  <c r="F33" i="88"/>
  <c r="L41" i="88"/>
  <c r="N43" i="88"/>
  <c r="F50" i="88"/>
  <c r="L51" i="88"/>
  <c r="N51" i="88" s="1"/>
  <c r="Z67" i="88"/>
  <c r="P23" i="89"/>
  <c r="X16" i="89"/>
  <c r="V16" i="89"/>
  <c r="F24" i="90"/>
  <c r="F44" i="90"/>
  <c r="F47" i="90"/>
  <c r="R19" i="88"/>
  <c r="J21" i="88"/>
  <c r="R26" i="88"/>
  <c r="J29" i="88"/>
  <c r="J33" i="88"/>
  <c r="R38" i="88"/>
  <c r="R42" i="88"/>
  <c r="J43" i="88"/>
  <c r="R47" i="88"/>
  <c r="R50" i="88"/>
  <c r="J51" i="88"/>
  <c r="R62" i="88"/>
  <c r="R66" i="88"/>
  <c r="J67" i="88"/>
  <c r="D16" i="89"/>
  <c r="F23" i="89"/>
  <c r="F30" i="89"/>
  <c r="N12" i="90"/>
  <c r="T17" i="90"/>
  <c r="J22" i="90"/>
  <c r="V26" i="90"/>
  <c r="V30" i="90"/>
  <c r="J34" i="90"/>
  <c r="J46" i="90"/>
  <c r="L53" i="90"/>
  <c r="N53" i="90" s="1"/>
  <c r="Z55" i="90"/>
  <c r="L58" i="90"/>
  <c r="N58" i="90" s="1"/>
  <c r="J49" i="88"/>
  <c r="J55" i="88"/>
  <c r="J59" i="88"/>
  <c r="R64" i="88"/>
  <c r="J65" i="88"/>
  <c r="V71" i="90"/>
  <c r="V62" i="90"/>
  <c r="V61" i="90"/>
  <c r="V49" i="90"/>
  <c r="V41" i="90"/>
  <c r="V37" i="90"/>
  <c r="V64" i="90"/>
  <c r="V60" i="90"/>
  <c r="V52" i="90"/>
  <c r="V67" i="90"/>
  <c r="V63" i="90"/>
  <c r="V51" i="90"/>
  <c r="V43" i="90"/>
  <c r="V57" i="90"/>
  <c r="V53" i="90"/>
  <c r="V45" i="90"/>
  <c r="V66" i="90"/>
  <c r="V56" i="90"/>
  <c r="V48" i="90"/>
  <c r="V40" i="90"/>
  <c r="H17" i="90"/>
  <c r="V20" i="90"/>
  <c r="J24" i="90"/>
  <c r="V28" i="90"/>
  <c r="J30" i="90"/>
  <c r="V32" i="90"/>
  <c r="J36" i="90"/>
  <c r="J38" i="90"/>
  <c r="J39" i="90"/>
  <c r="V46" i="90"/>
  <c r="J36" i="88"/>
  <c r="J44" i="88"/>
  <c r="J52" i="88"/>
  <c r="R54" i="88"/>
  <c r="J56" i="88"/>
  <c r="R58" i="88"/>
  <c r="J60" i="88"/>
  <c r="J68" i="88"/>
  <c r="J74" i="88"/>
  <c r="F25" i="89"/>
  <c r="J17" i="90"/>
  <c r="V21" i="90"/>
  <c r="J25" i="90"/>
  <c r="V29" i="90"/>
  <c r="V33" i="90"/>
  <c r="J37" i="90"/>
  <c r="J40" i="90"/>
  <c r="N41" i="90"/>
  <c r="J42" i="90"/>
  <c r="Z47" i="90"/>
  <c r="V58" i="90"/>
  <c r="J61" i="88"/>
  <c r="R67" i="88"/>
  <c r="F27" i="89"/>
  <c r="J20" i="90"/>
  <c r="V22" i="90"/>
  <c r="J26" i="90"/>
  <c r="V34" i="90"/>
  <c r="J41" i="90"/>
  <c r="V44" i="90"/>
  <c r="V47" i="90"/>
  <c r="J50" i="90"/>
  <c r="J26" i="88"/>
  <c r="R35" i="88"/>
  <c r="J38" i="88"/>
  <c r="J42" i="88"/>
  <c r="J50" i="88"/>
  <c r="R55" i="88"/>
  <c r="R59" i="88"/>
  <c r="J62" i="88"/>
  <c r="J66" i="88"/>
  <c r="J70" i="88"/>
  <c r="R72" i="88"/>
  <c r="J76" i="88"/>
  <c r="R79" i="88"/>
  <c r="F14" i="89"/>
  <c r="F18" i="89"/>
  <c r="V15" i="90"/>
  <c r="V19" i="90"/>
  <c r="V23" i="90"/>
  <c r="J27" i="90"/>
  <c r="V35" i="90"/>
  <c r="V38" i="90"/>
  <c r="N49" i="90"/>
  <c r="J39" i="88"/>
  <c r="J45" i="88"/>
  <c r="R49" i="88"/>
  <c r="R52" i="88"/>
  <c r="R56" i="88"/>
  <c r="R60" i="88"/>
  <c r="R65" i="88"/>
  <c r="R68" i="88"/>
  <c r="L12" i="89"/>
  <c r="X14" i="89"/>
  <c r="J67" i="90"/>
  <c r="J63" i="90"/>
  <c r="J57" i="90"/>
  <c r="J51" i="90"/>
  <c r="J43" i="90"/>
  <c r="J56" i="90"/>
  <c r="J48" i="90"/>
  <c r="J71" i="90"/>
  <c r="J59" i="90"/>
  <c r="J53" i="90"/>
  <c r="J45" i="90"/>
  <c r="J66" i="90"/>
  <c r="J62" i="90"/>
  <c r="J61" i="90"/>
  <c r="J55" i="90"/>
  <c r="J47" i="90"/>
  <c r="J64" i="90"/>
  <c r="J58" i="90"/>
  <c r="J52" i="90"/>
  <c r="J44" i="90"/>
  <c r="V24" i="90"/>
  <c r="J28" i="90"/>
  <c r="J32" i="90"/>
  <c r="V36" i="90"/>
  <c r="V39" i="90"/>
  <c r="V42" i="90"/>
  <c r="Z43" i="90"/>
  <c r="J49" i="90"/>
  <c r="J54" i="90"/>
  <c r="F18" i="91"/>
  <c r="V18" i="91"/>
  <c r="P27" i="91"/>
  <c r="J16" i="92"/>
  <c r="R18" i="92"/>
  <c r="J20" i="92"/>
  <c r="F22" i="92"/>
  <c r="V22" i="92"/>
  <c r="L34" i="92"/>
  <c r="Z12" i="93"/>
  <c r="F16" i="93"/>
  <c r="V16" i="93"/>
  <c r="N18" i="93"/>
  <c r="F20" i="93"/>
  <c r="V20" i="93"/>
  <c r="R22" i="93"/>
  <c r="J24" i="93"/>
  <c r="J15" i="91"/>
  <c r="H18" i="91"/>
  <c r="F21" i="91"/>
  <c r="V21" i="91"/>
  <c r="J25" i="91"/>
  <c r="R27" i="91"/>
  <c r="J29" i="91"/>
  <c r="R31" i="91"/>
  <c r="J33" i="91"/>
  <c r="R34" i="91"/>
  <c r="J36" i="91"/>
  <c r="L12" i="92"/>
  <c r="F15" i="92"/>
  <c r="V15" i="92"/>
  <c r="D18" i="92"/>
  <c r="T18" i="92"/>
  <c r="R21" i="92"/>
  <c r="F25" i="92"/>
  <c r="V25" i="92"/>
  <c r="F29" i="92"/>
  <c r="V29" i="92"/>
  <c r="F33" i="92"/>
  <c r="V33" i="92"/>
  <c r="F36" i="92"/>
  <c r="V36" i="92"/>
  <c r="R15" i="93"/>
  <c r="P18" i="93"/>
  <c r="R25" i="93"/>
  <c r="J27" i="93"/>
  <c r="R29" i="93"/>
  <c r="J31" i="93"/>
  <c r="R33" i="93"/>
  <c r="J34" i="93"/>
  <c r="R36" i="93"/>
  <c r="F24" i="91"/>
  <c r="V24" i="91"/>
  <c r="J16" i="93"/>
  <c r="R18" i="93"/>
  <c r="J20" i="93"/>
  <c r="X12" i="91"/>
  <c r="F27" i="91"/>
  <c r="V27" i="91"/>
  <c r="F31" i="91"/>
  <c r="V31" i="91"/>
  <c r="F34" i="91"/>
  <c r="V34" i="91"/>
  <c r="R27" i="92"/>
  <c r="R31" i="92"/>
  <c r="R34" i="92"/>
  <c r="L12" i="93"/>
  <c r="D18" i="93"/>
  <c r="R21" i="93"/>
  <c r="F25" i="93"/>
  <c r="V25" i="93"/>
  <c r="F29" i="93"/>
  <c r="V29" i="93"/>
  <c r="F33" i="93"/>
  <c r="V33" i="93"/>
  <c r="F36" i="93"/>
  <c r="V36" i="93"/>
  <c r="Z12" i="91"/>
  <c r="F16" i="91"/>
  <c r="V16" i="91"/>
  <c r="F20" i="91"/>
  <c r="V20" i="91"/>
  <c r="J24" i="91"/>
  <c r="R16" i="92"/>
  <c r="J18" i="92"/>
  <c r="R20" i="92"/>
  <c r="F24" i="92"/>
  <c r="N12" i="93"/>
  <c r="V18" i="93"/>
  <c r="J22" i="93"/>
  <c r="R24" i="93"/>
  <c r="X25" i="93"/>
  <c r="X29" i="93"/>
  <c r="J25" i="93"/>
  <c r="R27" i="93"/>
  <c r="J29" i="93"/>
  <c r="R31" i="93"/>
  <c r="J33" i="93"/>
  <c r="R34" i="93"/>
  <c r="J36" i="93"/>
  <c r="J16" i="91"/>
  <c r="F22" i="91"/>
  <c r="V22" i="91"/>
  <c r="X13" i="92"/>
  <c r="R22" i="92"/>
  <c r="J24" i="92"/>
  <c r="R16" i="93"/>
  <c r="J18" i="93"/>
  <c r="R20" i="93"/>
  <c r="V24" i="93"/>
  <c r="L12" i="91"/>
  <c r="F15" i="91"/>
  <c r="V15" i="91"/>
  <c r="D18" i="91"/>
  <c r="T18" i="91"/>
  <c r="X18" i="91" s="1"/>
  <c r="F25" i="91"/>
  <c r="V25" i="91"/>
  <c r="F29" i="91"/>
  <c r="V29" i="91"/>
  <c r="F33" i="91"/>
  <c r="V33" i="91"/>
  <c r="R15" i="92"/>
  <c r="P18" i="92"/>
  <c r="R25" i="92"/>
  <c r="J27" i="92"/>
  <c r="R29" i="92"/>
  <c r="J31" i="92"/>
  <c r="R33" i="92"/>
  <c r="V27" i="93"/>
  <c r="V31" i="93"/>
  <c r="N18" i="50" l="1"/>
  <c r="Z18" i="93"/>
  <c r="X18" i="41"/>
  <c r="X18" i="26"/>
  <c r="D27" i="17"/>
  <c r="L27" i="17" s="1"/>
  <c r="N18" i="8"/>
  <c r="H27" i="35"/>
  <c r="H31" i="35" s="1"/>
  <c r="H27" i="28"/>
  <c r="N27" i="28" s="1"/>
  <c r="X18" i="7"/>
  <c r="N18" i="23"/>
  <c r="H31" i="38"/>
  <c r="N31" i="38" s="1"/>
  <c r="L18" i="35"/>
  <c r="X18" i="40"/>
  <c r="N18" i="16"/>
  <c r="N18" i="38"/>
  <c r="L18" i="23"/>
  <c r="L18" i="16"/>
  <c r="Z18" i="44"/>
  <c r="X18" i="47"/>
  <c r="Z18" i="40"/>
  <c r="T27" i="40"/>
  <c r="Z27" i="40" s="1"/>
  <c r="D27" i="23"/>
  <c r="L27" i="23" s="1"/>
  <c r="D27" i="16"/>
  <c r="D31" i="16" s="1"/>
  <c r="D36" i="16" s="1"/>
  <c r="N18" i="92"/>
  <c r="L18" i="50"/>
  <c r="H27" i="19"/>
  <c r="N18" i="19"/>
  <c r="L18" i="22"/>
  <c r="H27" i="34"/>
  <c r="N18" i="34"/>
  <c r="X18" i="52"/>
  <c r="X18" i="14"/>
  <c r="T38" i="55"/>
  <c r="H27" i="40"/>
  <c r="L27" i="40" s="1"/>
  <c r="N18" i="40"/>
  <c r="L18" i="93"/>
  <c r="D27" i="93"/>
  <c r="X18" i="93"/>
  <c r="P27" i="93"/>
  <c r="T72" i="88"/>
  <c r="Z16" i="88"/>
  <c r="H82" i="87"/>
  <c r="N21" i="87"/>
  <c r="N16" i="86"/>
  <c r="H73" i="86"/>
  <c r="L16" i="86"/>
  <c r="H26" i="83"/>
  <c r="N16" i="83"/>
  <c r="D80" i="86"/>
  <c r="T77" i="86"/>
  <c r="R75" i="81"/>
  <c r="R69" i="81"/>
  <c r="R72" i="81"/>
  <c r="R68" i="81"/>
  <c r="R61" i="81"/>
  <c r="R57" i="81"/>
  <c r="R48" i="81"/>
  <c r="R45" i="81"/>
  <c r="R36" i="81"/>
  <c r="R84" i="81"/>
  <c r="R78" i="81"/>
  <c r="R71" i="81"/>
  <c r="R67" i="81"/>
  <c r="R51" i="81"/>
  <c r="R35" i="81"/>
  <c r="R31" i="81"/>
  <c r="R23" i="81"/>
  <c r="R16" i="81"/>
  <c r="R74" i="81"/>
  <c r="R66" i="81"/>
  <c r="R47" i="81"/>
  <c r="R42" i="81"/>
  <c r="R34" i="81"/>
  <c r="R30" i="81"/>
  <c r="R82" i="81"/>
  <c r="R76" i="81"/>
  <c r="R73" i="81"/>
  <c r="R64" i="81"/>
  <c r="R60" i="81"/>
  <c r="R56" i="81"/>
  <c r="R44" i="81"/>
  <c r="R40" i="81"/>
  <c r="R28" i="81"/>
  <c r="R19" i="81"/>
  <c r="R87" i="81"/>
  <c r="R49" i="81"/>
  <c r="R17" i="81"/>
  <c r="R70" i="81"/>
  <c r="R46" i="81"/>
  <c r="R25" i="81"/>
  <c r="R24" i="81"/>
  <c r="R21" i="81"/>
  <c r="P19" i="81"/>
  <c r="X12" i="81"/>
  <c r="Z12" i="81" s="1"/>
  <c r="R80" i="81"/>
  <c r="R65" i="81"/>
  <c r="R58" i="81"/>
  <c r="R37" i="81"/>
  <c r="R59" i="81"/>
  <c r="R38" i="81"/>
  <c r="R27" i="81"/>
  <c r="R26" i="81"/>
  <c r="R39" i="81"/>
  <c r="R29" i="81"/>
  <c r="R62" i="81"/>
  <c r="R55" i="81"/>
  <c r="R53" i="81"/>
  <c r="R50" i="81"/>
  <c r="R22" i="81"/>
  <c r="R63" i="81"/>
  <c r="R54" i="81"/>
  <c r="R33" i="81"/>
  <c r="R41" i="81"/>
  <c r="R52" i="81"/>
  <c r="R43" i="81"/>
  <c r="R32" i="81"/>
  <c r="P28" i="78"/>
  <c r="X16" i="78"/>
  <c r="D69" i="77"/>
  <c r="L16" i="77"/>
  <c r="H86" i="75"/>
  <c r="J21" i="75"/>
  <c r="F23" i="73"/>
  <c r="F19" i="73"/>
  <c r="F27" i="73"/>
  <c r="D19" i="73"/>
  <c r="F17" i="73"/>
  <c r="L12" i="73"/>
  <c r="N12" i="73" s="1"/>
  <c r="F21" i="73"/>
  <c r="F16" i="73"/>
  <c r="T86" i="75"/>
  <c r="V21" i="75"/>
  <c r="N16" i="60"/>
  <c r="H57" i="60"/>
  <c r="H87" i="62"/>
  <c r="N16" i="62"/>
  <c r="N16" i="61"/>
  <c r="H56" i="61"/>
  <c r="L18" i="49"/>
  <c r="D27" i="49"/>
  <c r="P22" i="54"/>
  <c r="X16" i="54"/>
  <c r="H99" i="68"/>
  <c r="L18" i="53"/>
  <c r="D27" i="53"/>
  <c r="D27" i="47"/>
  <c r="L18" i="47"/>
  <c r="H26" i="54"/>
  <c r="N22" i="54"/>
  <c r="H27" i="44"/>
  <c r="L27" i="44" s="1"/>
  <c r="N18" i="44"/>
  <c r="T98" i="42"/>
  <c r="L27" i="50"/>
  <c r="D31" i="50"/>
  <c r="D31" i="44"/>
  <c r="L21" i="45"/>
  <c r="D89" i="45"/>
  <c r="H82" i="51"/>
  <c r="L18" i="34"/>
  <c r="D27" i="34"/>
  <c r="T27" i="29"/>
  <c r="Z18" i="29"/>
  <c r="T27" i="28"/>
  <c r="Z18" i="28"/>
  <c r="L18" i="31"/>
  <c r="D27" i="31"/>
  <c r="D36" i="35"/>
  <c r="T27" i="17"/>
  <c r="Z18" i="17"/>
  <c r="T143" i="12"/>
  <c r="D27" i="14"/>
  <c r="L18" i="14"/>
  <c r="D27" i="28"/>
  <c r="L18" i="28"/>
  <c r="P27" i="25"/>
  <c r="X18" i="25"/>
  <c r="R63" i="21"/>
  <c r="R58" i="21"/>
  <c r="R46" i="21"/>
  <c r="R43" i="21"/>
  <c r="R38" i="21"/>
  <c r="R26" i="21"/>
  <c r="R18" i="21"/>
  <c r="R57" i="21"/>
  <c r="R54" i="21"/>
  <c r="R49" i="21"/>
  <c r="R37" i="21"/>
  <c r="R25" i="21"/>
  <c r="R22" i="21"/>
  <c r="R17" i="21"/>
  <c r="R71" i="21"/>
  <c r="R67" i="21"/>
  <c r="R56" i="21"/>
  <c r="R51" i="21"/>
  <c r="R35" i="21"/>
  <c r="R31" i="21"/>
  <c r="R16" i="21"/>
  <c r="R84" i="21"/>
  <c r="R77" i="21"/>
  <c r="R69" i="21"/>
  <c r="R64" i="21"/>
  <c r="R61" i="21"/>
  <c r="R44" i="21"/>
  <c r="R40" i="21"/>
  <c r="R28" i="21"/>
  <c r="P20" i="21"/>
  <c r="R72" i="21"/>
  <c r="R55" i="21"/>
  <c r="R52" i="21"/>
  <c r="R39" i="21"/>
  <c r="R32" i="21"/>
  <c r="R27" i="21"/>
  <c r="R70" i="21"/>
  <c r="R60" i="21"/>
  <c r="R47" i="21"/>
  <c r="R79" i="21"/>
  <c r="R62" i="21"/>
  <c r="R48" i="21"/>
  <c r="R33" i="21"/>
  <c r="R24" i="21"/>
  <c r="R34" i="21"/>
  <c r="R81" i="21"/>
  <c r="R75" i="21"/>
  <c r="R65" i="21"/>
  <c r="R50" i="21"/>
  <c r="R73" i="21"/>
  <c r="R66" i="21"/>
  <c r="R29" i="21"/>
  <c r="X12" i="21"/>
  <c r="R45" i="21"/>
  <c r="R41" i="21"/>
  <c r="R30" i="21"/>
  <c r="R42" i="21"/>
  <c r="R36" i="21"/>
  <c r="R20" i="21"/>
  <c r="R59" i="21"/>
  <c r="R23" i="21"/>
  <c r="R68" i="21"/>
  <c r="R53" i="21"/>
  <c r="P31" i="10"/>
  <c r="F145" i="12"/>
  <c r="F140" i="12"/>
  <c r="F134" i="12"/>
  <c r="F130" i="12"/>
  <c r="F103" i="12"/>
  <c r="F98" i="12"/>
  <c r="F95" i="12"/>
  <c r="F86" i="12"/>
  <c r="F83" i="12"/>
  <c r="F74" i="12"/>
  <c r="F71" i="12"/>
  <c r="F63" i="12"/>
  <c r="F51" i="12"/>
  <c r="F46" i="12"/>
  <c r="F35" i="12"/>
  <c r="F27" i="12"/>
  <c r="F126" i="12"/>
  <c r="F89" i="12"/>
  <c r="F77" i="12"/>
  <c r="F62" i="12"/>
  <c r="F57" i="12"/>
  <c r="F50" i="12"/>
  <c r="F43" i="12"/>
  <c r="F34" i="12"/>
  <c r="F26" i="12"/>
  <c r="F133" i="12"/>
  <c r="F129" i="12"/>
  <c r="F125" i="12"/>
  <c r="F116" i="12"/>
  <c r="F112" i="12"/>
  <c r="F100" i="12"/>
  <c r="F97" i="12"/>
  <c r="F92" i="12"/>
  <c r="F85" i="12"/>
  <c r="F80" i="12"/>
  <c r="F73" i="12"/>
  <c r="F68" i="12"/>
  <c r="F61" i="12"/>
  <c r="F49" i="12"/>
  <c r="D43" i="12"/>
  <c r="F41" i="12"/>
  <c r="F33" i="12"/>
  <c r="F25" i="12"/>
  <c r="F139" i="12"/>
  <c r="F137" i="12"/>
  <c r="F132" i="12"/>
  <c r="F128" i="12"/>
  <c r="F124" i="12"/>
  <c r="F119" i="12"/>
  <c r="F107" i="12"/>
  <c r="F88" i="12"/>
  <c r="F76" i="12"/>
  <c r="F60" i="12"/>
  <c r="F56" i="12"/>
  <c r="F48" i="12"/>
  <c r="F40" i="12"/>
  <c r="F32" i="12"/>
  <c r="F24" i="12"/>
  <c r="F19" i="12"/>
  <c r="F135" i="12"/>
  <c r="F131" i="12"/>
  <c r="F123" i="12"/>
  <c r="F115" i="12"/>
  <c r="F111" i="12"/>
  <c r="F102" i="12"/>
  <c r="F99" i="12"/>
  <c r="F94" i="12"/>
  <c r="F91" i="12"/>
  <c r="F87" i="12"/>
  <c r="F82" i="12"/>
  <c r="F79" i="12"/>
  <c r="F75" i="12"/>
  <c r="F70" i="12"/>
  <c r="F67" i="12"/>
  <c r="F59" i="12"/>
  <c r="F55" i="12"/>
  <c r="F47" i="12"/>
  <c r="F39" i="12"/>
  <c r="F31" i="12"/>
  <c r="F23" i="12"/>
  <c r="F141" i="12"/>
  <c r="F122" i="12"/>
  <c r="F118" i="12"/>
  <c r="F114" i="12"/>
  <c r="F110" i="12"/>
  <c r="F106" i="12"/>
  <c r="F90" i="12"/>
  <c r="F78" i="12"/>
  <c r="F138" i="12"/>
  <c r="F121" i="12"/>
  <c r="F117" i="12"/>
  <c r="F113" i="12"/>
  <c r="F109" i="12"/>
  <c r="F105" i="12"/>
  <c r="F101" i="12"/>
  <c r="F96" i="12"/>
  <c r="F93" i="12"/>
  <c r="F84" i="12"/>
  <c r="F81" i="12"/>
  <c r="F72" i="12"/>
  <c r="F69" i="12"/>
  <c r="F65" i="12"/>
  <c r="F53" i="12"/>
  <c r="F37" i="12"/>
  <c r="F29" i="12"/>
  <c r="F21" i="12"/>
  <c r="F127" i="12"/>
  <c r="F108" i="12"/>
  <c r="F64" i="12"/>
  <c r="L12" i="12"/>
  <c r="N12" i="12" s="1"/>
  <c r="F54" i="12"/>
  <c r="F38" i="12"/>
  <c r="F30" i="12"/>
  <c r="F22" i="12"/>
  <c r="F120" i="12"/>
  <c r="F58" i="12"/>
  <c r="F104" i="12"/>
  <c r="F20" i="12"/>
  <c r="F52" i="12"/>
  <c r="F36" i="12"/>
  <c r="F28" i="12"/>
  <c r="F66" i="12"/>
  <c r="F45" i="12"/>
  <c r="X18" i="11"/>
  <c r="P27" i="11"/>
  <c r="P27" i="8"/>
  <c r="X18" i="8"/>
  <c r="P99" i="9"/>
  <c r="D165" i="3"/>
  <c r="L54" i="3"/>
  <c r="N54" i="3" s="1"/>
  <c r="X23" i="80"/>
  <c r="P90" i="80"/>
  <c r="H78" i="70"/>
  <c r="P28" i="66"/>
  <c r="P31" i="52"/>
  <c r="H27" i="91"/>
  <c r="N18" i="91"/>
  <c r="P31" i="91"/>
  <c r="T69" i="90"/>
  <c r="V17" i="90"/>
  <c r="P27" i="89"/>
  <c r="P27" i="84"/>
  <c r="X17" i="84"/>
  <c r="T26" i="79"/>
  <c r="Z16" i="79"/>
  <c r="T52" i="82"/>
  <c r="Z48" i="82"/>
  <c r="Z16" i="77"/>
  <c r="T69" i="77"/>
  <c r="D28" i="78"/>
  <c r="L16" i="78"/>
  <c r="D68" i="76"/>
  <c r="L17" i="76"/>
  <c r="D58" i="72"/>
  <c r="L19" i="72"/>
  <c r="R83" i="65"/>
  <c r="R76" i="65"/>
  <c r="R51" i="65"/>
  <c r="R44" i="65"/>
  <c r="R39" i="65"/>
  <c r="R23" i="65"/>
  <c r="R70" i="65"/>
  <c r="R66" i="65"/>
  <c r="R63" i="65"/>
  <c r="R58" i="65"/>
  <c r="R55" i="65"/>
  <c r="R50" i="65"/>
  <c r="R38" i="65"/>
  <c r="P30" i="65"/>
  <c r="R30" i="65" s="1"/>
  <c r="R22" i="65"/>
  <c r="R80" i="65"/>
  <c r="R69" i="65"/>
  <c r="R49" i="65"/>
  <c r="R37" i="65"/>
  <c r="R21" i="65"/>
  <c r="R82" i="65"/>
  <c r="R72" i="65"/>
  <c r="R68" i="65"/>
  <c r="R65" i="65"/>
  <c r="R60" i="65"/>
  <c r="R57" i="65"/>
  <c r="R48" i="65"/>
  <c r="R36" i="65"/>
  <c r="R28" i="65"/>
  <c r="R20" i="65"/>
  <c r="X12" i="65"/>
  <c r="Z12" i="65" s="1"/>
  <c r="R87" i="65"/>
  <c r="R75" i="65"/>
  <c r="R47" i="65"/>
  <c r="R43" i="65"/>
  <c r="R35" i="65"/>
  <c r="R32" i="65"/>
  <c r="R27" i="65"/>
  <c r="R19" i="65"/>
  <c r="R78" i="65"/>
  <c r="R74" i="65"/>
  <c r="R71" i="65"/>
  <c r="R67" i="65"/>
  <c r="R62" i="65"/>
  <c r="R59" i="65"/>
  <c r="R54" i="65"/>
  <c r="R46" i="65"/>
  <c r="R42" i="65"/>
  <c r="R34" i="65"/>
  <c r="R26" i="65"/>
  <c r="R81" i="65"/>
  <c r="R77" i="65"/>
  <c r="R53" i="65"/>
  <c r="R45" i="65"/>
  <c r="R41" i="65"/>
  <c r="R25" i="65"/>
  <c r="R18" i="65"/>
  <c r="R52" i="65"/>
  <c r="R56" i="65"/>
  <c r="R64" i="65"/>
  <c r="R61" i="65"/>
  <c r="R24" i="65"/>
  <c r="R40" i="65"/>
  <c r="R33" i="65"/>
  <c r="R73" i="65"/>
  <c r="P32" i="64"/>
  <c r="P59" i="59"/>
  <c r="X16" i="59"/>
  <c r="Z16" i="58"/>
  <c r="T73" i="58"/>
  <c r="N16" i="57"/>
  <c r="H63" i="57"/>
  <c r="P60" i="61"/>
  <c r="X56" i="61"/>
  <c r="T91" i="62"/>
  <c r="H27" i="49"/>
  <c r="N18" i="49"/>
  <c r="H66" i="59"/>
  <c r="P31" i="55"/>
  <c r="X16" i="55"/>
  <c r="N27" i="50"/>
  <c r="H31" i="50"/>
  <c r="X18" i="44"/>
  <c r="P27" i="44"/>
  <c r="H27" i="52"/>
  <c r="N18" i="52"/>
  <c r="X18" i="43"/>
  <c r="P27" i="43"/>
  <c r="F66" i="48"/>
  <c r="P31" i="41"/>
  <c r="Z21" i="45"/>
  <c r="T89" i="45"/>
  <c r="H27" i="43"/>
  <c r="L27" i="43" s="1"/>
  <c r="N18" i="43"/>
  <c r="T31" i="54"/>
  <c r="Z26" i="54"/>
  <c r="L18" i="44"/>
  <c r="R109" i="36"/>
  <c r="R100" i="36"/>
  <c r="R87" i="36"/>
  <c r="R79" i="36"/>
  <c r="R75" i="36"/>
  <c r="R94" i="36"/>
  <c r="R86" i="36"/>
  <c r="R83" i="36"/>
  <c r="R78" i="36"/>
  <c r="R74" i="36"/>
  <c r="R71" i="36"/>
  <c r="R66" i="36"/>
  <c r="R63" i="36"/>
  <c r="R58" i="36"/>
  <c r="R42" i="36"/>
  <c r="R38" i="36"/>
  <c r="R30" i="36"/>
  <c r="R103" i="36"/>
  <c r="R96" i="36"/>
  <c r="R92" i="36"/>
  <c r="R85" i="36"/>
  <c r="R77" i="36"/>
  <c r="R73" i="36"/>
  <c r="R68" i="36"/>
  <c r="R65" i="36"/>
  <c r="R60" i="36"/>
  <c r="R48" i="36"/>
  <c r="R40" i="36"/>
  <c r="R36" i="36"/>
  <c r="R101" i="36"/>
  <c r="R98" i="36"/>
  <c r="R89" i="36"/>
  <c r="R81" i="36"/>
  <c r="R53" i="36"/>
  <c r="R50" i="36"/>
  <c r="R45" i="36"/>
  <c r="R33" i="36"/>
  <c r="R104" i="36"/>
  <c r="R88" i="36"/>
  <c r="R84" i="36"/>
  <c r="R80" i="36"/>
  <c r="R76" i="36"/>
  <c r="R72" i="36"/>
  <c r="R69" i="36"/>
  <c r="R64" i="36"/>
  <c r="R61" i="36"/>
  <c r="R44" i="36"/>
  <c r="R32" i="36"/>
  <c r="X12" i="36"/>
  <c r="Z12" i="36" s="1"/>
  <c r="R97" i="36"/>
  <c r="R41" i="36"/>
  <c r="R105" i="36"/>
  <c r="R93" i="36"/>
  <c r="R54" i="36"/>
  <c r="R52" i="36"/>
  <c r="R51" i="36"/>
  <c r="R31" i="36"/>
  <c r="R20" i="36"/>
  <c r="R99" i="36"/>
  <c r="R57" i="36"/>
  <c r="R56" i="36"/>
  <c r="R49" i="36"/>
  <c r="R27" i="36"/>
  <c r="R90" i="36"/>
  <c r="R55" i="36"/>
  <c r="R43" i="36"/>
  <c r="R37" i="36"/>
  <c r="R95" i="36"/>
  <c r="R91" i="36"/>
  <c r="R67" i="36"/>
  <c r="R59" i="36"/>
  <c r="R39" i="36"/>
  <c r="R29" i="36"/>
  <c r="P25" i="36"/>
  <c r="R23" i="36"/>
  <c r="R70" i="36"/>
  <c r="R62" i="36"/>
  <c r="R47" i="36"/>
  <c r="R46" i="36"/>
  <c r="R35" i="36"/>
  <c r="R34" i="36"/>
  <c r="R28" i="36"/>
  <c r="R22" i="36"/>
  <c r="R21" i="36"/>
  <c r="R82" i="36"/>
  <c r="R25" i="36"/>
  <c r="L18" i="29"/>
  <c r="D27" i="29"/>
  <c r="L18" i="37"/>
  <c r="D27" i="37"/>
  <c r="X18" i="34"/>
  <c r="P27" i="34"/>
  <c r="D27" i="32"/>
  <c r="L18" i="32"/>
  <c r="H27" i="31"/>
  <c r="N18" i="31"/>
  <c r="N27" i="32"/>
  <c r="H31" i="32"/>
  <c r="H27" i="14"/>
  <c r="N18" i="14"/>
  <c r="R56" i="24"/>
  <c r="R36" i="24"/>
  <c r="R24" i="24"/>
  <c r="R21" i="24"/>
  <c r="X12" i="24"/>
  <c r="Z12" i="24" s="1"/>
  <c r="R65" i="24"/>
  <c r="R59" i="24"/>
  <c r="R55" i="24"/>
  <c r="R52" i="24"/>
  <c r="R47" i="24"/>
  <c r="R44" i="24"/>
  <c r="R35" i="24"/>
  <c r="R23" i="24"/>
  <c r="R16" i="24"/>
  <c r="R58" i="24"/>
  <c r="R54" i="24"/>
  <c r="R49" i="24"/>
  <c r="R46" i="24"/>
  <c r="R41" i="24"/>
  <c r="R33" i="24"/>
  <c r="R29" i="24"/>
  <c r="R22" i="24"/>
  <c r="R67" i="24"/>
  <c r="R61" i="24"/>
  <c r="R38" i="24"/>
  <c r="R31" i="24"/>
  <c r="R26" i="24"/>
  <c r="R57" i="24"/>
  <c r="R53" i="24"/>
  <c r="R50" i="24"/>
  <c r="R45" i="24"/>
  <c r="R42" i="24"/>
  <c r="R37" i="24"/>
  <c r="R25" i="24"/>
  <c r="R17" i="24"/>
  <c r="R70" i="24"/>
  <c r="R34" i="24"/>
  <c r="R19" i="24"/>
  <c r="P19" i="24"/>
  <c r="R39" i="24"/>
  <c r="R40" i="24"/>
  <c r="R30" i="24"/>
  <c r="R48" i="24"/>
  <c r="R32" i="24"/>
  <c r="R51" i="24"/>
  <c r="R43" i="24"/>
  <c r="R27" i="24"/>
  <c r="R63" i="24"/>
  <c r="R28" i="24"/>
  <c r="R110" i="30"/>
  <c r="R98" i="30"/>
  <c r="R90" i="30"/>
  <c r="R86" i="30"/>
  <c r="R82" i="30"/>
  <c r="R79" i="30"/>
  <c r="R74" i="30"/>
  <c r="R67" i="30"/>
  <c r="R62" i="30"/>
  <c r="R59" i="30"/>
  <c r="R54" i="30"/>
  <c r="R42" i="30"/>
  <c r="R26" i="30"/>
  <c r="R107" i="30"/>
  <c r="R100" i="30"/>
  <c r="R96" i="30"/>
  <c r="R92" i="30"/>
  <c r="R81" i="30"/>
  <c r="R76" i="30"/>
  <c r="R73" i="30"/>
  <c r="R64" i="30"/>
  <c r="R61" i="30"/>
  <c r="R52" i="30"/>
  <c r="R40" i="30"/>
  <c r="R37" i="30"/>
  <c r="R32" i="30"/>
  <c r="R24" i="30"/>
  <c r="R109" i="30"/>
  <c r="R103" i="30"/>
  <c r="R95" i="30"/>
  <c r="R88" i="30"/>
  <c r="R84" i="30"/>
  <c r="R51" i="30"/>
  <c r="R47" i="30"/>
  <c r="R39" i="30"/>
  <c r="R31" i="30"/>
  <c r="R23" i="30"/>
  <c r="R114" i="30"/>
  <c r="R102" i="30"/>
  <c r="R99" i="30"/>
  <c r="R91" i="30"/>
  <c r="R78" i="30"/>
  <c r="R75" i="30"/>
  <c r="R66" i="30"/>
  <c r="R63" i="30"/>
  <c r="R58" i="30"/>
  <c r="R50" i="30"/>
  <c r="R46" i="30"/>
  <c r="R30" i="30"/>
  <c r="R22" i="30"/>
  <c r="R108" i="30"/>
  <c r="R101" i="30"/>
  <c r="R80" i="30"/>
  <c r="R77" i="30"/>
  <c r="R72" i="30"/>
  <c r="R68" i="30"/>
  <c r="R65" i="30"/>
  <c r="R60" i="30"/>
  <c r="R56" i="30"/>
  <c r="R44" i="30"/>
  <c r="R28" i="30"/>
  <c r="R20" i="30"/>
  <c r="X12" i="30"/>
  <c r="Z12" i="30" s="1"/>
  <c r="R104" i="30"/>
  <c r="R87" i="30"/>
  <c r="R83" i="30"/>
  <c r="R71" i="30"/>
  <c r="R55" i="30"/>
  <c r="R48" i="30"/>
  <c r="R43" i="30"/>
  <c r="P35" i="30"/>
  <c r="R27" i="30"/>
  <c r="R19" i="30"/>
  <c r="R53" i="30"/>
  <c r="R41" i="30"/>
  <c r="R21" i="30"/>
  <c r="R38" i="30"/>
  <c r="R94" i="30"/>
  <c r="R57" i="30"/>
  <c r="R49" i="30"/>
  <c r="R45" i="30"/>
  <c r="R89" i="30"/>
  <c r="R18" i="30"/>
  <c r="R70" i="30"/>
  <c r="R69" i="30"/>
  <c r="R29" i="30"/>
  <c r="R25" i="30"/>
  <c r="R105" i="30"/>
  <c r="R97" i="30"/>
  <c r="R85" i="30"/>
  <c r="R33" i="30"/>
  <c r="R93" i="30"/>
  <c r="P27" i="23"/>
  <c r="X18" i="23"/>
  <c r="T27" i="5"/>
  <c r="Z18" i="5"/>
  <c r="R139" i="18"/>
  <c r="N27" i="17"/>
  <c r="H31" i="17"/>
  <c r="P27" i="17"/>
  <c r="X18" i="17"/>
  <c r="T22" i="6"/>
  <c r="X22" i="6" s="1"/>
  <c r="Z16" i="6"/>
  <c r="D31" i="6"/>
  <c r="L26" i="6"/>
  <c r="H75" i="74"/>
  <c r="P91" i="62"/>
  <c r="X87" i="62"/>
  <c r="Z87" i="62" s="1"/>
  <c r="X18" i="92"/>
  <c r="P27" i="92"/>
  <c r="L18" i="91"/>
  <c r="D27" i="91"/>
  <c r="H69" i="90"/>
  <c r="N27" i="89"/>
  <c r="H30" i="89"/>
  <c r="N30" i="89" s="1"/>
  <c r="X16" i="88"/>
  <c r="T26" i="83"/>
  <c r="Z16" i="83"/>
  <c r="P54" i="85"/>
  <c r="X16" i="85"/>
  <c r="P82" i="87"/>
  <c r="X21" i="87"/>
  <c r="L16" i="82"/>
  <c r="D48" i="82"/>
  <c r="H54" i="85"/>
  <c r="N16" i="85"/>
  <c r="D26" i="79"/>
  <c r="L16" i="79"/>
  <c r="P26" i="79"/>
  <c r="X16" i="79"/>
  <c r="H32" i="78"/>
  <c r="T90" i="80"/>
  <c r="Z23" i="80"/>
  <c r="X16" i="77"/>
  <c r="P69" i="77"/>
  <c r="H25" i="73"/>
  <c r="T85" i="70"/>
  <c r="X71" i="74"/>
  <c r="Z71" i="74" s="1"/>
  <c r="P75" i="74"/>
  <c r="F74" i="70"/>
  <c r="F53" i="70"/>
  <c r="F67" i="70"/>
  <c r="F64" i="70"/>
  <c r="F59" i="70"/>
  <c r="F56" i="70"/>
  <c r="F52" i="70"/>
  <c r="F66" i="70"/>
  <c r="F61" i="70"/>
  <c r="F58" i="70"/>
  <c r="F80" i="70"/>
  <c r="F75" i="70"/>
  <c r="F73" i="70"/>
  <c r="F68" i="70"/>
  <c r="F63" i="70"/>
  <c r="F60" i="70"/>
  <c r="F55" i="70"/>
  <c r="F71" i="70"/>
  <c r="F69" i="70"/>
  <c r="F50" i="70"/>
  <c r="F49" i="70"/>
  <c r="F44" i="70"/>
  <c r="F37" i="70"/>
  <c r="F30" i="70"/>
  <c r="F21" i="70"/>
  <c r="F65" i="70"/>
  <c r="F48" i="70"/>
  <c r="F36" i="70"/>
  <c r="D30" i="70"/>
  <c r="F28" i="70"/>
  <c r="F20" i="70"/>
  <c r="L12" i="70"/>
  <c r="N12" i="70" s="1"/>
  <c r="F70" i="70"/>
  <c r="F47" i="70"/>
  <c r="F43" i="70"/>
  <c r="F35" i="70"/>
  <c r="F27" i="70"/>
  <c r="F19" i="70"/>
  <c r="F54" i="70"/>
  <c r="F46" i="70"/>
  <c r="F42" i="70"/>
  <c r="F34" i="70"/>
  <c r="F26" i="70"/>
  <c r="F45" i="70"/>
  <c r="F41" i="70"/>
  <c r="F32" i="70"/>
  <c r="F25" i="70"/>
  <c r="F62" i="70"/>
  <c r="F40" i="70"/>
  <c r="F24" i="70"/>
  <c r="F57" i="70"/>
  <c r="F39" i="70"/>
  <c r="F23" i="70"/>
  <c r="F18" i="70"/>
  <c r="F76" i="70"/>
  <c r="F51" i="70"/>
  <c r="F38" i="70"/>
  <c r="F33" i="70"/>
  <c r="F22" i="70"/>
  <c r="P67" i="63"/>
  <c r="H67" i="63"/>
  <c r="L30" i="65"/>
  <c r="D85" i="65"/>
  <c r="T66" i="59"/>
  <c r="D38" i="55"/>
  <c r="P70" i="57"/>
  <c r="H27" i="47"/>
  <c r="N18" i="47"/>
  <c r="T69" i="48"/>
  <c r="N18" i="46"/>
  <c r="H27" i="46"/>
  <c r="H80" i="58"/>
  <c r="P69" i="48"/>
  <c r="X17" i="48"/>
  <c r="Z17" i="48" s="1"/>
  <c r="T27" i="46"/>
  <c r="Z18" i="46"/>
  <c r="R100" i="42"/>
  <c r="R91" i="42"/>
  <c r="R78" i="42"/>
  <c r="R75" i="42"/>
  <c r="R70" i="42"/>
  <c r="R50" i="42"/>
  <c r="R47" i="42"/>
  <c r="R42" i="42"/>
  <c r="R30" i="42"/>
  <c r="R85" i="42"/>
  <c r="R66" i="42"/>
  <c r="R61" i="42"/>
  <c r="R58" i="42"/>
  <c r="R41" i="42"/>
  <c r="R29" i="42"/>
  <c r="R21" i="42"/>
  <c r="R88" i="42"/>
  <c r="R84" i="42"/>
  <c r="R77" i="42"/>
  <c r="R69" i="42"/>
  <c r="R52" i="42"/>
  <c r="R49" i="42"/>
  <c r="R40" i="42"/>
  <c r="R28" i="42"/>
  <c r="R25" i="42"/>
  <c r="R20" i="42"/>
  <c r="X12" i="42"/>
  <c r="Z12" i="42" s="1"/>
  <c r="R94" i="42"/>
  <c r="R87" i="42"/>
  <c r="R83" i="42"/>
  <c r="R63" i="42"/>
  <c r="R60" i="42"/>
  <c r="R55" i="42"/>
  <c r="R39" i="42"/>
  <c r="R35" i="42"/>
  <c r="R27" i="42"/>
  <c r="R19" i="42"/>
  <c r="R96" i="42"/>
  <c r="R90" i="42"/>
  <c r="R82" i="42"/>
  <c r="R74" i="42"/>
  <c r="R54" i="42"/>
  <c r="R51" i="42"/>
  <c r="R46" i="42"/>
  <c r="R38" i="42"/>
  <c r="R34" i="42"/>
  <c r="R86" i="42"/>
  <c r="R81" i="42"/>
  <c r="R73" i="42"/>
  <c r="R65" i="42"/>
  <c r="R62" i="42"/>
  <c r="R57" i="42"/>
  <c r="R45" i="42"/>
  <c r="R37" i="42"/>
  <c r="R33" i="42"/>
  <c r="R26" i="42"/>
  <c r="R18" i="42"/>
  <c r="R92" i="42"/>
  <c r="R89" i="42"/>
  <c r="R80" i="42"/>
  <c r="R76" i="42"/>
  <c r="R72" i="42"/>
  <c r="R68" i="42"/>
  <c r="R53" i="42"/>
  <c r="R48" i="42"/>
  <c r="R44" i="42"/>
  <c r="R32" i="42"/>
  <c r="R23" i="42"/>
  <c r="R71" i="42"/>
  <c r="R56" i="42"/>
  <c r="R43" i="42"/>
  <c r="P23" i="42"/>
  <c r="R59" i="42"/>
  <c r="R36" i="42"/>
  <c r="R67" i="42"/>
  <c r="R79" i="42"/>
  <c r="R31" i="42"/>
  <c r="R95" i="42"/>
  <c r="R64" i="42"/>
  <c r="D31" i="43"/>
  <c r="H27" i="37"/>
  <c r="N18" i="37"/>
  <c r="F21" i="45"/>
  <c r="H106" i="39"/>
  <c r="T27" i="32"/>
  <c r="X27" i="32" s="1"/>
  <c r="Z18" i="32"/>
  <c r="P73" i="33"/>
  <c r="T63" i="24"/>
  <c r="V19" i="24"/>
  <c r="T116" i="30"/>
  <c r="T27" i="22"/>
  <c r="Z18" i="22"/>
  <c r="D27" i="25"/>
  <c r="L18" i="25"/>
  <c r="T139" i="15"/>
  <c r="R141" i="12"/>
  <c r="R135" i="12"/>
  <c r="R131" i="12"/>
  <c r="R123" i="12"/>
  <c r="R115" i="12"/>
  <c r="R111" i="12"/>
  <c r="R99" i="12"/>
  <c r="R96" i="12"/>
  <c r="R91" i="12"/>
  <c r="R87" i="12"/>
  <c r="R84" i="12"/>
  <c r="R79" i="12"/>
  <c r="R75" i="12"/>
  <c r="R72" i="12"/>
  <c r="R67" i="12"/>
  <c r="R59" i="12"/>
  <c r="R55" i="12"/>
  <c r="R47" i="12"/>
  <c r="R39" i="12"/>
  <c r="R31" i="12"/>
  <c r="R23" i="12"/>
  <c r="R138" i="12"/>
  <c r="R127" i="12"/>
  <c r="R122" i="12"/>
  <c r="R118" i="12"/>
  <c r="R114" i="12"/>
  <c r="R110" i="12"/>
  <c r="R106" i="12"/>
  <c r="R90" i="12"/>
  <c r="R78" i="12"/>
  <c r="R66" i="12"/>
  <c r="R58" i="12"/>
  <c r="R54" i="12"/>
  <c r="R38" i="12"/>
  <c r="R30" i="12"/>
  <c r="R22" i="12"/>
  <c r="X12" i="12"/>
  <c r="Z12" i="12" s="1"/>
  <c r="R134" i="12"/>
  <c r="R130" i="12"/>
  <c r="R121" i="12"/>
  <c r="R117" i="12"/>
  <c r="R113" i="12"/>
  <c r="R109" i="12"/>
  <c r="R105" i="12"/>
  <c r="R101" i="12"/>
  <c r="R98" i="12"/>
  <c r="R93" i="12"/>
  <c r="R86" i="12"/>
  <c r="R81" i="12"/>
  <c r="R74" i="12"/>
  <c r="R69" i="12"/>
  <c r="R65" i="12"/>
  <c r="R53" i="12"/>
  <c r="R46" i="12"/>
  <c r="R37" i="12"/>
  <c r="R29" i="12"/>
  <c r="R21" i="12"/>
  <c r="R140" i="12"/>
  <c r="R120" i="12"/>
  <c r="R108" i="12"/>
  <c r="R104" i="12"/>
  <c r="R89" i="12"/>
  <c r="R77" i="12"/>
  <c r="R64" i="12"/>
  <c r="R57" i="12"/>
  <c r="R52" i="12"/>
  <c r="R36" i="12"/>
  <c r="R28" i="12"/>
  <c r="R20" i="12"/>
  <c r="R145" i="12"/>
  <c r="R116" i="12"/>
  <c r="R112" i="12"/>
  <c r="R103" i="12"/>
  <c r="R100" i="12"/>
  <c r="R95" i="12"/>
  <c r="R92" i="12"/>
  <c r="R83" i="12"/>
  <c r="R80" i="12"/>
  <c r="R71" i="12"/>
  <c r="R68" i="12"/>
  <c r="R63" i="12"/>
  <c r="R51" i="12"/>
  <c r="P43" i="12"/>
  <c r="R43" i="12" s="1"/>
  <c r="R35" i="12"/>
  <c r="R27" i="12"/>
  <c r="R137" i="12"/>
  <c r="R126" i="12"/>
  <c r="R119" i="12"/>
  <c r="R107" i="12"/>
  <c r="R139" i="12"/>
  <c r="R133" i="12"/>
  <c r="R129" i="12"/>
  <c r="R125" i="12"/>
  <c r="R102" i="12"/>
  <c r="R97" i="12"/>
  <c r="R94" i="12"/>
  <c r="R85" i="12"/>
  <c r="R82" i="12"/>
  <c r="R73" i="12"/>
  <c r="R70" i="12"/>
  <c r="R61" i="12"/>
  <c r="R49" i="12"/>
  <c r="R41" i="12"/>
  <c r="R33" i="12"/>
  <c r="R25" i="12"/>
  <c r="R128" i="12"/>
  <c r="R48" i="12"/>
  <c r="R62" i="12"/>
  <c r="R88" i="12"/>
  <c r="R45" i="12"/>
  <c r="R40" i="12"/>
  <c r="R32" i="12"/>
  <c r="R24" i="12"/>
  <c r="R76" i="12"/>
  <c r="R132" i="12"/>
  <c r="R124" i="12"/>
  <c r="R60" i="12"/>
  <c r="R56" i="12"/>
  <c r="R19" i="12"/>
  <c r="R50" i="12"/>
  <c r="R34" i="12"/>
  <c r="R26" i="12"/>
  <c r="H27" i="25"/>
  <c r="N18" i="25"/>
  <c r="H27" i="22"/>
  <c r="N18" i="22"/>
  <c r="T27" i="23"/>
  <c r="Z18" i="23"/>
  <c r="H27" i="20"/>
  <c r="N18" i="20"/>
  <c r="F129" i="15"/>
  <c r="F125" i="15"/>
  <c r="F121" i="15"/>
  <c r="F116" i="15"/>
  <c r="F104" i="15"/>
  <c r="F88" i="15"/>
  <c r="F76" i="15"/>
  <c r="F61" i="15"/>
  <c r="F56" i="15"/>
  <c r="F49" i="15"/>
  <c r="F33" i="15"/>
  <c r="F25" i="15"/>
  <c r="F135" i="15"/>
  <c r="F133" i="15"/>
  <c r="F128" i="15"/>
  <c r="F124" i="15"/>
  <c r="F120" i="15"/>
  <c r="F112" i="15"/>
  <c r="F108" i="15"/>
  <c r="F99" i="15"/>
  <c r="F96" i="15"/>
  <c r="F91" i="15"/>
  <c r="F84" i="15"/>
  <c r="F79" i="15"/>
  <c r="F72" i="15"/>
  <c r="F67" i="15"/>
  <c r="F60" i="15"/>
  <c r="F48" i="15"/>
  <c r="D42" i="15"/>
  <c r="F42" i="15" s="1"/>
  <c r="F40" i="15"/>
  <c r="F32" i="15"/>
  <c r="F24" i="15"/>
  <c r="F19" i="15"/>
  <c r="F131" i="15"/>
  <c r="F127" i="15"/>
  <c r="F119" i="15"/>
  <c r="F115" i="15"/>
  <c r="F111" i="15"/>
  <c r="F107" i="15"/>
  <c r="F103" i="15"/>
  <c r="F87" i="15"/>
  <c r="F75" i="15"/>
  <c r="F59" i="15"/>
  <c r="F55" i="15"/>
  <c r="F47" i="15"/>
  <c r="F39" i="15"/>
  <c r="F31" i="15"/>
  <c r="F23" i="15"/>
  <c r="F137" i="15"/>
  <c r="F118" i="15"/>
  <c r="F114" i="15"/>
  <c r="F110" i="15"/>
  <c r="F106" i="15"/>
  <c r="F102" i="15"/>
  <c r="F98" i="15"/>
  <c r="F93" i="15"/>
  <c r="F90" i="15"/>
  <c r="F86" i="15"/>
  <c r="F81" i="15"/>
  <c r="F78" i="15"/>
  <c r="F74" i="15"/>
  <c r="F69" i="15"/>
  <c r="F66" i="15"/>
  <c r="F58" i="15"/>
  <c r="F54" i="15"/>
  <c r="F46" i="15"/>
  <c r="F38" i="15"/>
  <c r="F30" i="15"/>
  <c r="F22" i="15"/>
  <c r="L12" i="15"/>
  <c r="N12" i="15" s="1"/>
  <c r="F134" i="15"/>
  <c r="F117" i="15"/>
  <c r="F105" i="15"/>
  <c r="F101" i="15"/>
  <c r="F89" i="15"/>
  <c r="F77" i="15"/>
  <c r="F65" i="15"/>
  <c r="F57" i="15"/>
  <c r="F53" i="15"/>
  <c r="F44" i="15"/>
  <c r="F37" i="15"/>
  <c r="F29" i="15"/>
  <c r="F21" i="15"/>
  <c r="F123" i="15"/>
  <c r="F100" i="15"/>
  <c r="F95" i="15"/>
  <c r="F92" i="15"/>
  <c r="F83" i="15"/>
  <c r="F80" i="15"/>
  <c r="F71" i="15"/>
  <c r="F68" i="15"/>
  <c r="F64" i="15"/>
  <c r="F52" i="15"/>
  <c r="F36" i="15"/>
  <c r="F28" i="15"/>
  <c r="F20" i="15"/>
  <c r="F141" i="15"/>
  <c r="F136" i="15"/>
  <c r="F130" i="15"/>
  <c r="F126" i="15"/>
  <c r="F63" i="15"/>
  <c r="F51" i="15"/>
  <c r="F35" i="15"/>
  <c r="F27" i="15"/>
  <c r="F50" i="15"/>
  <c r="F26" i="15"/>
  <c r="F113" i="15"/>
  <c r="F85" i="15"/>
  <c r="F82" i="15"/>
  <c r="F97" i="15"/>
  <c r="F94" i="15"/>
  <c r="F62" i="15"/>
  <c r="F45" i="15"/>
  <c r="F122" i="15"/>
  <c r="F73" i="15"/>
  <c r="F70" i="15"/>
  <c r="F109" i="15"/>
  <c r="F34" i="15"/>
  <c r="H27" i="10"/>
  <c r="N18" i="10"/>
  <c r="T27" i="4"/>
  <c r="Z18" i="4"/>
  <c r="T27" i="10"/>
  <c r="X27" i="10" s="1"/>
  <c r="Z18" i="10"/>
  <c r="D31" i="17"/>
  <c r="H27" i="5"/>
  <c r="N18" i="5"/>
  <c r="N18" i="4"/>
  <c r="H27" i="4"/>
  <c r="H99" i="9"/>
  <c r="X16" i="6"/>
  <c r="X18" i="10"/>
  <c r="L18" i="92"/>
  <c r="D27" i="92"/>
  <c r="R71" i="90"/>
  <c r="R66" i="90"/>
  <c r="R62" i="90"/>
  <c r="R55" i="90"/>
  <c r="R50" i="90"/>
  <c r="R47" i="90"/>
  <c r="R42" i="90"/>
  <c r="R38" i="90"/>
  <c r="R61" i="90"/>
  <c r="R58" i="90"/>
  <c r="R64" i="90"/>
  <c r="R52" i="90"/>
  <c r="R49" i="90"/>
  <c r="R44" i="90"/>
  <c r="R67" i="90"/>
  <c r="R60" i="90"/>
  <c r="R63" i="90"/>
  <c r="R54" i="90"/>
  <c r="R51" i="90"/>
  <c r="R46" i="90"/>
  <c r="R43" i="90"/>
  <c r="R57" i="90"/>
  <c r="R41" i="90"/>
  <c r="R40" i="90"/>
  <c r="R37" i="90"/>
  <c r="R30" i="90"/>
  <c r="R25" i="90"/>
  <c r="P17" i="90"/>
  <c r="R56" i="90"/>
  <c r="R39" i="90"/>
  <c r="R36" i="90"/>
  <c r="R24" i="90"/>
  <c r="R45" i="90"/>
  <c r="R35" i="90"/>
  <c r="R23" i="90"/>
  <c r="R34" i="90"/>
  <c r="R22" i="90"/>
  <c r="R19" i="90"/>
  <c r="R15" i="90"/>
  <c r="X12" i="90"/>
  <c r="Z12" i="90" s="1"/>
  <c r="R53" i="90"/>
  <c r="R33" i="90"/>
  <c r="R29" i="90"/>
  <c r="R21" i="90"/>
  <c r="R59" i="90"/>
  <c r="R48" i="90"/>
  <c r="R31" i="90"/>
  <c r="R27" i="90"/>
  <c r="R20" i="90"/>
  <c r="R28" i="90"/>
  <c r="R26" i="90"/>
  <c r="R17" i="90"/>
  <c r="R32" i="90"/>
  <c r="P57" i="60"/>
  <c r="X16" i="60"/>
  <c r="H31" i="92"/>
  <c r="N27" i="92"/>
  <c r="T27" i="91"/>
  <c r="X27" i="91" s="1"/>
  <c r="Z18" i="91"/>
  <c r="T27" i="92"/>
  <c r="Z18" i="92"/>
  <c r="Z16" i="89"/>
  <c r="T23" i="89"/>
  <c r="X23" i="89" s="1"/>
  <c r="P76" i="88"/>
  <c r="X72" i="88"/>
  <c r="L16" i="83"/>
  <c r="D26" i="83"/>
  <c r="R21" i="87"/>
  <c r="D31" i="84"/>
  <c r="L27" i="84"/>
  <c r="N27" i="84" s="1"/>
  <c r="P62" i="72"/>
  <c r="F38" i="63"/>
  <c r="F26" i="63"/>
  <c r="F19" i="63"/>
  <c r="F57" i="63"/>
  <c r="F53" i="63"/>
  <c r="F48" i="63"/>
  <c r="F45" i="63"/>
  <c r="F37" i="63"/>
  <c r="F25" i="63"/>
  <c r="D19" i="63"/>
  <c r="F17" i="63"/>
  <c r="F67" i="63"/>
  <c r="F61" i="63"/>
  <c r="F56" i="63"/>
  <c r="F36" i="63"/>
  <c r="F31" i="63"/>
  <c r="F24" i="63"/>
  <c r="L12" i="63"/>
  <c r="N12" i="63" s="1"/>
  <c r="F65" i="63"/>
  <c r="F59" i="63"/>
  <c r="F55" i="63"/>
  <c r="F50" i="63"/>
  <c r="F47" i="63"/>
  <c r="F42" i="63"/>
  <c r="F35" i="63"/>
  <c r="F23" i="63"/>
  <c r="F34" i="63"/>
  <c r="F30" i="63"/>
  <c r="F21" i="63"/>
  <c r="F52" i="63"/>
  <c r="F49" i="63"/>
  <c r="F44" i="63"/>
  <c r="F41" i="63"/>
  <c r="F33" i="63"/>
  <c r="F29" i="63"/>
  <c r="F16" i="63"/>
  <c r="F70" i="63"/>
  <c r="F63" i="63"/>
  <c r="F40" i="63"/>
  <c r="F32" i="63"/>
  <c r="F28" i="63"/>
  <c r="F46" i="63"/>
  <c r="F43" i="63"/>
  <c r="F58" i="63"/>
  <c r="F22" i="63"/>
  <c r="F27" i="63"/>
  <c r="F39" i="63"/>
  <c r="F54" i="63"/>
  <c r="F51" i="63"/>
  <c r="H85" i="65"/>
  <c r="N30" i="65"/>
  <c r="Z16" i="64"/>
  <c r="T28" i="64"/>
  <c r="X28" i="64" s="1"/>
  <c r="N16" i="64"/>
  <c r="H28" i="64"/>
  <c r="T61" i="60"/>
  <c r="X16" i="58"/>
  <c r="N18" i="53"/>
  <c r="H27" i="53"/>
  <c r="D69" i="48"/>
  <c r="L17" i="48"/>
  <c r="L18" i="46"/>
  <c r="D27" i="46"/>
  <c r="H31" i="55"/>
  <c r="N16" i="55"/>
  <c r="P31" i="40"/>
  <c r="X18" i="46"/>
  <c r="P27" i="46"/>
  <c r="D31" i="40"/>
  <c r="P27" i="38"/>
  <c r="X18" i="38"/>
  <c r="Z20" i="33"/>
  <c r="T69" i="33"/>
  <c r="T107" i="36"/>
  <c r="F114" i="30"/>
  <c r="F109" i="30"/>
  <c r="F107" i="30"/>
  <c r="F102" i="30"/>
  <c r="F81" i="30"/>
  <c r="F78" i="30"/>
  <c r="F73" i="30"/>
  <c r="F66" i="30"/>
  <c r="F61" i="30"/>
  <c r="F58" i="30"/>
  <c r="F50" i="30"/>
  <c r="F46" i="30"/>
  <c r="F37" i="30"/>
  <c r="F30" i="30"/>
  <c r="F22" i="30"/>
  <c r="F99" i="30"/>
  <c r="F91" i="30"/>
  <c r="F80" i="30"/>
  <c r="F75" i="30"/>
  <c r="F72" i="30"/>
  <c r="F68" i="30"/>
  <c r="F63" i="30"/>
  <c r="F60" i="30"/>
  <c r="F56" i="30"/>
  <c r="F44" i="30"/>
  <c r="F28" i="30"/>
  <c r="F20" i="30"/>
  <c r="L12" i="30"/>
  <c r="N12" i="30" s="1"/>
  <c r="F108" i="30"/>
  <c r="F94" i="30"/>
  <c r="F87" i="30"/>
  <c r="F83" i="30"/>
  <c r="F71" i="30"/>
  <c r="F55" i="30"/>
  <c r="F43" i="30"/>
  <c r="F38" i="30"/>
  <c r="F27" i="30"/>
  <c r="F19" i="30"/>
  <c r="F101" i="30"/>
  <c r="F98" i="30"/>
  <c r="F90" i="30"/>
  <c r="F86" i="30"/>
  <c r="F82" i="30"/>
  <c r="F77" i="30"/>
  <c r="F74" i="30"/>
  <c r="F65" i="30"/>
  <c r="F62" i="30"/>
  <c r="F54" i="30"/>
  <c r="F42" i="30"/>
  <c r="F26" i="30"/>
  <c r="F100" i="30"/>
  <c r="F96" i="30"/>
  <c r="F92" i="30"/>
  <c r="F79" i="30"/>
  <c r="F76" i="30"/>
  <c r="F67" i="30"/>
  <c r="F64" i="30"/>
  <c r="F59" i="30"/>
  <c r="F52" i="30"/>
  <c r="F40" i="30"/>
  <c r="F32" i="30"/>
  <c r="F24" i="30"/>
  <c r="F103" i="30"/>
  <c r="F95" i="30"/>
  <c r="F70" i="30"/>
  <c r="F51" i="30"/>
  <c r="F47" i="30"/>
  <c r="F39" i="30"/>
  <c r="F31" i="30"/>
  <c r="F23" i="30"/>
  <c r="F18" i="30"/>
  <c r="F88" i="30"/>
  <c r="F104" i="30"/>
  <c r="F97" i="30"/>
  <c r="F85" i="30"/>
  <c r="F69" i="30"/>
  <c r="D35" i="30"/>
  <c r="F35" i="30" s="1"/>
  <c r="F29" i="30"/>
  <c r="F25" i="30"/>
  <c r="F105" i="30"/>
  <c r="F41" i="30"/>
  <c r="F110" i="30"/>
  <c r="F53" i="30"/>
  <c r="F21" i="30"/>
  <c r="F93" i="30"/>
  <c r="F33" i="30"/>
  <c r="F89" i="30"/>
  <c r="F48" i="30"/>
  <c r="F45" i="30"/>
  <c r="F49" i="30"/>
  <c r="F84" i="30"/>
  <c r="F57" i="30"/>
  <c r="X18" i="29"/>
  <c r="P27" i="29"/>
  <c r="F90" i="42"/>
  <c r="F82" i="42"/>
  <c r="F77" i="42"/>
  <c r="F74" i="42"/>
  <c r="F69" i="42"/>
  <c r="F54" i="42"/>
  <c r="F49" i="42"/>
  <c r="F46" i="42"/>
  <c r="F38" i="42"/>
  <c r="F34" i="42"/>
  <c r="F25" i="42"/>
  <c r="F96" i="42"/>
  <c r="F94" i="42"/>
  <c r="F81" i="42"/>
  <c r="F73" i="42"/>
  <c r="F65" i="42"/>
  <c r="F60" i="42"/>
  <c r="F57" i="42"/>
  <c r="F45" i="42"/>
  <c r="F37" i="42"/>
  <c r="F33" i="42"/>
  <c r="F92" i="42"/>
  <c r="F80" i="42"/>
  <c r="F76" i="42"/>
  <c r="F72" i="42"/>
  <c r="F68" i="42"/>
  <c r="F51" i="42"/>
  <c r="F48" i="42"/>
  <c r="F44" i="42"/>
  <c r="F32" i="42"/>
  <c r="F86" i="42"/>
  <c r="F79" i="42"/>
  <c r="F71" i="42"/>
  <c r="F67" i="42"/>
  <c r="F62" i="42"/>
  <c r="F59" i="42"/>
  <c r="F43" i="42"/>
  <c r="F31" i="42"/>
  <c r="F26" i="42"/>
  <c r="F18" i="42"/>
  <c r="F100" i="42"/>
  <c r="F95" i="42"/>
  <c r="F89" i="42"/>
  <c r="F78" i="42"/>
  <c r="F70" i="42"/>
  <c r="F53" i="42"/>
  <c r="F50" i="42"/>
  <c r="F42" i="42"/>
  <c r="F30" i="42"/>
  <c r="F85" i="42"/>
  <c r="F64" i="42"/>
  <c r="F61" i="42"/>
  <c r="F56" i="42"/>
  <c r="F41" i="42"/>
  <c r="F36" i="42"/>
  <c r="F29" i="42"/>
  <c r="D23" i="42"/>
  <c r="F21" i="42"/>
  <c r="F91" i="42"/>
  <c r="F88" i="42"/>
  <c r="F84" i="42"/>
  <c r="F75" i="42"/>
  <c r="F52" i="42"/>
  <c r="F47" i="42"/>
  <c r="F40" i="42"/>
  <c r="F28" i="42"/>
  <c r="F20" i="42"/>
  <c r="L12" i="42"/>
  <c r="N12" i="42" s="1"/>
  <c r="F55" i="42"/>
  <c r="F19" i="42"/>
  <c r="F87" i="42"/>
  <c r="F58" i="42"/>
  <c r="F27" i="42"/>
  <c r="F35" i="42"/>
  <c r="F83" i="42"/>
  <c r="F66" i="42"/>
  <c r="F39" i="42"/>
  <c r="F63" i="42"/>
  <c r="P102" i="39"/>
  <c r="X23" i="39"/>
  <c r="H85" i="27"/>
  <c r="J30" i="27"/>
  <c r="L18" i="43"/>
  <c r="X20" i="33"/>
  <c r="R70" i="27"/>
  <c r="R66" i="27"/>
  <c r="R63" i="27"/>
  <c r="R58" i="27"/>
  <c r="R55" i="27"/>
  <c r="R50" i="27"/>
  <c r="R38" i="27"/>
  <c r="P30" i="27"/>
  <c r="R82" i="27"/>
  <c r="R72" i="27"/>
  <c r="R68" i="27"/>
  <c r="R65" i="27"/>
  <c r="R60" i="27"/>
  <c r="R57" i="27"/>
  <c r="R48" i="27"/>
  <c r="R36" i="27"/>
  <c r="R28" i="27"/>
  <c r="R87" i="27"/>
  <c r="R75" i="27"/>
  <c r="R47" i="27"/>
  <c r="R43" i="27"/>
  <c r="R35" i="27"/>
  <c r="R32" i="27"/>
  <c r="R27" i="27"/>
  <c r="R19" i="27"/>
  <c r="R78" i="27"/>
  <c r="R74" i="27"/>
  <c r="R71" i="27"/>
  <c r="R67" i="27"/>
  <c r="R62" i="27"/>
  <c r="R59" i="27"/>
  <c r="R54" i="27"/>
  <c r="R46" i="27"/>
  <c r="R42" i="27"/>
  <c r="R34" i="27"/>
  <c r="R26" i="27"/>
  <c r="R18" i="27"/>
  <c r="R64" i="27"/>
  <c r="R51" i="27"/>
  <c r="R41" i="27"/>
  <c r="R40" i="27"/>
  <c r="R39" i="27"/>
  <c r="R77" i="27"/>
  <c r="R69" i="27"/>
  <c r="R44" i="27"/>
  <c r="R23" i="27"/>
  <c r="R22" i="27"/>
  <c r="R21" i="27"/>
  <c r="R80" i="27"/>
  <c r="R45" i="27"/>
  <c r="R30" i="27"/>
  <c r="R20" i="27"/>
  <c r="R61" i="27"/>
  <c r="R53" i="27"/>
  <c r="R24" i="27"/>
  <c r="R33" i="27"/>
  <c r="R25" i="27"/>
  <c r="R83" i="27"/>
  <c r="R76" i="27"/>
  <c r="R73" i="27"/>
  <c r="R49" i="27"/>
  <c r="R81" i="27"/>
  <c r="R52" i="27"/>
  <c r="R37" i="27"/>
  <c r="X12" i="27"/>
  <c r="Z12" i="27" s="1"/>
  <c r="R56" i="27"/>
  <c r="H27" i="26"/>
  <c r="N18" i="26"/>
  <c r="D81" i="21"/>
  <c r="L77" i="21"/>
  <c r="N77" i="21" s="1"/>
  <c r="F78" i="27"/>
  <c r="F74" i="27"/>
  <c r="F65" i="27"/>
  <c r="F62" i="27"/>
  <c r="F57" i="27"/>
  <c r="F54" i="27"/>
  <c r="F46" i="27"/>
  <c r="F42" i="27"/>
  <c r="F34" i="27"/>
  <c r="F81" i="27"/>
  <c r="F71" i="27"/>
  <c r="F67" i="27"/>
  <c r="F64" i="27"/>
  <c r="F59" i="27"/>
  <c r="F56" i="27"/>
  <c r="F52" i="27"/>
  <c r="F40" i="27"/>
  <c r="F51" i="27"/>
  <c r="F39" i="27"/>
  <c r="F23" i="27"/>
  <c r="F18" i="27"/>
  <c r="F83" i="27"/>
  <c r="F73" i="27"/>
  <c r="F70" i="27"/>
  <c r="F66" i="27"/>
  <c r="F61" i="27"/>
  <c r="F58" i="27"/>
  <c r="F50" i="27"/>
  <c r="F38" i="27"/>
  <c r="F33" i="27"/>
  <c r="F43" i="27"/>
  <c r="F26" i="27"/>
  <c r="F25" i="27"/>
  <c r="L12" i="27"/>
  <c r="N12" i="27" s="1"/>
  <c r="F82" i="27"/>
  <c r="F72" i="27"/>
  <c r="F60" i="27"/>
  <c r="F28" i="27"/>
  <c r="F27" i="27"/>
  <c r="F24" i="27"/>
  <c r="F22" i="27"/>
  <c r="F63" i="27"/>
  <c r="F32" i="27"/>
  <c r="F20" i="27"/>
  <c r="F19" i="27"/>
  <c r="F77" i="27"/>
  <c r="F76" i="27"/>
  <c r="F49" i="27"/>
  <c r="F48" i="27"/>
  <c r="F55" i="27"/>
  <c r="F37" i="27"/>
  <c r="F36" i="27"/>
  <c r="F80" i="27"/>
  <c r="F35" i="27"/>
  <c r="F68" i="27"/>
  <c r="F53" i="27"/>
  <c r="F69" i="27"/>
  <c r="F41" i="27"/>
  <c r="F87" i="27"/>
  <c r="F75" i="27"/>
  <c r="F47" i="27"/>
  <c r="D30" i="27"/>
  <c r="F21" i="27"/>
  <c r="F44" i="27"/>
  <c r="F45" i="27"/>
  <c r="P31" i="14"/>
  <c r="T27" i="26"/>
  <c r="X27" i="26" s="1"/>
  <c r="Z18" i="26"/>
  <c r="H63" i="24"/>
  <c r="P31" i="7"/>
  <c r="L18" i="4"/>
  <c r="D27" i="4"/>
  <c r="N27" i="16"/>
  <c r="H31" i="16"/>
  <c r="Z18" i="11"/>
  <c r="T27" i="11"/>
  <c r="L18" i="10"/>
  <c r="D27" i="10"/>
  <c r="X18" i="5"/>
  <c r="P27" i="5"/>
  <c r="P26" i="6"/>
  <c r="N27" i="35"/>
  <c r="H143" i="12"/>
  <c r="J43" i="12"/>
  <c r="R130" i="15"/>
  <c r="R126" i="15"/>
  <c r="R117" i="15"/>
  <c r="R105" i="15"/>
  <c r="R101" i="15"/>
  <c r="R89" i="15"/>
  <c r="R77" i="15"/>
  <c r="R65" i="15"/>
  <c r="R57" i="15"/>
  <c r="R53" i="15"/>
  <c r="R37" i="15"/>
  <c r="R29" i="15"/>
  <c r="R21" i="15"/>
  <c r="R136" i="15"/>
  <c r="R113" i="15"/>
  <c r="R109" i="15"/>
  <c r="R100" i="15"/>
  <c r="R97" i="15"/>
  <c r="R92" i="15"/>
  <c r="R85" i="15"/>
  <c r="R80" i="15"/>
  <c r="R73" i="15"/>
  <c r="R68" i="15"/>
  <c r="R64" i="15"/>
  <c r="R52" i="15"/>
  <c r="R45" i="15"/>
  <c r="R36" i="15"/>
  <c r="R28" i="15"/>
  <c r="R20" i="15"/>
  <c r="R141" i="15"/>
  <c r="R116" i="15"/>
  <c r="R104" i="15"/>
  <c r="R88" i="15"/>
  <c r="R76" i="15"/>
  <c r="R63" i="15"/>
  <c r="R56" i="15"/>
  <c r="R51" i="15"/>
  <c r="R35" i="15"/>
  <c r="R27" i="15"/>
  <c r="R133" i="15"/>
  <c r="R122" i="15"/>
  <c r="R99" i="15"/>
  <c r="R94" i="15"/>
  <c r="R91" i="15"/>
  <c r="R82" i="15"/>
  <c r="R79" i="15"/>
  <c r="R70" i="15"/>
  <c r="R67" i="15"/>
  <c r="R62" i="15"/>
  <c r="R50" i="15"/>
  <c r="P42" i="15"/>
  <c r="R34" i="15"/>
  <c r="R26" i="15"/>
  <c r="R19" i="15"/>
  <c r="R135" i="15"/>
  <c r="R129" i="15"/>
  <c r="R125" i="15"/>
  <c r="R121" i="15"/>
  <c r="R61" i="15"/>
  <c r="R49" i="15"/>
  <c r="R33" i="15"/>
  <c r="R25" i="15"/>
  <c r="R128" i="15"/>
  <c r="R124" i="15"/>
  <c r="R120" i="15"/>
  <c r="R112" i="15"/>
  <c r="R108" i="15"/>
  <c r="R96" i="15"/>
  <c r="R93" i="15"/>
  <c r="R84" i="15"/>
  <c r="R81" i="15"/>
  <c r="R72" i="15"/>
  <c r="R69" i="15"/>
  <c r="R60" i="15"/>
  <c r="R48" i="15"/>
  <c r="R40" i="15"/>
  <c r="R32" i="15"/>
  <c r="R24" i="15"/>
  <c r="R137" i="15"/>
  <c r="R131" i="15"/>
  <c r="R127" i="15"/>
  <c r="R119" i="15"/>
  <c r="R115" i="15"/>
  <c r="R111" i="15"/>
  <c r="R107" i="15"/>
  <c r="R103" i="15"/>
  <c r="R87" i="15"/>
  <c r="R75" i="15"/>
  <c r="R59" i="15"/>
  <c r="R55" i="15"/>
  <c r="R47" i="15"/>
  <c r="R44" i="15"/>
  <c r="R39" i="15"/>
  <c r="R31" i="15"/>
  <c r="R23" i="15"/>
  <c r="R110" i="15"/>
  <c r="R102" i="15"/>
  <c r="R90" i="15"/>
  <c r="R78" i="15"/>
  <c r="R22" i="15"/>
  <c r="R54" i="15"/>
  <c r="R83" i="15"/>
  <c r="R46" i="15"/>
  <c r="X12" i="15"/>
  <c r="Z12" i="15" s="1"/>
  <c r="R114" i="15"/>
  <c r="R95" i="15"/>
  <c r="R86" i="15"/>
  <c r="R38" i="15"/>
  <c r="R106" i="15"/>
  <c r="R98" i="15"/>
  <c r="R66" i="15"/>
  <c r="R58" i="15"/>
  <c r="R30" i="15"/>
  <c r="R134" i="15"/>
  <c r="R123" i="15"/>
  <c r="R74" i="15"/>
  <c r="R71" i="15"/>
  <c r="R118" i="15"/>
  <c r="H147" i="18"/>
  <c r="Z18" i="19"/>
  <c r="T27" i="19"/>
  <c r="H27" i="7"/>
  <c r="N18" i="7"/>
  <c r="L18" i="11"/>
  <c r="D27" i="11"/>
  <c r="T27" i="16"/>
  <c r="Z18" i="16"/>
  <c r="R162" i="3"/>
  <c r="R157" i="3"/>
  <c r="R146" i="3"/>
  <c r="R142" i="3"/>
  <c r="R131" i="3"/>
  <c r="R126" i="3"/>
  <c r="R122" i="3"/>
  <c r="R118" i="3"/>
  <c r="R114" i="3"/>
  <c r="R111" i="3"/>
  <c r="R106" i="3"/>
  <c r="R103" i="3"/>
  <c r="R94" i="3"/>
  <c r="R91" i="3"/>
  <c r="R82" i="3"/>
  <c r="R79" i="3"/>
  <c r="R74" i="3"/>
  <c r="R62" i="3"/>
  <c r="P54" i="3"/>
  <c r="R46" i="3"/>
  <c r="R38" i="3"/>
  <c r="R30" i="3"/>
  <c r="R23" i="3"/>
  <c r="X12" i="3"/>
  <c r="Z12" i="3" s="1"/>
  <c r="R29" i="3"/>
  <c r="R35" i="3"/>
  <c r="R95" i="3"/>
  <c r="R78" i="3"/>
  <c r="R26" i="3"/>
  <c r="R167" i="3"/>
  <c r="R159" i="3"/>
  <c r="R153" i="3"/>
  <c r="R149" i="3"/>
  <c r="R141" i="3"/>
  <c r="R134" i="3"/>
  <c r="R121" i="3"/>
  <c r="R117" i="3"/>
  <c r="R73" i="3"/>
  <c r="R61" i="3"/>
  <c r="R45" i="3"/>
  <c r="R37" i="3"/>
  <c r="R138" i="3"/>
  <c r="R86" i="3"/>
  <c r="R83" i="3"/>
  <c r="R42" i="3"/>
  <c r="R171" i="3"/>
  <c r="R152" i="3"/>
  <c r="R145" i="3"/>
  <c r="R140" i="3"/>
  <c r="R125" i="3"/>
  <c r="R116" i="3"/>
  <c r="R113" i="3"/>
  <c r="R108" i="3"/>
  <c r="R105" i="3"/>
  <c r="R96" i="3"/>
  <c r="R93" i="3"/>
  <c r="R84" i="3"/>
  <c r="R81" i="3"/>
  <c r="R72" i="3"/>
  <c r="R60" i="3"/>
  <c r="R52" i="3"/>
  <c r="R44" i="3"/>
  <c r="R36" i="3"/>
  <c r="R28" i="3"/>
  <c r="R43" i="3"/>
  <c r="R130" i="3"/>
  <c r="R110" i="3"/>
  <c r="R102" i="3"/>
  <c r="R70" i="3"/>
  <c r="R161" i="3"/>
  <c r="R155" i="3"/>
  <c r="R151" i="3"/>
  <c r="R148" i="3"/>
  <c r="R139" i="3"/>
  <c r="R120" i="3"/>
  <c r="R99" i="3"/>
  <c r="R87" i="3"/>
  <c r="R71" i="3"/>
  <c r="R67" i="3"/>
  <c r="R59" i="3"/>
  <c r="R107" i="3"/>
  <c r="R98" i="3"/>
  <c r="R163" i="3"/>
  <c r="R154" i="3"/>
  <c r="R150" i="3"/>
  <c r="R137" i="3"/>
  <c r="R133" i="3"/>
  <c r="R129" i="3"/>
  <c r="R101" i="3"/>
  <c r="R89" i="3"/>
  <c r="R77" i="3"/>
  <c r="R69" i="3"/>
  <c r="R65" i="3"/>
  <c r="R49" i="3"/>
  <c r="R41" i="3"/>
  <c r="R33" i="3"/>
  <c r="R25" i="3"/>
  <c r="R158" i="3"/>
  <c r="R66" i="3"/>
  <c r="R58" i="3"/>
  <c r="R172" i="3"/>
  <c r="R160" i="3"/>
  <c r="R144" i="3"/>
  <c r="R136" i="3"/>
  <c r="R132" i="3"/>
  <c r="R128" i="3"/>
  <c r="R124" i="3"/>
  <c r="R112" i="3"/>
  <c r="R109" i="3"/>
  <c r="R104" i="3"/>
  <c r="R97" i="3"/>
  <c r="R92" i="3"/>
  <c r="R85" i="3"/>
  <c r="R80" i="3"/>
  <c r="R76" i="3"/>
  <c r="R64" i="3"/>
  <c r="R57" i="3"/>
  <c r="R48" i="3"/>
  <c r="R40" i="3"/>
  <c r="R32" i="3"/>
  <c r="R24" i="3"/>
  <c r="R27" i="3"/>
  <c r="R115" i="3"/>
  <c r="R50" i="3"/>
  <c r="R147" i="3"/>
  <c r="R143" i="3"/>
  <c r="R135" i="3"/>
  <c r="R127" i="3"/>
  <c r="R123" i="3"/>
  <c r="R119" i="3"/>
  <c r="R100" i="3"/>
  <c r="R88" i="3"/>
  <c r="R75" i="3"/>
  <c r="R68" i="3"/>
  <c r="R63" i="3"/>
  <c r="R54" i="3"/>
  <c r="R47" i="3"/>
  <c r="R39" i="3"/>
  <c r="R31" i="3"/>
  <c r="R56" i="3"/>
  <c r="R51" i="3"/>
  <c r="R90" i="3"/>
  <c r="R34" i="3"/>
  <c r="D31" i="5"/>
  <c r="D72" i="88"/>
  <c r="L16" i="88"/>
  <c r="H69" i="77"/>
  <c r="N16" i="77"/>
  <c r="D75" i="74"/>
  <c r="L71" i="74"/>
  <c r="N71" i="74" s="1"/>
  <c r="T27" i="49"/>
  <c r="Z18" i="49"/>
  <c r="H73" i="33"/>
  <c r="L16" i="89"/>
  <c r="D23" i="89"/>
  <c r="Z21" i="87"/>
  <c r="T82" i="87"/>
  <c r="F75" i="87"/>
  <c r="F58" i="87"/>
  <c r="F55" i="87"/>
  <c r="F50" i="87"/>
  <c r="F47" i="87"/>
  <c r="F43" i="87"/>
  <c r="F31" i="87"/>
  <c r="F42" i="87"/>
  <c r="F30" i="87"/>
  <c r="F17" i="87"/>
  <c r="F80" i="87"/>
  <c r="F74" i="87"/>
  <c r="F73" i="87"/>
  <c r="F68" i="87"/>
  <c r="F60" i="87"/>
  <c r="F57" i="87"/>
  <c r="F52" i="87"/>
  <c r="F49" i="87"/>
  <c r="F41" i="87"/>
  <c r="F29" i="87"/>
  <c r="F24" i="87"/>
  <c r="F78" i="87"/>
  <c r="F72" i="87"/>
  <c r="F63" i="87"/>
  <c r="F71" i="87"/>
  <c r="F67" i="87"/>
  <c r="F59" i="87"/>
  <c r="F54" i="87"/>
  <c r="F51" i="87"/>
  <c r="F46" i="87"/>
  <c r="F39" i="87"/>
  <c r="F27" i="87"/>
  <c r="D21" i="87"/>
  <c r="F21" i="87" s="1"/>
  <c r="F19" i="87"/>
  <c r="F76" i="87"/>
  <c r="F25" i="87"/>
  <c r="F77" i="87"/>
  <c r="F53" i="87"/>
  <c r="F37" i="87"/>
  <c r="F36" i="87"/>
  <c r="F35" i="87"/>
  <c r="F26" i="87"/>
  <c r="F23" i="87"/>
  <c r="F69" i="87"/>
  <c r="F65" i="87"/>
  <c r="F61" i="87"/>
  <c r="F45" i="87"/>
  <c r="F44" i="87"/>
  <c r="F38" i="87"/>
  <c r="F70" i="87"/>
  <c r="F66" i="87"/>
  <c r="F62" i="87"/>
  <c r="F84" i="87"/>
  <c r="F48" i="87"/>
  <c r="F32" i="87"/>
  <c r="F18" i="87"/>
  <c r="L12" i="87"/>
  <c r="F64" i="87"/>
  <c r="F33" i="87"/>
  <c r="F28" i="87"/>
  <c r="F34" i="87"/>
  <c r="F56" i="87"/>
  <c r="F40" i="87"/>
  <c r="H34" i="84"/>
  <c r="T54" i="85"/>
  <c r="Z16" i="85"/>
  <c r="H94" i="80"/>
  <c r="F84" i="75"/>
  <c r="F88" i="75"/>
  <c r="F82" i="75"/>
  <c r="F69" i="75"/>
  <c r="F76" i="75"/>
  <c r="F72" i="75"/>
  <c r="F65" i="75"/>
  <c r="F81" i="75"/>
  <c r="F78" i="75"/>
  <c r="F77" i="75"/>
  <c r="F39" i="75"/>
  <c r="F34" i="75"/>
  <c r="F73" i="75"/>
  <c r="F66" i="75"/>
  <c r="F64" i="75"/>
  <c r="F61" i="75"/>
  <c r="F75" i="75"/>
  <c r="F70" i="75"/>
  <c r="F60" i="75"/>
  <c r="F55" i="75"/>
  <c r="F52" i="75"/>
  <c r="F47" i="75"/>
  <c r="F44" i="75"/>
  <c r="F36" i="75"/>
  <c r="F32" i="75"/>
  <c r="F23" i="75"/>
  <c r="F71" i="75"/>
  <c r="F63" i="75"/>
  <c r="F43" i="75"/>
  <c r="F35" i="75"/>
  <c r="F31" i="75"/>
  <c r="F38" i="75"/>
  <c r="F33" i="75"/>
  <c r="F53" i="75"/>
  <c r="F37" i="75"/>
  <c r="F67" i="75"/>
  <c r="F51" i="75"/>
  <c r="F50" i="75"/>
  <c r="F48" i="75"/>
  <c r="F19" i="75"/>
  <c r="F18" i="75"/>
  <c r="F80" i="75"/>
  <c r="F79" i="75"/>
  <c r="F49" i="75"/>
  <c r="F46" i="75"/>
  <c r="F42" i="75"/>
  <c r="F41" i="75"/>
  <c r="F40" i="75"/>
  <c r="F21" i="75"/>
  <c r="F17" i="75"/>
  <c r="F68" i="75"/>
  <c r="F27" i="75"/>
  <c r="F26" i="75"/>
  <c r="D21" i="75"/>
  <c r="F74" i="75"/>
  <c r="F62" i="75"/>
  <c r="F59" i="75"/>
  <c r="F58" i="75"/>
  <c r="F56" i="75"/>
  <c r="F29" i="75"/>
  <c r="F24" i="75"/>
  <c r="L12" i="75"/>
  <c r="N12" i="75" s="1"/>
  <c r="F57" i="75"/>
  <c r="F54" i="75"/>
  <c r="F30" i="75"/>
  <c r="F28" i="75"/>
  <c r="F45" i="75"/>
  <c r="F25" i="75"/>
  <c r="H62" i="72"/>
  <c r="H69" i="69"/>
  <c r="T58" i="72"/>
  <c r="X58" i="72" s="1"/>
  <c r="Z19" i="72"/>
  <c r="X19" i="72"/>
  <c r="T99" i="68"/>
  <c r="R52" i="69"/>
  <c r="R36" i="69"/>
  <c r="R32" i="69"/>
  <c r="R24" i="69"/>
  <c r="R17" i="69"/>
  <c r="R71" i="69"/>
  <c r="R66" i="69"/>
  <c r="R55" i="69"/>
  <c r="R51" i="69"/>
  <c r="R62" i="69"/>
  <c r="R54" i="69"/>
  <c r="R42" i="69"/>
  <c r="R34" i="69"/>
  <c r="R30" i="69"/>
  <c r="R23" i="69"/>
  <c r="R61" i="69"/>
  <c r="R57" i="69"/>
  <c r="R50" i="69"/>
  <c r="R45" i="69"/>
  <c r="R41" i="69"/>
  <c r="R29" i="69"/>
  <c r="R64" i="69"/>
  <c r="R60" i="69"/>
  <c r="R53" i="69"/>
  <c r="R67" i="69"/>
  <c r="R59" i="69"/>
  <c r="R56" i="69"/>
  <c r="R47" i="69"/>
  <c r="R44" i="69"/>
  <c r="R39" i="69"/>
  <c r="R27" i="69"/>
  <c r="R63" i="69"/>
  <c r="R38" i="69"/>
  <c r="R26" i="69"/>
  <c r="R18" i="69"/>
  <c r="X12" i="69"/>
  <c r="Z12" i="69" s="1"/>
  <c r="R58" i="69"/>
  <c r="R49" i="69"/>
  <c r="R46" i="69"/>
  <c r="R37" i="69"/>
  <c r="R25" i="69"/>
  <c r="R22" i="69"/>
  <c r="R33" i="69"/>
  <c r="P20" i="69"/>
  <c r="R48" i="69"/>
  <c r="R43" i="69"/>
  <c r="R35" i="69"/>
  <c r="R31" i="69"/>
  <c r="R40" i="69"/>
  <c r="R28" i="69"/>
  <c r="R94" i="68"/>
  <c r="R87" i="68"/>
  <c r="R83" i="68"/>
  <c r="R79" i="68"/>
  <c r="R76" i="68"/>
  <c r="R71" i="68"/>
  <c r="R55" i="68"/>
  <c r="R48" i="68"/>
  <c r="R43" i="68"/>
  <c r="P35" i="68"/>
  <c r="R35" i="68" s="1"/>
  <c r="R27" i="68"/>
  <c r="R19" i="68"/>
  <c r="R101" i="68"/>
  <c r="R82" i="68"/>
  <c r="R78" i="68"/>
  <c r="R73" i="68"/>
  <c r="R70" i="68"/>
  <c r="R53" i="68"/>
  <c r="R41" i="68"/>
  <c r="R33" i="68"/>
  <c r="R25" i="68"/>
  <c r="R18" i="68"/>
  <c r="R92" i="68"/>
  <c r="R89" i="68"/>
  <c r="R85" i="68"/>
  <c r="R64" i="68"/>
  <c r="R61" i="68"/>
  <c r="R52" i="68"/>
  <c r="R40" i="68"/>
  <c r="R37" i="68"/>
  <c r="R32" i="68"/>
  <c r="R24" i="68"/>
  <c r="R91" i="68"/>
  <c r="R66" i="68"/>
  <c r="R63" i="68"/>
  <c r="R58" i="68"/>
  <c r="R50" i="68"/>
  <c r="R46" i="68"/>
  <c r="R30" i="68"/>
  <c r="R22" i="68"/>
  <c r="R97" i="68"/>
  <c r="R81" i="68"/>
  <c r="R77" i="68"/>
  <c r="R74" i="68"/>
  <c r="R69" i="68"/>
  <c r="R57" i="68"/>
  <c r="R49" i="68"/>
  <c r="R45" i="68"/>
  <c r="R38" i="68"/>
  <c r="R29" i="68"/>
  <c r="R21" i="68"/>
  <c r="R88" i="68"/>
  <c r="R84" i="68"/>
  <c r="R80" i="68"/>
  <c r="R68" i="68"/>
  <c r="R65" i="68"/>
  <c r="R60" i="68"/>
  <c r="R56" i="68"/>
  <c r="R44" i="68"/>
  <c r="R28" i="68"/>
  <c r="R20" i="68"/>
  <c r="X12" i="68"/>
  <c r="Z12" i="68" s="1"/>
  <c r="R95" i="68"/>
  <c r="R72" i="68"/>
  <c r="R96" i="68"/>
  <c r="R54" i="68"/>
  <c r="R59" i="68"/>
  <c r="R51" i="68"/>
  <c r="R47" i="68"/>
  <c r="R67" i="68"/>
  <c r="R39" i="68"/>
  <c r="R26" i="68"/>
  <c r="R86" i="68"/>
  <c r="R62" i="68"/>
  <c r="R42" i="68"/>
  <c r="R90" i="68"/>
  <c r="R31" i="68"/>
  <c r="R23" i="68"/>
  <c r="R75" i="68"/>
  <c r="D87" i="62"/>
  <c r="L16" i="62"/>
  <c r="T60" i="61"/>
  <c r="Z56" i="61"/>
  <c r="L16" i="60"/>
  <c r="D22" i="54"/>
  <c r="L16" i="54"/>
  <c r="J35" i="68"/>
  <c r="T27" i="53"/>
  <c r="X27" i="53" s="1"/>
  <c r="Z18" i="53"/>
  <c r="D66" i="56"/>
  <c r="L62" i="56"/>
  <c r="N62" i="56" s="1"/>
  <c r="P27" i="50"/>
  <c r="X18" i="50"/>
  <c r="T62" i="56"/>
  <c r="Z16" i="56"/>
  <c r="P62" i="56"/>
  <c r="X16" i="56"/>
  <c r="P31" i="47"/>
  <c r="N21" i="45"/>
  <c r="H89" i="45"/>
  <c r="T27" i="50"/>
  <c r="Z18" i="50"/>
  <c r="L18" i="38"/>
  <c r="D27" i="38"/>
  <c r="Z23" i="39"/>
  <c r="T102" i="39"/>
  <c r="X18" i="32"/>
  <c r="P27" i="28"/>
  <c r="X18" i="28"/>
  <c r="T85" i="27"/>
  <c r="H81" i="21"/>
  <c r="T147" i="18"/>
  <c r="X18" i="20"/>
  <c r="P27" i="20"/>
  <c r="H27" i="13"/>
  <c r="N18" i="13"/>
  <c r="F145" i="18"/>
  <c r="F129" i="18"/>
  <c r="F106" i="18"/>
  <c r="F101" i="18"/>
  <c r="F98" i="18"/>
  <c r="F89" i="18"/>
  <c r="F86" i="18"/>
  <c r="F77" i="18"/>
  <c r="F74" i="18"/>
  <c r="F70" i="18"/>
  <c r="F58" i="18"/>
  <c r="F42" i="18"/>
  <c r="F34" i="18"/>
  <c r="F26" i="18"/>
  <c r="F142" i="18"/>
  <c r="F136" i="18"/>
  <c r="F132" i="18"/>
  <c r="F69" i="18"/>
  <c r="F57" i="18"/>
  <c r="F41" i="18"/>
  <c r="F33" i="18"/>
  <c r="F25" i="18"/>
  <c r="F149" i="18"/>
  <c r="F144" i="18"/>
  <c r="F135" i="18"/>
  <c r="F131" i="18"/>
  <c r="F127" i="18"/>
  <c r="F122" i="18"/>
  <c r="F110" i="18"/>
  <c r="F94" i="18"/>
  <c r="F82" i="18"/>
  <c r="F67" i="18"/>
  <c r="F62" i="18"/>
  <c r="F55" i="18"/>
  <c r="F39" i="18"/>
  <c r="F31" i="18"/>
  <c r="F23" i="18"/>
  <c r="F143" i="18"/>
  <c r="F124" i="18"/>
  <c r="F120" i="18"/>
  <c r="F116" i="18"/>
  <c r="F112" i="18"/>
  <c r="F108" i="18"/>
  <c r="F104" i="18"/>
  <c r="F99" i="18"/>
  <c r="F96" i="18"/>
  <c r="F92" i="18"/>
  <c r="F87" i="18"/>
  <c r="F84" i="18"/>
  <c r="F80" i="18"/>
  <c r="F75" i="18"/>
  <c r="F72" i="18"/>
  <c r="F64" i="18"/>
  <c r="F60" i="18"/>
  <c r="F52" i="18"/>
  <c r="F44" i="18"/>
  <c r="F36" i="18"/>
  <c r="F28" i="18"/>
  <c r="F20" i="18"/>
  <c r="F140" i="18"/>
  <c r="F123" i="18"/>
  <c r="F111" i="18"/>
  <c r="F107" i="18"/>
  <c r="F95" i="18"/>
  <c r="F83" i="18"/>
  <c r="F71" i="18"/>
  <c r="F63" i="18"/>
  <c r="F59" i="18"/>
  <c r="F50" i="18"/>
  <c r="F43" i="18"/>
  <c r="F35" i="18"/>
  <c r="F27" i="18"/>
  <c r="F128" i="18"/>
  <c r="F121" i="18"/>
  <c r="F102" i="18"/>
  <c r="F81" i="18"/>
  <c r="F73" i="18"/>
  <c r="F68" i="18"/>
  <c r="F56" i="18"/>
  <c r="F53" i="18"/>
  <c r="F46" i="18"/>
  <c r="F40" i="18"/>
  <c r="F30" i="18"/>
  <c r="F24" i="18"/>
  <c r="F125" i="18"/>
  <c r="F90" i="18"/>
  <c r="F65" i="18"/>
  <c r="L12" i="18"/>
  <c r="N12" i="18" s="1"/>
  <c r="F133" i="18"/>
  <c r="F126" i="18"/>
  <c r="F117" i="18"/>
  <c r="F103" i="18"/>
  <c r="F76" i="18"/>
  <c r="F66" i="18"/>
  <c r="F61" i="18"/>
  <c r="F54" i="18"/>
  <c r="F19" i="18"/>
  <c r="F137" i="18"/>
  <c r="F134" i="18"/>
  <c r="F130" i="18"/>
  <c r="F118" i="18"/>
  <c r="F113" i="18"/>
  <c r="F91" i="18"/>
  <c r="D48" i="18"/>
  <c r="F37" i="18"/>
  <c r="F21" i="18"/>
  <c r="F139" i="18"/>
  <c r="F119" i="18"/>
  <c r="F114" i="18"/>
  <c r="F109" i="18"/>
  <c r="F105" i="18"/>
  <c r="F97" i="18"/>
  <c r="F78" i="18"/>
  <c r="F38" i="18"/>
  <c r="F32" i="18"/>
  <c r="F22" i="18"/>
  <c r="F141" i="18"/>
  <c r="F85" i="18"/>
  <c r="F51" i="18"/>
  <c r="F115" i="18"/>
  <c r="F100" i="18"/>
  <c r="F93" i="18"/>
  <c r="F79" i="18"/>
  <c r="F29" i="18"/>
  <c r="F45" i="18"/>
  <c r="F88" i="18"/>
  <c r="F66" i="33"/>
  <c r="F61" i="33"/>
  <c r="F57" i="33"/>
  <c r="F48" i="33"/>
  <c r="F45" i="33"/>
  <c r="F41" i="33"/>
  <c r="F29" i="33"/>
  <c r="F64" i="33"/>
  <c r="F60" i="33"/>
  <c r="F40" i="33"/>
  <c r="F28" i="33"/>
  <c r="F23" i="33"/>
  <c r="F59" i="33"/>
  <c r="F50" i="33"/>
  <c r="F47" i="33"/>
  <c r="F39" i="33"/>
  <c r="F27" i="33"/>
  <c r="F20" i="33"/>
  <c r="F67" i="33"/>
  <c r="F53" i="33"/>
  <c r="F38" i="33"/>
  <c r="F33" i="33"/>
  <c r="F26" i="33"/>
  <c r="D20" i="33"/>
  <c r="F18" i="33"/>
  <c r="L12" i="33"/>
  <c r="N12" i="33" s="1"/>
  <c r="F56" i="33"/>
  <c r="F49" i="33"/>
  <c r="F44" i="33"/>
  <c r="F37" i="33"/>
  <c r="F25" i="33"/>
  <c r="F71" i="33"/>
  <c r="F58" i="33"/>
  <c r="F55" i="33"/>
  <c r="F51" i="33"/>
  <c r="F46" i="33"/>
  <c r="F43" i="33"/>
  <c r="F35" i="33"/>
  <c r="F31" i="33"/>
  <c r="F22" i="33"/>
  <c r="F62" i="33"/>
  <c r="F54" i="33"/>
  <c r="F42" i="33"/>
  <c r="F34" i="33"/>
  <c r="F30" i="33"/>
  <c r="F17" i="33"/>
  <c r="F24" i="33"/>
  <c r="F52" i="33"/>
  <c r="F36" i="33"/>
  <c r="F32" i="33"/>
  <c r="F63" i="33"/>
  <c r="X18" i="16"/>
  <c r="P27" i="16"/>
  <c r="T81" i="21"/>
  <c r="H27" i="11"/>
  <c r="N18" i="11"/>
  <c r="T27" i="7"/>
  <c r="Z18" i="7"/>
  <c r="P27" i="4"/>
  <c r="X18" i="4"/>
  <c r="F70" i="24"/>
  <c r="F63" i="24"/>
  <c r="F40" i="24"/>
  <c r="F32" i="24"/>
  <c r="F28" i="24"/>
  <c r="F58" i="24"/>
  <c r="F54" i="24"/>
  <c r="F51" i="24"/>
  <c r="F46" i="24"/>
  <c r="F43" i="24"/>
  <c r="F39" i="24"/>
  <c r="F27" i="24"/>
  <c r="F22" i="24"/>
  <c r="F57" i="24"/>
  <c r="F53" i="24"/>
  <c r="F48" i="24"/>
  <c r="F45" i="24"/>
  <c r="F37" i="24"/>
  <c r="F25" i="24"/>
  <c r="D19" i="24"/>
  <c r="F17" i="24"/>
  <c r="F34" i="24"/>
  <c r="F30" i="24"/>
  <c r="F21" i="24"/>
  <c r="F52" i="24"/>
  <c r="F49" i="24"/>
  <c r="F44" i="24"/>
  <c r="F41" i="24"/>
  <c r="F33" i="24"/>
  <c r="F29" i="24"/>
  <c r="F16" i="24"/>
  <c r="F61" i="24"/>
  <c r="F42" i="24"/>
  <c r="F24" i="24"/>
  <c r="F50" i="24"/>
  <c r="F38" i="24"/>
  <c r="F19" i="24"/>
  <c r="L12" i="24"/>
  <c r="N12" i="24" s="1"/>
  <c r="F35" i="24"/>
  <c r="F36" i="24"/>
  <c r="F26" i="24"/>
  <c r="F65" i="24"/>
  <c r="F55" i="24"/>
  <c r="F47" i="24"/>
  <c r="F56" i="24"/>
  <c r="F67" i="24"/>
  <c r="F59" i="24"/>
  <c r="F31" i="24"/>
  <c r="F23" i="24"/>
  <c r="T165" i="3"/>
  <c r="H169" i="3"/>
  <c r="L18" i="5"/>
  <c r="F54" i="3"/>
  <c r="L16" i="64"/>
  <c r="D28" i="64"/>
  <c r="P77" i="58"/>
  <c r="X73" i="58"/>
  <c r="L18" i="40"/>
  <c r="F100" i="39"/>
  <c r="F98" i="39"/>
  <c r="F85" i="39"/>
  <c r="F96" i="39"/>
  <c r="F84" i="39"/>
  <c r="F79" i="39"/>
  <c r="F76" i="39"/>
  <c r="F71" i="39"/>
  <c r="F68" i="39"/>
  <c r="F90" i="39"/>
  <c r="F83" i="39"/>
  <c r="F75" i="39"/>
  <c r="F67" i="39"/>
  <c r="F62" i="39"/>
  <c r="F59" i="39"/>
  <c r="F43" i="39"/>
  <c r="F31" i="39"/>
  <c r="F26" i="39"/>
  <c r="F104" i="39"/>
  <c r="F99" i="39"/>
  <c r="F93" i="39"/>
  <c r="F82" i="39"/>
  <c r="F78" i="39"/>
  <c r="F74" i="39"/>
  <c r="F70" i="39"/>
  <c r="F89" i="39"/>
  <c r="F81" i="39"/>
  <c r="F73" i="39"/>
  <c r="F64" i="39"/>
  <c r="F61" i="39"/>
  <c r="F56" i="39"/>
  <c r="F41" i="39"/>
  <c r="F36" i="39"/>
  <c r="F29" i="39"/>
  <c r="F95" i="39"/>
  <c r="F92" i="39"/>
  <c r="F88" i="39"/>
  <c r="F80" i="39"/>
  <c r="F72" i="39"/>
  <c r="F52" i="39"/>
  <c r="F91" i="39"/>
  <c r="F87" i="39"/>
  <c r="F66" i="39"/>
  <c r="F63" i="39"/>
  <c r="F58" i="39"/>
  <c r="F55" i="39"/>
  <c r="F39" i="39"/>
  <c r="F35" i="39"/>
  <c r="F27" i="39"/>
  <c r="F65" i="39"/>
  <c r="F57" i="39"/>
  <c r="F53" i="39"/>
  <c r="F51" i="39"/>
  <c r="F30" i="39"/>
  <c r="F19" i="39"/>
  <c r="F69" i="39"/>
  <c r="F49" i="39"/>
  <c r="F40" i="39"/>
  <c r="F25" i="39"/>
  <c r="F48" i="39"/>
  <c r="F42" i="39"/>
  <c r="F34" i="39"/>
  <c r="F33" i="39"/>
  <c r="F32" i="39"/>
  <c r="F94" i="39"/>
  <c r="F38" i="39"/>
  <c r="F37" i="39"/>
  <c r="F28" i="39"/>
  <c r="D23" i="39"/>
  <c r="F21" i="39"/>
  <c r="F50" i="39"/>
  <c r="F20" i="39"/>
  <c r="L12" i="39"/>
  <c r="N12" i="39" s="1"/>
  <c r="F45" i="39"/>
  <c r="F60" i="39"/>
  <c r="F46" i="39"/>
  <c r="F47" i="39"/>
  <c r="F54" i="39"/>
  <c r="F23" i="39"/>
  <c r="F77" i="39"/>
  <c r="F18" i="39"/>
  <c r="F86" i="39"/>
  <c r="F44" i="39"/>
  <c r="P31" i="31"/>
  <c r="H112" i="30"/>
  <c r="D69" i="90"/>
  <c r="L17" i="90"/>
  <c r="N17" i="90" s="1"/>
  <c r="F17" i="90"/>
  <c r="N16" i="88"/>
  <c r="H72" i="88"/>
  <c r="H48" i="82"/>
  <c r="N16" i="82"/>
  <c r="H80" i="81"/>
  <c r="N19" i="81"/>
  <c r="T28" i="78"/>
  <c r="Z16" i="78"/>
  <c r="D80" i="81"/>
  <c r="L19" i="81"/>
  <c r="T84" i="81"/>
  <c r="V80" i="81"/>
  <c r="N17" i="76"/>
  <c r="H68" i="76"/>
  <c r="T29" i="73"/>
  <c r="T69" i="69"/>
  <c r="V20" i="69"/>
  <c r="V82" i="70"/>
  <c r="F66" i="69"/>
  <c r="T24" i="66"/>
  <c r="X24" i="66" s="1"/>
  <c r="Z16" i="66"/>
  <c r="X19" i="63"/>
  <c r="Z19" i="63" s="1"/>
  <c r="T63" i="63"/>
  <c r="X63" i="63" s="1"/>
  <c r="D63" i="59"/>
  <c r="L59" i="59"/>
  <c r="N59" i="59" s="1"/>
  <c r="Z16" i="57"/>
  <c r="T63" i="57"/>
  <c r="R73" i="51"/>
  <c r="P31" i="53"/>
  <c r="F73" i="51"/>
  <c r="T27" i="41"/>
  <c r="Z18" i="41"/>
  <c r="R69" i="45"/>
  <c r="R65" i="45"/>
  <c r="R62" i="45"/>
  <c r="R57" i="45"/>
  <c r="R54" i="45"/>
  <c r="R49" i="45"/>
  <c r="R46" i="45"/>
  <c r="R41" i="45"/>
  <c r="R29" i="45"/>
  <c r="P21" i="45"/>
  <c r="R87" i="45"/>
  <c r="R80" i="45"/>
  <c r="R73" i="45"/>
  <c r="R40" i="45"/>
  <c r="R28" i="45"/>
  <c r="R83" i="45"/>
  <c r="R79" i="45"/>
  <c r="R68" i="45"/>
  <c r="R64" i="45"/>
  <c r="R59" i="45"/>
  <c r="R56" i="45"/>
  <c r="R51" i="45"/>
  <c r="R48" i="45"/>
  <c r="R39" i="45"/>
  <c r="R27" i="45"/>
  <c r="R19" i="45"/>
  <c r="R82" i="45"/>
  <c r="R78" i="45"/>
  <c r="R38" i="45"/>
  <c r="R34" i="45"/>
  <c r="R26" i="45"/>
  <c r="R23" i="45"/>
  <c r="R18" i="45"/>
  <c r="X12" i="45"/>
  <c r="R91" i="45"/>
  <c r="R85" i="45"/>
  <c r="R77" i="45"/>
  <c r="R61" i="45"/>
  <c r="R58" i="45"/>
  <c r="R53" i="45"/>
  <c r="R50" i="45"/>
  <c r="R45" i="45"/>
  <c r="R37" i="45"/>
  <c r="R33" i="45"/>
  <c r="R25" i="45"/>
  <c r="R81" i="45"/>
  <c r="R76" i="45"/>
  <c r="R72" i="45"/>
  <c r="R44" i="45"/>
  <c r="R36" i="45"/>
  <c r="R32" i="45"/>
  <c r="R17" i="45"/>
  <c r="R84" i="45"/>
  <c r="R75" i="45"/>
  <c r="R71" i="45"/>
  <c r="R67" i="45"/>
  <c r="R63" i="45"/>
  <c r="R60" i="45"/>
  <c r="R55" i="45"/>
  <c r="R52" i="45"/>
  <c r="R47" i="45"/>
  <c r="R43" i="45"/>
  <c r="R31" i="45"/>
  <c r="R24" i="45"/>
  <c r="R74" i="45"/>
  <c r="R21" i="45"/>
  <c r="R66" i="45"/>
  <c r="R30" i="45"/>
  <c r="R42" i="45"/>
  <c r="R70" i="45"/>
  <c r="R35" i="45"/>
  <c r="P31" i="37"/>
  <c r="H27" i="29"/>
  <c r="N18" i="29"/>
  <c r="P27" i="35"/>
  <c r="X18" i="35"/>
  <c r="R98" i="39"/>
  <c r="T27" i="20"/>
  <c r="Z18" i="20"/>
  <c r="T27" i="25"/>
  <c r="Z18" i="25"/>
  <c r="T27" i="13"/>
  <c r="Z18" i="13"/>
  <c r="Z18" i="31"/>
  <c r="T27" i="31"/>
  <c r="X18" i="13"/>
  <c r="P27" i="13"/>
  <c r="T27" i="8"/>
  <c r="Z18" i="8"/>
  <c r="L18" i="7"/>
  <c r="D27" i="7"/>
  <c r="P147" i="18"/>
  <c r="X48" i="18"/>
  <c r="Z48" i="18" s="1"/>
  <c r="X18" i="31"/>
  <c r="T95" i="9"/>
  <c r="Z16" i="9"/>
  <c r="H31" i="6"/>
  <c r="N26" i="6"/>
  <c r="F157" i="3"/>
  <c r="P31" i="32"/>
  <c r="T31" i="93"/>
  <c r="Z27" i="93"/>
  <c r="P73" i="86"/>
  <c r="X16" i="86"/>
  <c r="P30" i="83"/>
  <c r="X26" i="83"/>
  <c r="P48" i="82"/>
  <c r="X16" i="82"/>
  <c r="D58" i="85"/>
  <c r="L54" i="85"/>
  <c r="T68" i="76"/>
  <c r="Z17" i="76"/>
  <c r="H36" i="93"/>
  <c r="N36" i="93" s="1"/>
  <c r="N31" i="93"/>
  <c r="H33" i="79"/>
  <c r="F83" i="80"/>
  <c r="F75" i="80"/>
  <c r="F87" i="80"/>
  <c r="F79" i="80"/>
  <c r="F67" i="80"/>
  <c r="F63" i="80"/>
  <c r="F58" i="80"/>
  <c r="F55" i="80"/>
  <c r="F39" i="80"/>
  <c r="F35" i="80"/>
  <c r="F54" i="80"/>
  <c r="F49" i="80"/>
  <c r="F46" i="80"/>
  <c r="F38" i="80"/>
  <c r="F34" i="80"/>
  <c r="F25" i="80"/>
  <c r="F88" i="80"/>
  <c r="F85" i="80"/>
  <c r="F66" i="80"/>
  <c r="F65" i="80"/>
  <c r="F60" i="80"/>
  <c r="F57" i="80"/>
  <c r="F45" i="80"/>
  <c r="F37" i="80"/>
  <c r="F33" i="80"/>
  <c r="F80" i="80"/>
  <c r="F76" i="80"/>
  <c r="F51" i="80"/>
  <c r="F48" i="80"/>
  <c r="F44" i="80"/>
  <c r="F32" i="80"/>
  <c r="F92" i="80"/>
  <c r="F84" i="80"/>
  <c r="F82" i="80"/>
  <c r="F81" i="80"/>
  <c r="F78" i="80"/>
  <c r="F77" i="80"/>
  <c r="F74" i="80"/>
  <c r="F62" i="80"/>
  <c r="F59" i="80"/>
  <c r="F68" i="80"/>
  <c r="F64" i="80"/>
  <c r="F61" i="80"/>
  <c r="F56" i="80"/>
  <c r="F41" i="80"/>
  <c r="F31" i="80"/>
  <c r="F23" i="80"/>
  <c r="F19" i="80"/>
  <c r="F71" i="80"/>
  <c r="F53" i="80"/>
  <c r="F40" i="80"/>
  <c r="D23" i="80"/>
  <c r="F18" i="80"/>
  <c r="F50" i="80"/>
  <c r="L12" i="80"/>
  <c r="N12" i="80" s="1"/>
  <c r="F72" i="80"/>
  <c r="F47" i="80"/>
  <c r="F28" i="80"/>
  <c r="F27" i="80"/>
  <c r="F26" i="80"/>
  <c r="F73" i="80"/>
  <c r="F69" i="80"/>
  <c r="F29" i="80"/>
  <c r="F42" i="80"/>
  <c r="F43" i="80"/>
  <c r="F36" i="80"/>
  <c r="F30" i="80"/>
  <c r="F52" i="80"/>
  <c r="F70" i="80"/>
  <c r="F20" i="80"/>
  <c r="F21" i="80"/>
  <c r="X17" i="76"/>
  <c r="P68" i="76"/>
  <c r="P25" i="73"/>
  <c r="X19" i="73"/>
  <c r="Z19" i="73" s="1"/>
  <c r="R74" i="75"/>
  <c r="R70" i="75"/>
  <c r="R63" i="75"/>
  <c r="R84" i="75"/>
  <c r="R77" i="75"/>
  <c r="R73" i="75"/>
  <c r="R66" i="75"/>
  <c r="R88" i="75"/>
  <c r="R82" i="75"/>
  <c r="R71" i="75"/>
  <c r="R69" i="75"/>
  <c r="R43" i="75"/>
  <c r="R35" i="75"/>
  <c r="R62" i="75"/>
  <c r="R59" i="75"/>
  <c r="R79" i="75"/>
  <c r="R68" i="75"/>
  <c r="R67" i="75"/>
  <c r="R61" i="75"/>
  <c r="R56" i="75"/>
  <c r="R53" i="75"/>
  <c r="R48" i="75"/>
  <c r="R45" i="75"/>
  <c r="R40" i="75"/>
  <c r="R28" i="75"/>
  <c r="R78" i="75"/>
  <c r="R76" i="75"/>
  <c r="R39" i="75"/>
  <c r="R27" i="75"/>
  <c r="R19" i="75"/>
  <c r="R81" i="75"/>
  <c r="R64" i="75"/>
  <c r="R46" i="75"/>
  <c r="R42" i="75"/>
  <c r="R41" i="75"/>
  <c r="R26" i="75"/>
  <c r="P21" i="75"/>
  <c r="R65" i="75"/>
  <c r="R25" i="75"/>
  <c r="R57" i="75"/>
  <c r="R34" i="75"/>
  <c r="R30" i="75"/>
  <c r="R29" i="75"/>
  <c r="R24" i="75"/>
  <c r="X12" i="75"/>
  <c r="Z12" i="75" s="1"/>
  <c r="R60" i="75"/>
  <c r="R58" i="75"/>
  <c r="R55" i="75"/>
  <c r="R44" i="75"/>
  <c r="R31" i="75"/>
  <c r="R54" i="75"/>
  <c r="R33" i="75"/>
  <c r="R32" i="75"/>
  <c r="R23" i="75"/>
  <c r="R52" i="75"/>
  <c r="R51" i="75"/>
  <c r="R49" i="75"/>
  <c r="R18" i="75"/>
  <c r="R17" i="75"/>
  <c r="R80" i="75"/>
  <c r="R50" i="75"/>
  <c r="R47" i="75"/>
  <c r="R21" i="75"/>
  <c r="R36" i="75"/>
  <c r="R37" i="75"/>
  <c r="R72" i="75"/>
  <c r="R38" i="75"/>
  <c r="R75" i="75"/>
  <c r="T75" i="74"/>
  <c r="R75" i="70"/>
  <c r="R69" i="70"/>
  <c r="R49" i="70"/>
  <c r="R80" i="70"/>
  <c r="R68" i="70"/>
  <c r="R65" i="70"/>
  <c r="R60" i="70"/>
  <c r="R57" i="70"/>
  <c r="R74" i="70"/>
  <c r="R67" i="70"/>
  <c r="R62" i="70"/>
  <c r="R59" i="70"/>
  <c r="R54" i="70"/>
  <c r="R76" i="70"/>
  <c r="R64" i="70"/>
  <c r="R61" i="70"/>
  <c r="R56" i="70"/>
  <c r="R52" i="70"/>
  <c r="R66" i="70"/>
  <c r="R55" i="70"/>
  <c r="R45" i="70"/>
  <c r="R41" i="70"/>
  <c r="R25" i="70"/>
  <c r="R18" i="70"/>
  <c r="R71" i="70"/>
  <c r="R40" i="70"/>
  <c r="R33" i="70"/>
  <c r="R24" i="70"/>
  <c r="R44" i="70"/>
  <c r="R39" i="70"/>
  <c r="R23" i="70"/>
  <c r="R73" i="70"/>
  <c r="R63" i="70"/>
  <c r="R51" i="70"/>
  <c r="R38" i="70"/>
  <c r="P30" i="70"/>
  <c r="R30" i="70" s="1"/>
  <c r="R22" i="70"/>
  <c r="R58" i="70"/>
  <c r="R50" i="70"/>
  <c r="R37" i="70"/>
  <c r="R21" i="70"/>
  <c r="R48" i="70"/>
  <c r="R36" i="70"/>
  <c r="R28" i="70"/>
  <c r="R20" i="70"/>
  <c r="X12" i="70"/>
  <c r="Z12" i="70" s="1"/>
  <c r="R70" i="70"/>
  <c r="R47" i="70"/>
  <c r="R43" i="70"/>
  <c r="R35" i="70"/>
  <c r="R32" i="70"/>
  <c r="R27" i="70"/>
  <c r="R19" i="70"/>
  <c r="R53" i="70"/>
  <c r="R46" i="70"/>
  <c r="R42" i="70"/>
  <c r="R34" i="70"/>
  <c r="R26" i="70"/>
  <c r="D69" i="69"/>
  <c r="L20" i="69"/>
  <c r="N20" i="69" s="1"/>
  <c r="D24" i="66"/>
  <c r="L16" i="66"/>
  <c r="F82" i="68"/>
  <c r="F78" i="68"/>
  <c r="F75" i="68"/>
  <c r="F70" i="68"/>
  <c r="F51" i="68"/>
  <c r="F47" i="68"/>
  <c r="F39" i="68"/>
  <c r="F31" i="68"/>
  <c r="F23" i="68"/>
  <c r="F18" i="68"/>
  <c r="F81" i="68"/>
  <c r="F77" i="68"/>
  <c r="F72" i="68"/>
  <c r="F69" i="68"/>
  <c r="F57" i="68"/>
  <c r="F49" i="68"/>
  <c r="F45" i="68"/>
  <c r="F29" i="68"/>
  <c r="F21" i="68"/>
  <c r="F97" i="68"/>
  <c r="F91" i="68"/>
  <c r="F88" i="68"/>
  <c r="F84" i="68"/>
  <c r="F80" i="68"/>
  <c r="F68" i="68"/>
  <c r="F63" i="68"/>
  <c r="F60" i="68"/>
  <c r="F56" i="68"/>
  <c r="F44" i="68"/>
  <c r="F28" i="68"/>
  <c r="F20" i="68"/>
  <c r="L12" i="68"/>
  <c r="N12" i="68" s="1"/>
  <c r="F90" i="68"/>
  <c r="F86" i="68"/>
  <c r="F65" i="68"/>
  <c r="F62" i="68"/>
  <c r="F54" i="68"/>
  <c r="F42" i="68"/>
  <c r="F26" i="68"/>
  <c r="F101" i="68"/>
  <c r="F96" i="68"/>
  <c r="F94" i="68"/>
  <c r="F76" i="68"/>
  <c r="F73" i="68"/>
  <c r="F53" i="68"/>
  <c r="F48" i="68"/>
  <c r="F41" i="68"/>
  <c r="D35" i="68"/>
  <c r="F33" i="68"/>
  <c r="F25" i="68"/>
  <c r="F92" i="68"/>
  <c r="F67" i="68"/>
  <c r="F64" i="68"/>
  <c r="F59" i="68"/>
  <c r="F52" i="68"/>
  <c r="F40" i="68"/>
  <c r="F32" i="68"/>
  <c r="F24" i="68"/>
  <c r="F89" i="68"/>
  <c r="F85" i="68"/>
  <c r="F79" i="68"/>
  <c r="F30" i="68"/>
  <c r="F22" i="68"/>
  <c r="F19" i="68"/>
  <c r="F71" i="68"/>
  <c r="F61" i="68"/>
  <c r="F27" i="68"/>
  <c r="F95" i="68"/>
  <c r="F87" i="68"/>
  <c r="F43" i="68"/>
  <c r="F83" i="68"/>
  <c r="F50" i="68"/>
  <c r="F46" i="68"/>
  <c r="F58" i="68"/>
  <c r="F55" i="68"/>
  <c r="F37" i="68"/>
  <c r="F38" i="68"/>
  <c r="F66" i="68"/>
  <c r="F74" i="68"/>
  <c r="H28" i="66"/>
  <c r="N24" i="66"/>
  <c r="T89" i="65"/>
  <c r="L16" i="61"/>
  <c r="D56" i="61"/>
  <c r="L16" i="57"/>
  <c r="D63" i="57"/>
  <c r="D73" i="58"/>
  <c r="L16" i="58"/>
  <c r="H66" i="56"/>
  <c r="X18" i="49"/>
  <c r="P27" i="49"/>
  <c r="T78" i="51"/>
  <c r="Z30" i="51"/>
  <c r="H69" i="48"/>
  <c r="N17" i="48"/>
  <c r="J17" i="48"/>
  <c r="T27" i="43"/>
  <c r="Z18" i="43"/>
  <c r="P78" i="51"/>
  <c r="X30" i="51"/>
  <c r="L18" i="52"/>
  <c r="D27" i="52"/>
  <c r="T27" i="47"/>
  <c r="Z18" i="47"/>
  <c r="T27" i="52"/>
  <c r="Z18" i="52"/>
  <c r="D64" i="60"/>
  <c r="D78" i="51"/>
  <c r="L30" i="51"/>
  <c r="N30" i="51" s="1"/>
  <c r="L18" i="41"/>
  <c r="D27" i="41"/>
  <c r="Z27" i="44"/>
  <c r="T31" i="44"/>
  <c r="H98" i="42"/>
  <c r="T27" i="37"/>
  <c r="X27" i="37" s="1"/>
  <c r="Z18" i="37"/>
  <c r="H27" i="41"/>
  <c r="N18" i="41"/>
  <c r="T27" i="38"/>
  <c r="Z18" i="38"/>
  <c r="T27" i="35"/>
  <c r="Z18" i="35"/>
  <c r="T27" i="34"/>
  <c r="Z18" i="34"/>
  <c r="J69" i="33"/>
  <c r="H107" i="36"/>
  <c r="D27" i="20"/>
  <c r="L18" i="20"/>
  <c r="X18" i="22"/>
  <c r="P27" i="22"/>
  <c r="L18" i="19"/>
  <c r="D27" i="19"/>
  <c r="H31" i="28"/>
  <c r="J48" i="18"/>
  <c r="F99" i="36"/>
  <c r="F91" i="36"/>
  <c r="F105" i="36"/>
  <c r="F103" i="36"/>
  <c r="F90" i="36"/>
  <c r="F85" i="36"/>
  <c r="F82" i="36"/>
  <c r="F77" i="36"/>
  <c r="F73" i="36"/>
  <c r="F70" i="36"/>
  <c r="F65" i="36"/>
  <c r="F62" i="36"/>
  <c r="F46" i="36"/>
  <c r="F34" i="36"/>
  <c r="F95" i="36"/>
  <c r="F88" i="36"/>
  <c r="F84" i="36"/>
  <c r="F80" i="36"/>
  <c r="F76" i="36"/>
  <c r="F72" i="36"/>
  <c r="F67" i="36"/>
  <c r="F64" i="36"/>
  <c r="F59" i="36"/>
  <c r="F44" i="36"/>
  <c r="F39" i="36"/>
  <c r="F32" i="36"/>
  <c r="F100" i="36"/>
  <c r="F97" i="36"/>
  <c r="F93" i="36"/>
  <c r="F57" i="36"/>
  <c r="F52" i="36"/>
  <c r="F49" i="36"/>
  <c r="F41" i="36"/>
  <c r="F37" i="36"/>
  <c r="F96" i="36"/>
  <c r="F92" i="36"/>
  <c r="F83" i="36"/>
  <c r="F71" i="36"/>
  <c r="F68" i="36"/>
  <c r="F63" i="36"/>
  <c r="F60" i="36"/>
  <c r="F48" i="36"/>
  <c r="F40" i="36"/>
  <c r="F36" i="36"/>
  <c r="F27" i="36"/>
  <c r="F38" i="36"/>
  <c r="F69" i="36"/>
  <c r="F61" i="36"/>
  <c r="F45" i="36"/>
  <c r="F29" i="36"/>
  <c r="F109" i="36"/>
  <c r="F89" i="36"/>
  <c r="F47" i="36"/>
  <c r="F35" i="36"/>
  <c r="F25" i="36"/>
  <c r="F23" i="36"/>
  <c r="F104" i="36"/>
  <c r="F31" i="36"/>
  <c r="F30" i="36"/>
  <c r="D25" i="36"/>
  <c r="F22" i="36"/>
  <c r="F21" i="36"/>
  <c r="F98" i="36"/>
  <c r="F86" i="36"/>
  <c r="F81" i="36"/>
  <c r="F53" i="36"/>
  <c r="F51" i="36"/>
  <c r="F28" i="36"/>
  <c r="L12" i="36"/>
  <c r="N12" i="36" s="1"/>
  <c r="F101" i="36"/>
  <c r="F94" i="36"/>
  <c r="F78" i="36"/>
  <c r="F74" i="36"/>
  <c r="F66" i="36"/>
  <c r="F58" i="36"/>
  <c r="F56" i="36"/>
  <c r="F54" i="36"/>
  <c r="F20" i="36"/>
  <c r="F79" i="36"/>
  <c r="F75" i="36"/>
  <c r="F33" i="36"/>
  <c r="F87" i="36"/>
  <c r="F42" i="36"/>
  <c r="F55" i="36"/>
  <c r="F43" i="36"/>
  <c r="F50" i="36"/>
  <c r="P31" i="26"/>
  <c r="T27" i="14"/>
  <c r="Z18" i="14"/>
  <c r="L18" i="13"/>
  <c r="D27" i="13"/>
  <c r="P27" i="19"/>
  <c r="X18" i="19"/>
  <c r="L18" i="8"/>
  <c r="D27" i="8"/>
  <c r="H143" i="15"/>
  <c r="J139" i="15"/>
  <c r="D27" i="26"/>
  <c r="L18" i="26"/>
  <c r="H31" i="23"/>
  <c r="N27" i="23"/>
  <c r="D95" i="9"/>
  <c r="L16" i="9"/>
  <c r="N27" i="8"/>
  <c r="H31" i="8"/>
  <c r="L27" i="35" l="1"/>
  <c r="H36" i="38"/>
  <c r="N36" i="38" s="1"/>
  <c r="X27" i="40"/>
  <c r="T31" i="40"/>
  <c r="Z31" i="40" s="1"/>
  <c r="D31" i="23"/>
  <c r="L27" i="16"/>
  <c r="H31" i="34"/>
  <c r="N27" i="34"/>
  <c r="N27" i="19"/>
  <c r="H31" i="19"/>
  <c r="X27" i="22"/>
  <c r="P31" i="22"/>
  <c r="H36" i="35"/>
  <c r="N36" i="35" s="1"/>
  <c r="N31" i="35"/>
  <c r="D31" i="46"/>
  <c r="L27" i="46"/>
  <c r="N27" i="5"/>
  <c r="H31" i="5"/>
  <c r="L31" i="5" s="1"/>
  <c r="H77" i="86"/>
  <c r="L73" i="86"/>
  <c r="N73" i="86" s="1"/>
  <c r="P31" i="49"/>
  <c r="X27" i="49"/>
  <c r="X27" i="35"/>
  <c r="P31" i="35"/>
  <c r="H84" i="81"/>
  <c r="J80" i="81"/>
  <c r="Z27" i="38"/>
  <c r="T31" i="38"/>
  <c r="P86" i="75"/>
  <c r="X21" i="75"/>
  <c r="Z21" i="75" s="1"/>
  <c r="X68" i="76"/>
  <c r="Z68" i="76" s="1"/>
  <c r="P72" i="76"/>
  <c r="N27" i="29"/>
  <c r="H31" i="29"/>
  <c r="D31" i="41"/>
  <c r="L27" i="41"/>
  <c r="T92" i="65"/>
  <c r="V89" i="65"/>
  <c r="T72" i="76"/>
  <c r="Z27" i="25"/>
  <c r="T31" i="25"/>
  <c r="H31" i="11"/>
  <c r="N27" i="11"/>
  <c r="P31" i="28"/>
  <c r="X27" i="28"/>
  <c r="H146" i="15"/>
  <c r="J143" i="15"/>
  <c r="T31" i="14"/>
  <c r="Z27" i="14"/>
  <c r="L27" i="19"/>
  <c r="D31" i="19"/>
  <c r="H31" i="41"/>
  <c r="N27" i="41"/>
  <c r="T31" i="47"/>
  <c r="X31" i="47" s="1"/>
  <c r="Z27" i="47"/>
  <c r="D73" i="69"/>
  <c r="L69" i="69"/>
  <c r="F69" i="69"/>
  <c r="T99" i="9"/>
  <c r="P31" i="13"/>
  <c r="X27" i="13"/>
  <c r="V29" i="73"/>
  <c r="T32" i="73"/>
  <c r="D84" i="81"/>
  <c r="L80" i="81"/>
  <c r="N80" i="81" s="1"/>
  <c r="P80" i="58"/>
  <c r="X77" i="58"/>
  <c r="T169" i="3"/>
  <c r="V165" i="3"/>
  <c r="D69" i="33"/>
  <c r="L20" i="33"/>
  <c r="N20" i="33" s="1"/>
  <c r="T151" i="18"/>
  <c r="V147" i="18"/>
  <c r="P31" i="50"/>
  <c r="X27" i="50"/>
  <c r="T86" i="87"/>
  <c r="Z27" i="19"/>
  <c r="T31" i="19"/>
  <c r="P139" i="15"/>
  <c r="X42" i="15"/>
  <c r="Z42" i="15" s="1"/>
  <c r="R42" i="15"/>
  <c r="H147" i="12"/>
  <c r="J143" i="12"/>
  <c r="P36" i="7"/>
  <c r="P36" i="14"/>
  <c r="X31" i="14"/>
  <c r="X30" i="27"/>
  <c r="Z30" i="27" s="1"/>
  <c r="P85" i="27"/>
  <c r="H89" i="65"/>
  <c r="J85" i="65"/>
  <c r="L19" i="63"/>
  <c r="N19" i="63" s="1"/>
  <c r="D63" i="63"/>
  <c r="P61" i="60"/>
  <c r="X57" i="60"/>
  <c r="Z57" i="60" s="1"/>
  <c r="Z27" i="4"/>
  <c r="T31" i="4"/>
  <c r="P76" i="33"/>
  <c r="R73" i="33"/>
  <c r="D36" i="43"/>
  <c r="D89" i="65"/>
  <c r="L85" i="65"/>
  <c r="N85" i="65" s="1"/>
  <c r="F85" i="65"/>
  <c r="L31" i="6"/>
  <c r="X27" i="43"/>
  <c r="P31" i="43"/>
  <c r="D62" i="72"/>
  <c r="L58" i="72"/>
  <c r="N58" i="72" s="1"/>
  <c r="Z52" i="82"/>
  <c r="T55" i="82"/>
  <c r="Z55" i="82" s="1"/>
  <c r="X95" i="9"/>
  <c r="Z95" i="9" s="1"/>
  <c r="P77" i="21"/>
  <c r="X20" i="21"/>
  <c r="D36" i="44"/>
  <c r="H61" i="60"/>
  <c r="L57" i="60"/>
  <c r="N57" i="60" s="1"/>
  <c r="P32" i="78"/>
  <c r="X28" i="78"/>
  <c r="Z28" i="78" s="1"/>
  <c r="P80" i="81"/>
  <c r="X19" i="81"/>
  <c r="Z19" i="81" s="1"/>
  <c r="H30" i="83"/>
  <c r="P31" i="93"/>
  <c r="X27" i="93"/>
  <c r="T78" i="74"/>
  <c r="Z27" i="31"/>
  <c r="T31" i="31"/>
  <c r="X31" i="31" s="1"/>
  <c r="H72" i="76"/>
  <c r="D69" i="56"/>
  <c r="L66" i="56"/>
  <c r="N66" i="56" s="1"/>
  <c r="D36" i="40"/>
  <c r="P69" i="90"/>
  <c r="X17" i="90"/>
  <c r="Z17" i="90" s="1"/>
  <c r="P31" i="19"/>
  <c r="X27" i="19"/>
  <c r="T31" i="35"/>
  <c r="Z27" i="35"/>
  <c r="P82" i="51"/>
  <c r="X78" i="51"/>
  <c r="Z78" i="51" s="1"/>
  <c r="R78" i="51"/>
  <c r="H116" i="30"/>
  <c r="J112" i="30"/>
  <c r="L27" i="26"/>
  <c r="D31" i="26"/>
  <c r="T31" i="52"/>
  <c r="X31" i="52" s="1"/>
  <c r="Z27" i="52"/>
  <c r="D28" i="66"/>
  <c r="L24" i="66"/>
  <c r="H69" i="56"/>
  <c r="Z27" i="8"/>
  <c r="T31" i="8"/>
  <c r="P36" i="37"/>
  <c r="P36" i="53"/>
  <c r="P36" i="31"/>
  <c r="D26" i="54"/>
  <c r="L22" i="54"/>
  <c r="D99" i="9"/>
  <c r="L95" i="9"/>
  <c r="N95" i="9" s="1"/>
  <c r="L27" i="8"/>
  <c r="D31" i="8"/>
  <c r="P36" i="26"/>
  <c r="D31" i="52"/>
  <c r="L27" i="52"/>
  <c r="H73" i="48"/>
  <c r="J69" i="48"/>
  <c r="L73" i="58"/>
  <c r="N73" i="58" s="1"/>
  <c r="D77" i="58"/>
  <c r="H31" i="66"/>
  <c r="N31" i="66" s="1"/>
  <c r="N28" i="66"/>
  <c r="D61" i="85"/>
  <c r="L58" i="85"/>
  <c r="T36" i="93"/>
  <c r="Z36" i="93" s="1"/>
  <c r="Z31" i="93"/>
  <c r="Z27" i="20"/>
  <c r="T31" i="20"/>
  <c r="X21" i="45"/>
  <c r="P89" i="45"/>
  <c r="T67" i="57"/>
  <c r="X63" i="57"/>
  <c r="Z63" i="57" s="1"/>
  <c r="T28" i="66"/>
  <c r="Z24" i="66"/>
  <c r="D32" i="64"/>
  <c r="L28" i="64"/>
  <c r="N28" i="64" s="1"/>
  <c r="T84" i="21"/>
  <c r="L48" i="18"/>
  <c r="N48" i="18" s="1"/>
  <c r="D147" i="18"/>
  <c r="F48" i="18"/>
  <c r="T106" i="39"/>
  <c r="V102" i="39"/>
  <c r="X27" i="47"/>
  <c r="L75" i="74"/>
  <c r="N75" i="74" s="1"/>
  <c r="D78" i="74"/>
  <c r="T31" i="11"/>
  <c r="Z27" i="11"/>
  <c r="H67" i="24"/>
  <c r="J63" i="24"/>
  <c r="P31" i="38"/>
  <c r="X27" i="38"/>
  <c r="H35" i="55"/>
  <c r="L31" i="55"/>
  <c r="N31" i="55" s="1"/>
  <c r="D34" i="84"/>
  <c r="L34" i="84" s="1"/>
  <c r="L31" i="84"/>
  <c r="N31" i="84" s="1"/>
  <c r="D31" i="92"/>
  <c r="L27" i="92"/>
  <c r="T31" i="23"/>
  <c r="Z27" i="23"/>
  <c r="Z27" i="22"/>
  <c r="T31" i="22"/>
  <c r="P98" i="42"/>
  <c r="X23" i="42"/>
  <c r="Z23" i="42" s="1"/>
  <c r="V85" i="70"/>
  <c r="T94" i="80"/>
  <c r="V90" i="80"/>
  <c r="N54" i="85"/>
  <c r="H58" i="85"/>
  <c r="T30" i="83"/>
  <c r="X30" i="83" s="1"/>
  <c r="Z26" i="83"/>
  <c r="X27" i="92"/>
  <c r="P31" i="92"/>
  <c r="Z27" i="5"/>
  <c r="T31" i="5"/>
  <c r="L27" i="37"/>
  <c r="D31" i="37"/>
  <c r="X25" i="36"/>
  <c r="Z25" i="36" s="1"/>
  <c r="P107" i="36"/>
  <c r="P35" i="55"/>
  <c r="X31" i="55"/>
  <c r="Z31" i="55" s="1"/>
  <c r="P63" i="61"/>
  <c r="X60" i="61"/>
  <c r="P35" i="64"/>
  <c r="T73" i="90"/>
  <c r="V69" i="90"/>
  <c r="X28" i="66"/>
  <c r="P31" i="66"/>
  <c r="P102" i="9"/>
  <c r="X99" i="9"/>
  <c r="D31" i="28"/>
  <c r="L27" i="28"/>
  <c r="D36" i="23"/>
  <c r="L31" i="23"/>
  <c r="Z27" i="29"/>
  <c r="T31" i="29"/>
  <c r="N26" i="54"/>
  <c r="H31" i="54"/>
  <c r="X22" i="54"/>
  <c r="P26" i="54"/>
  <c r="Z27" i="37"/>
  <c r="T31" i="37"/>
  <c r="X31" i="37" s="1"/>
  <c r="P78" i="70"/>
  <c r="X30" i="70"/>
  <c r="Z30" i="70" s="1"/>
  <c r="P36" i="47"/>
  <c r="T58" i="85"/>
  <c r="D27" i="89"/>
  <c r="L23" i="89"/>
  <c r="N27" i="46"/>
  <c r="H31" i="46"/>
  <c r="D52" i="82"/>
  <c r="L48" i="82"/>
  <c r="N27" i="31"/>
  <c r="H31" i="31"/>
  <c r="H67" i="57"/>
  <c r="D72" i="76"/>
  <c r="L68" i="76"/>
  <c r="N68" i="76" s="1"/>
  <c r="P36" i="91"/>
  <c r="D36" i="50"/>
  <c r="L31" i="50"/>
  <c r="D31" i="93"/>
  <c r="L27" i="93"/>
  <c r="H36" i="23"/>
  <c r="N36" i="23" s="1"/>
  <c r="N31" i="23"/>
  <c r="H102" i="42"/>
  <c r="J98" i="42"/>
  <c r="T82" i="51"/>
  <c r="V78" i="51"/>
  <c r="D99" i="68"/>
  <c r="L35" i="68"/>
  <c r="N35" i="68" s="1"/>
  <c r="P52" i="82"/>
  <c r="X48" i="82"/>
  <c r="P36" i="32"/>
  <c r="X147" i="18"/>
  <c r="Z147" i="18" s="1"/>
  <c r="P151" i="18"/>
  <c r="R147" i="18"/>
  <c r="D73" i="90"/>
  <c r="L69" i="90"/>
  <c r="F69" i="90"/>
  <c r="P31" i="4"/>
  <c r="X27" i="4"/>
  <c r="L27" i="38"/>
  <c r="D31" i="38"/>
  <c r="H73" i="69"/>
  <c r="N69" i="69"/>
  <c r="J69" i="69"/>
  <c r="N34" i="84"/>
  <c r="H73" i="77"/>
  <c r="Z27" i="16"/>
  <c r="T31" i="16"/>
  <c r="H36" i="16"/>
  <c r="N31" i="16"/>
  <c r="L31" i="16"/>
  <c r="N27" i="26"/>
  <c r="H31" i="26"/>
  <c r="D112" i="30"/>
  <c r="L35" i="30"/>
  <c r="N35" i="30" s="1"/>
  <c r="H32" i="64"/>
  <c r="D30" i="83"/>
  <c r="L26" i="83"/>
  <c r="N26" i="83" s="1"/>
  <c r="D36" i="17"/>
  <c r="L31" i="17"/>
  <c r="N27" i="10"/>
  <c r="H31" i="10"/>
  <c r="H31" i="22"/>
  <c r="N27" i="22"/>
  <c r="L27" i="22"/>
  <c r="T119" i="30"/>
  <c r="V116" i="30"/>
  <c r="H70" i="63"/>
  <c r="J67" i="63"/>
  <c r="P31" i="23"/>
  <c r="X27" i="23"/>
  <c r="L27" i="29"/>
  <c r="D31" i="29"/>
  <c r="T93" i="45"/>
  <c r="H31" i="52"/>
  <c r="N27" i="52"/>
  <c r="H82" i="70"/>
  <c r="J78" i="70"/>
  <c r="D31" i="14"/>
  <c r="L27" i="14"/>
  <c r="L31" i="35"/>
  <c r="D31" i="47"/>
  <c r="L27" i="47"/>
  <c r="T80" i="86"/>
  <c r="P66" i="56"/>
  <c r="X62" i="56"/>
  <c r="T31" i="53"/>
  <c r="X31" i="53" s="1"/>
  <c r="Z27" i="53"/>
  <c r="D91" i="62"/>
  <c r="L87" i="62"/>
  <c r="D31" i="11"/>
  <c r="L27" i="11"/>
  <c r="P31" i="6"/>
  <c r="X26" i="6"/>
  <c r="T31" i="26"/>
  <c r="X31" i="26" s="1"/>
  <c r="Z27" i="26"/>
  <c r="L30" i="27"/>
  <c r="N30" i="27" s="1"/>
  <c r="D85" i="27"/>
  <c r="H89" i="27"/>
  <c r="J85" i="27"/>
  <c r="P31" i="46"/>
  <c r="X27" i="46"/>
  <c r="Z27" i="91"/>
  <c r="T31" i="91"/>
  <c r="X31" i="91" s="1"/>
  <c r="H109" i="39"/>
  <c r="J106" i="39"/>
  <c r="P94" i="62"/>
  <c r="X91" i="62"/>
  <c r="P31" i="17"/>
  <c r="X27" i="17"/>
  <c r="X35" i="30"/>
  <c r="Z35" i="30" s="1"/>
  <c r="P112" i="30"/>
  <c r="D31" i="32"/>
  <c r="L27" i="32"/>
  <c r="X27" i="44"/>
  <c r="P31" i="44"/>
  <c r="Z73" i="58"/>
  <c r="T77" i="58"/>
  <c r="D32" i="78"/>
  <c r="L28" i="78"/>
  <c r="N28" i="78" s="1"/>
  <c r="P31" i="84"/>
  <c r="X27" i="84"/>
  <c r="Z27" i="84" s="1"/>
  <c r="P94" i="80"/>
  <c r="X90" i="80"/>
  <c r="Z90" i="80" s="1"/>
  <c r="R90" i="80"/>
  <c r="P31" i="8"/>
  <c r="X27" i="8"/>
  <c r="D31" i="31"/>
  <c r="L27" i="31"/>
  <c r="H85" i="51"/>
  <c r="J82" i="51"/>
  <c r="D31" i="53"/>
  <c r="L27" i="53"/>
  <c r="H60" i="61"/>
  <c r="H90" i="75"/>
  <c r="J86" i="75"/>
  <c r="Z27" i="34"/>
  <c r="T31" i="34"/>
  <c r="T32" i="78"/>
  <c r="H151" i="18"/>
  <c r="J147" i="18"/>
  <c r="T26" i="6"/>
  <c r="Z22" i="6"/>
  <c r="Z27" i="41"/>
  <c r="T31" i="41"/>
  <c r="X31" i="41" s="1"/>
  <c r="D107" i="36"/>
  <c r="L25" i="36"/>
  <c r="N25" i="36" s="1"/>
  <c r="H36" i="28"/>
  <c r="N36" i="28" s="1"/>
  <c r="N31" i="28"/>
  <c r="D31" i="20"/>
  <c r="L27" i="20"/>
  <c r="T36" i="44"/>
  <c r="Z36" i="44" s="1"/>
  <c r="Z31" i="44"/>
  <c r="F35" i="68"/>
  <c r="P29" i="73"/>
  <c r="X25" i="73"/>
  <c r="Z25" i="73" s="1"/>
  <c r="R25" i="73"/>
  <c r="D90" i="80"/>
  <c r="L23" i="80"/>
  <c r="N23" i="80" s="1"/>
  <c r="P33" i="83"/>
  <c r="T31" i="13"/>
  <c r="Z27" i="13"/>
  <c r="T67" i="63"/>
  <c r="Z63" i="63"/>
  <c r="V63" i="63"/>
  <c r="H174" i="3"/>
  <c r="J169" i="3"/>
  <c r="Z27" i="7"/>
  <c r="T31" i="7"/>
  <c r="X31" i="7" s="1"/>
  <c r="N27" i="13"/>
  <c r="H31" i="13"/>
  <c r="T89" i="27"/>
  <c r="V85" i="27"/>
  <c r="D86" i="75"/>
  <c r="L21" i="75"/>
  <c r="N21" i="75" s="1"/>
  <c r="H76" i="33"/>
  <c r="J73" i="33"/>
  <c r="D76" i="88"/>
  <c r="L72" i="88"/>
  <c r="N72" i="88" s="1"/>
  <c r="X27" i="5"/>
  <c r="P31" i="5"/>
  <c r="L27" i="4"/>
  <c r="D31" i="4"/>
  <c r="T111" i="36"/>
  <c r="V107" i="36"/>
  <c r="L69" i="48"/>
  <c r="N69" i="48" s="1"/>
  <c r="D73" i="48"/>
  <c r="F69" i="48"/>
  <c r="T32" i="64"/>
  <c r="X32" i="64" s="1"/>
  <c r="Z28" i="64"/>
  <c r="P65" i="72"/>
  <c r="N27" i="25"/>
  <c r="H31" i="25"/>
  <c r="T143" i="15"/>
  <c r="V139" i="15"/>
  <c r="T67" i="24"/>
  <c r="V63" i="24"/>
  <c r="T31" i="46"/>
  <c r="Z27" i="46"/>
  <c r="T73" i="48"/>
  <c r="V69" i="48"/>
  <c r="P70" i="63"/>
  <c r="X67" i="63"/>
  <c r="H29" i="73"/>
  <c r="J25" i="73"/>
  <c r="P30" i="79"/>
  <c r="X26" i="79"/>
  <c r="Z26" i="79" s="1"/>
  <c r="P86" i="87"/>
  <c r="X82" i="87"/>
  <c r="Z82" i="87" s="1"/>
  <c r="R82" i="87"/>
  <c r="H36" i="17"/>
  <c r="N36" i="17" s="1"/>
  <c r="N31" i="17"/>
  <c r="P36" i="41"/>
  <c r="N27" i="49"/>
  <c r="H31" i="49"/>
  <c r="T73" i="77"/>
  <c r="N27" i="91"/>
  <c r="H31" i="91"/>
  <c r="P31" i="11"/>
  <c r="X27" i="11"/>
  <c r="D143" i="12"/>
  <c r="L43" i="12"/>
  <c r="N43" i="12" s="1"/>
  <c r="T147" i="12"/>
  <c r="V143" i="12"/>
  <c r="T102" i="42"/>
  <c r="V98" i="42"/>
  <c r="L19" i="73"/>
  <c r="N19" i="73" s="1"/>
  <c r="D25" i="73"/>
  <c r="H86" i="87"/>
  <c r="H31" i="40"/>
  <c r="N27" i="40"/>
  <c r="D82" i="51"/>
  <c r="L78" i="51"/>
  <c r="N78" i="51" s="1"/>
  <c r="F78" i="51"/>
  <c r="Z60" i="61"/>
  <c r="T63" i="61"/>
  <c r="P31" i="29"/>
  <c r="X27" i="29"/>
  <c r="T31" i="32"/>
  <c r="Z27" i="32"/>
  <c r="H35" i="78"/>
  <c r="N27" i="43"/>
  <c r="H31" i="43"/>
  <c r="L31" i="43" s="1"/>
  <c r="T30" i="79"/>
  <c r="L27" i="34"/>
  <c r="D31" i="34"/>
  <c r="L27" i="49"/>
  <c r="D31" i="49"/>
  <c r="D60" i="61"/>
  <c r="L56" i="61"/>
  <c r="N56" i="61" s="1"/>
  <c r="L27" i="7"/>
  <c r="D31" i="7"/>
  <c r="D66" i="59"/>
  <c r="L66" i="59" s="1"/>
  <c r="N66" i="59" s="1"/>
  <c r="L63" i="59"/>
  <c r="N63" i="59" s="1"/>
  <c r="D31" i="13"/>
  <c r="L27" i="13"/>
  <c r="H36" i="8"/>
  <c r="N36" i="8" s="1"/>
  <c r="N31" i="8"/>
  <c r="N31" i="6"/>
  <c r="T73" i="69"/>
  <c r="V69" i="69"/>
  <c r="V84" i="81"/>
  <c r="T87" i="81"/>
  <c r="H52" i="82"/>
  <c r="N48" i="82"/>
  <c r="X27" i="31"/>
  <c r="D102" i="39"/>
  <c r="L23" i="39"/>
  <c r="N23" i="39" s="1"/>
  <c r="D63" i="24"/>
  <c r="L19" i="24"/>
  <c r="N19" i="24" s="1"/>
  <c r="X27" i="20"/>
  <c r="P31" i="20"/>
  <c r="Z27" i="50"/>
  <c r="T31" i="50"/>
  <c r="T66" i="56"/>
  <c r="Z62" i="56"/>
  <c r="P99" i="68"/>
  <c r="X35" i="68"/>
  <c r="Z35" i="68" s="1"/>
  <c r="X20" i="69"/>
  <c r="Z20" i="69" s="1"/>
  <c r="P69" i="69"/>
  <c r="R20" i="69"/>
  <c r="H65" i="72"/>
  <c r="H97" i="80"/>
  <c r="J94" i="80"/>
  <c r="D36" i="5"/>
  <c r="F30" i="27"/>
  <c r="T73" i="33"/>
  <c r="V69" i="33"/>
  <c r="P36" i="40"/>
  <c r="N27" i="53"/>
  <c r="H31" i="53"/>
  <c r="P79" i="88"/>
  <c r="H36" i="92"/>
  <c r="N36" i="92" s="1"/>
  <c r="N31" i="92"/>
  <c r="H102" i="9"/>
  <c r="Z27" i="10"/>
  <c r="T31" i="10"/>
  <c r="X31" i="10" s="1"/>
  <c r="D139" i="15"/>
  <c r="L42" i="15"/>
  <c r="N42" i="15" s="1"/>
  <c r="D78" i="70"/>
  <c r="L30" i="70"/>
  <c r="N30" i="70" s="1"/>
  <c r="P78" i="74"/>
  <c r="X78" i="74" s="1"/>
  <c r="X75" i="74"/>
  <c r="Z75" i="74" s="1"/>
  <c r="P73" i="77"/>
  <c r="X69" i="77"/>
  <c r="Z69" i="77" s="1"/>
  <c r="H73" i="90"/>
  <c r="N69" i="90"/>
  <c r="J69" i="90"/>
  <c r="H78" i="74"/>
  <c r="X19" i="24"/>
  <c r="Z19" i="24" s="1"/>
  <c r="P63" i="24"/>
  <c r="N27" i="14"/>
  <c r="H31" i="14"/>
  <c r="X27" i="41"/>
  <c r="H36" i="50"/>
  <c r="N36" i="50" s="1"/>
  <c r="N31" i="50"/>
  <c r="P30" i="89"/>
  <c r="X27" i="89"/>
  <c r="P36" i="52"/>
  <c r="P36" i="10"/>
  <c r="D93" i="45"/>
  <c r="L89" i="45"/>
  <c r="N89" i="45" s="1"/>
  <c r="F89" i="45"/>
  <c r="T90" i="75"/>
  <c r="V86" i="75"/>
  <c r="L69" i="77"/>
  <c r="N69" i="77" s="1"/>
  <c r="D73" i="77"/>
  <c r="D67" i="57"/>
  <c r="L63" i="57"/>
  <c r="N63" i="57" s="1"/>
  <c r="P31" i="16"/>
  <c r="X27" i="16"/>
  <c r="H84" i="21"/>
  <c r="N81" i="21"/>
  <c r="T62" i="72"/>
  <c r="X62" i="72" s="1"/>
  <c r="Z58" i="72"/>
  <c r="T64" i="60"/>
  <c r="Z27" i="92"/>
  <c r="T31" i="92"/>
  <c r="Z27" i="43"/>
  <c r="T31" i="43"/>
  <c r="H111" i="36"/>
  <c r="J107" i="36"/>
  <c r="P77" i="86"/>
  <c r="X73" i="86"/>
  <c r="Z73" i="86" s="1"/>
  <c r="H76" i="88"/>
  <c r="H93" i="45"/>
  <c r="T103" i="68"/>
  <c r="V99" i="68"/>
  <c r="D82" i="87"/>
  <c r="L21" i="87"/>
  <c r="Z27" i="49"/>
  <c r="T31" i="49"/>
  <c r="L27" i="5"/>
  <c r="X54" i="3"/>
  <c r="Z54" i="3" s="1"/>
  <c r="P165" i="3"/>
  <c r="N27" i="7"/>
  <c r="H31" i="7"/>
  <c r="L27" i="10"/>
  <c r="D31" i="10"/>
  <c r="X27" i="7"/>
  <c r="X27" i="14"/>
  <c r="D84" i="21"/>
  <c r="L81" i="21"/>
  <c r="P106" i="39"/>
  <c r="X102" i="39"/>
  <c r="Z102" i="39" s="1"/>
  <c r="R102" i="39"/>
  <c r="D98" i="42"/>
  <c r="L23" i="42"/>
  <c r="N23" i="42" s="1"/>
  <c r="F23" i="42"/>
  <c r="T27" i="89"/>
  <c r="Z23" i="89"/>
  <c r="N27" i="4"/>
  <c r="H31" i="4"/>
  <c r="H31" i="20"/>
  <c r="N27" i="20"/>
  <c r="X43" i="12"/>
  <c r="Z43" i="12" s="1"/>
  <c r="P143" i="12"/>
  <c r="D31" i="25"/>
  <c r="L27" i="25"/>
  <c r="X69" i="33"/>
  <c r="Z69" i="33" s="1"/>
  <c r="N27" i="37"/>
  <c r="H31" i="37"/>
  <c r="P73" i="48"/>
  <c r="X69" i="48"/>
  <c r="Z69" i="48" s="1"/>
  <c r="R69" i="48"/>
  <c r="N27" i="47"/>
  <c r="H31" i="47"/>
  <c r="D30" i="79"/>
  <c r="L26" i="79"/>
  <c r="N26" i="79" s="1"/>
  <c r="X54" i="85"/>
  <c r="Z54" i="85" s="1"/>
  <c r="P58" i="85"/>
  <c r="L27" i="91"/>
  <c r="D31" i="91"/>
  <c r="R35" i="30"/>
  <c r="H36" i="32"/>
  <c r="N36" i="32" s="1"/>
  <c r="N31" i="32"/>
  <c r="P31" i="34"/>
  <c r="X27" i="34"/>
  <c r="T94" i="62"/>
  <c r="Z91" i="62"/>
  <c r="P63" i="59"/>
  <c r="X59" i="59"/>
  <c r="Z59" i="59" s="1"/>
  <c r="X30" i="65"/>
  <c r="Z30" i="65" s="1"/>
  <c r="P85" i="65"/>
  <c r="X27" i="52"/>
  <c r="D169" i="3"/>
  <c r="L165" i="3"/>
  <c r="N165" i="3" s="1"/>
  <c r="F165" i="3"/>
  <c r="P31" i="25"/>
  <c r="X27" i="25"/>
  <c r="Z27" i="17"/>
  <c r="T31" i="17"/>
  <c r="T31" i="28"/>
  <c r="Z27" i="28"/>
  <c r="H31" i="44"/>
  <c r="N27" i="44"/>
  <c r="H103" i="68"/>
  <c r="J99" i="68"/>
  <c r="H91" i="62"/>
  <c r="N87" i="62"/>
  <c r="T76" i="88"/>
  <c r="X76" i="88" s="1"/>
  <c r="Z72" i="88"/>
  <c r="X63" i="61" l="1"/>
  <c r="Z63" i="61" s="1"/>
  <c r="X31" i="40"/>
  <c r="T36" i="40"/>
  <c r="Z36" i="40" s="1"/>
  <c r="L36" i="35"/>
  <c r="N31" i="34"/>
  <c r="H36" i="34"/>
  <c r="N36" i="34" s="1"/>
  <c r="H36" i="19"/>
  <c r="N36" i="19" s="1"/>
  <c r="N31" i="19"/>
  <c r="T36" i="17"/>
  <c r="Z36" i="17" s="1"/>
  <c r="Z31" i="17"/>
  <c r="D76" i="77"/>
  <c r="L73" i="77"/>
  <c r="J97" i="80"/>
  <c r="D36" i="91"/>
  <c r="L31" i="91"/>
  <c r="L82" i="87"/>
  <c r="N82" i="87" s="1"/>
  <c r="D86" i="87"/>
  <c r="F82" i="87"/>
  <c r="D106" i="39"/>
  <c r="L102" i="39"/>
  <c r="N102" i="39" s="1"/>
  <c r="F102" i="39"/>
  <c r="P36" i="5"/>
  <c r="X31" i="5"/>
  <c r="H63" i="61"/>
  <c r="T36" i="16"/>
  <c r="Z36" i="16" s="1"/>
  <c r="Z31" i="16"/>
  <c r="P154" i="18"/>
  <c r="X151" i="18"/>
  <c r="R151" i="18"/>
  <c r="Z31" i="23"/>
  <c r="T36" i="23"/>
  <c r="Z36" i="23" s="1"/>
  <c r="T70" i="57"/>
  <c r="X67" i="57"/>
  <c r="Z67" i="57" s="1"/>
  <c r="D36" i="26"/>
  <c r="L31" i="26"/>
  <c r="P81" i="21"/>
  <c r="X77" i="21"/>
  <c r="Z77" i="21" s="1"/>
  <c r="P143" i="15"/>
  <c r="X139" i="15"/>
  <c r="Z139" i="15" s="1"/>
  <c r="R139" i="15"/>
  <c r="X80" i="58"/>
  <c r="H36" i="41"/>
  <c r="N36" i="41" s="1"/>
  <c r="N31" i="41"/>
  <c r="D36" i="25"/>
  <c r="L31" i="25"/>
  <c r="Z27" i="89"/>
  <c r="T30" i="89"/>
  <c r="Z30" i="89" s="1"/>
  <c r="P109" i="39"/>
  <c r="X106" i="39"/>
  <c r="R106" i="39"/>
  <c r="P80" i="86"/>
  <c r="X80" i="86" s="1"/>
  <c r="Z80" i="86" s="1"/>
  <c r="X77" i="86"/>
  <c r="Z77" i="86" s="1"/>
  <c r="Z31" i="92"/>
  <c r="T36" i="92"/>
  <c r="Z36" i="92" s="1"/>
  <c r="T76" i="33"/>
  <c r="V73" i="33"/>
  <c r="T36" i="50"/>
  <c r="Z36" i="50" s="1"/>
  <c r="Z31" i="50"/>
  <c r="T76" i="69"/>
  <c r="V73" i="69"/>
  <c r="D36" i="7"/>
  <c r="L31" i="7"/>
  <c r="T36" i="32"/>
  <c r="Z36" i="32" s="1"/>
  <c r="Z31" i="32"/>
  <c r="T105" i="42"/>
  <c r="V102" i="42"/>
  <c r="N31" i="91"/>
  <c r="H36" i="91"/>
  <c r="N36" i="91" s="1"/>
  <c r="X30" i="79"/>
  <c r="Z30" i="79" s="1"/>
  <c r="P33" i="79"/>
  <c r="T146" i="15"/>
  <c r="V143" i="15"/>
  <c r="D76" i="48"/>
  <c r="L73" i="48"/>
  <c r="F73" i="48"/>
  <c r="J174" i="3"/>
  <c r="X31" i="8"/>
  <c r="P36" i="8"/>
  <c r="Z77" i="58"/>
  <c r="T80" i="58"/>
  <c r="J109" i="39"/>
  <c r="D89" i="27"/>
  <c r="L85" i="27"/>
  <c r="N85" i="27" s="1"/>
  <c r="F85" i="27"/>
  <c r="D36" i="93"/>
  <c r="L36" i="93" s="1"/>
  <c r="L31" i="93"/>
  <c r="H70" i="57"/>
  <c r="T36" i="37"/>
  <c r="Z36" i="37" s="1"/>
  <c r="Z31" i="37"/>
  <c r="P38" i="55"/>
  <c r="X38" i="55" s="1"/>
  <c r="Z38" i="55" s="1"/>
  <c r="X35" i="55"/>
  <c r="Z35" i="55" s="1"/>
  <c r="P36" i="38"/>
  <c r="X31" i="38"/>
  <c r="P93" i="45"/>
  <c r="X89" i="45"/>
  <c r="Z89" i="45" s="1"/>
  <c r="R89" i="45"/>
  <c r="D36" i="52"/>
  <c r="L31" i="52"/>
  <c r="D31" i="54"/>
  <c r="L31" i="54" s="1"/>
  <c r="L26" i="54"/>
  <c r="Z31" i="35"/>
  <c r="T36" i="35"/>
  <c r="Z36" i="35" s="1"/>
  <c r="L69" i="56"/>
  <c r="P35" i="78"/>
  <c r="X35" i="78" s="1"/>
  <c r="X32" i="78"/>
  <c r="Z32" i="78" s="1"/>
  <c r="T36" i="19"/>
  <c r="Z36" i="19" s="1"/>
  <c r="Z31" i="19"/>
  <c r="Z151" i="18"/>
  <c r="T154" i="18"/>
  <c r="V151" i="18"/>
  <c r="T102" i="9"/>
  <c r="Z99" i="9"/>
  <c r="D36" i="19"/>
  <c r="L31" i="19"/>
  <c r="P36" i="28"/>
  <c r="X31" i="28"/>
  <c r="N31" i="37"/>
  <c r="H36" i="37"/>
  <c r="N36" i="37" s="1"/>
  <c r="P36" i="25"/>
  <c r="X31" i="25"/>
  <c r="T69" i="56"/>
  <c r="P36" i="11"/>
  <c r="X31" i="11"/>
  <c r="T35" i="78"/>
  <c r="D35" i="78"/>
  <c r="L35" i="78" s="1"/>
  <c r="L32" i="78"/>
  <c r="N32" i="78" s="1"/>
  <c r="D36" i="11"/>
  <c r="L31" i="11"/>
  <c r="D36" i="38"/>
  <c r="L36" i="38" s="1"/>
  <c r="L31" i="38"/>
  <c r="X78" i="70"/>
  <c r="Z78" i="70" s="1"/>
  <c r="P82" i="70"/>
  <c r="R78" i="70"/>
  <c r="P36" i="92"/>
  <c r="X31" i="92"/>
  <c r="P61" i="85"/>
  <c r="X61" i="85" s="1"/>
  <c r="X58" i="85"/>
  <c r="P147" i="12"/>
  <c r="X143" i="12"/>
  <c r="Z143" i="12" s="1"/>
  <c r="R143" i="12"/>
  <c r="P169" i="3"/>
  <c r="X165" i="3"/>
  <c r="Z165" i="3" s="1"/>
  <c r="R165" i="3"/>
  <c r="P36" i="16"/>
  <c r="X31" i="16"/>
  <c r="P67" i="24"/>
  <c r="X63" i="24"/>
  <c r="Z63" i="24" s="1"/>
  <c r="X73" i="77"/>
  <c r="P76" i="77"/>
  <c r="D143" i="15"/>
  <c r="L139" i="15"/>
  <c r="N139" i="15" s="1"/>
  <c r="F139" i="15"/>
  <c r="T33" i="79"/>
  <c r="H36" i="40"/>
  <c r="N36" i="40" s="1"/>
  <c r="N31" i="40"/>
  <c r="H36" i="25"/>
  <c r="N36" i="25" s="1"/>
  <c r="N31" i="25"/>
  <c r="T92" i="27"/>
  <c r="V89" i="27"/>
  <c r="T36" i="34"/>
  <c r="Z36" i="34" s="1"/>
  <c r="Z31" i="34"/>
  <c r="D36" i="53"/>
  <c r="L31" i="53"/>
  <c r="P36" i="17"/>
  <c r="X31" i="17"/>
  <c r="T36" i="91"/>
  <c r="Z36" i="91" s="1"/>
  <c r="Z31" i="91"/>
  <c r="D94" i="62"/>
  <c r="L94" i="62" s="1"/>
  <c r="L91" i="62"/>
  <c r="N91" i="62" s="1"/>
  <c r="H85" i="70"/>
  <c r="J82" i="70"/>
  <c r="P36" i="23"/>
  <c r="X31" i="23"/>
  <c r="L36" i="17"/>
  <c r="D116" i="30"/>
  <c r="L112" i="30"/>
  <c r="N112" i="30" s="1"/>
  <c r="F112" i="30"/>
  <c r="H76" i="77"/>
  <c r="N73" i="77"/>
  <c r="X31" i="32"/>
  <c r="T85" i="51"/>
  <c r="V82" i="51"/>
  <c r="L27" i="89"/>
  <c r="D30" i="89"/>
  <c r="L30" i="89" s="1"/>
  <c r="L36" i="23"/>
  <c r="P111" i="36"/>
  <c r="X107" i="36"/>
  <c r="Z107" i="36" s="1"/>
  <c r="R107" i="36"/>
  <c r="D36" i="92"/>
  <c r="L36" i="92" s="1"/>
  <c r="L31" i="92"/>
  <c r="H75" i="76"/>
  <c r="X73" i="33"/>
  <c r="Z73" i="33" s="1"/>
  <c r="D87" i="81"/>
  <c r="L87" i="81" s="1"/>
  <c r="L84" i="81"/>
  <c r="V92" i="65"/>
  <c r="P90" i="75"/>
  <c r="X86" i="75"/>
  <c r="Z86" i="75" s="1"/>
  <c r="R86" i="75"/>
  <c r="D36" i="46"/>
  <c r="L31" i="46"/>
  <c r="H94" i="62"/>
  <c r="H79" i="88"/>
  <c r="H36" i="47"/>
  <c r="N36" i="47" s="1"/>
  <c r="N31" i="47"/>
  <c r="H36" i="7"/>
  <c r="N36" i="7" s="1"/>
  <c r="N31" i="7"/>
  <c r="H36" i="14"/>
  <c r="N36" i="14" s="1"/>
  <c r="N31" i="14"/>
  <c r="T76" i="48"/>
  <c r="V73" i="48"/>
  <c r="D90" i="75"/>
  <c r="L86" i="75"/>
  <c r="N86" i="75" s="1"/>
  <c r="F86" i="75"/>
  <c r="Z31" i="41"/>
  <c r="T36" i="41"/>
  <c r="Z36" i="41" s="1"/>
  <c r="X31" i="35"/>
  <c r="P36" i="35"/>
  <c r="H36" i="44"/>
  <c r="N36" i="44" s="1"/>
  <c r="N31" i="44"/>
  <c r="T79" i="88"/>
  <c r="X79" i="88" s="1"/>
  <c r="Z76" i="88"/>
  <c r="D174" i="3"/>
  <c r="L169" i="3"/>
  <c r="N169" i="3" s="1"/>
  <c r="F169" i="3"/>
  <c r="H114" i="36"/>
  <c r="J111" i="36"/>
  <c r="Z31" i="10"/>
  <c r="T36" i="10"/>
  <c r="Z36" i="10" s="1"/>
  <c r="H36" i="53"/>
  <c r="N36" i="53" s="1"/>
  <c r="N31" i="53"/>
  <c r="P73" i="69"/>
  <c r="X69" i="69"/>
  <c r="Z69" i="69" s="1"/>
  <c r="R69" i="69"/>
  <c r="P36" i="20"/>
  <c r="X31" i="20"/>
  <c r="H55" i="82"/>
  <c r="N55" i="82" s="1"/>
  <c r="N52" i="82"/>
  <c r="P36" i="29"/>
  <c r="X31" i="29"/>
  <c r="H89" i="87"/>
  <c r="T76" i="77"/>
  <c r="Z73" i="77"/>
  <c r="H32" i="73"/>
  <c r="J29" i="73"/>
  <c r="T36" i="46"/>
  <c r="Z36" i="46" s="1"/>
  <c r="Z31" i="46"/>
  <c r="D79" i="88"/>
  <c r="L79" i="88" s="1"/>
  <c r="L76" i="88"/>
  <c r="N76" i="88" s="1"/>
  <c r="L90" i="80"/>
  <c r="N90" i="80" s="1"/>
  <c r="D94" i="80"/>
  <c r="F90" i="80"/>
  <c r="D36" i="20"/>
  <c r="L31" i="20"/>
  <c r="P36" i="44"/>
  <c r="X36" i="44" s="1"/>
  <c r="X31" i="44"/>
  <c r="V119" i="30"/>
  <c r="N31" i="26"/>
  <c r="H36" i="26"/>
  <c r="N36" i="26" s="1"/>
  <c r="X31" i="4"/>
  <c r="P36" i="4"/>
  <c r="L36" i="50"/>
  <c r="H36" i="31"/>
  <c r="N36" i="31" s="1"/>
  <c r="N31" i="31"/>
  <c r="P31" i="54"/>
  <c r="X31" i="54" s="1"/>
  <c r="Z31" i="54" s="1"/>
  <c r="X26" i="54"/>
  <c r="T76" i="90"/>
  <c r="V73" i="90"/>
  <c r="T33" i="83"/>
  <c r="Z30" i="83"/>
  <c r="D35" i="64"/>
  <c r="L32" i="64"/>
  <c r="N32" i="64" s="1"/>
  <c r="Z31" i="20"/>
  <c r="T36" i="20"/>
  <c r="Z36" i="20" s="1"/>
  <c r="L77" i="58"/>
  <c r="N77" i="58" s="1"/>
  <c r="D80" i="58"/>
  <c r="L80" i="58" s="1"/>
  <c r="N80" i="58" s="1"/>
  <c r="N69" i="56"/>
  <c r="P36" i="19"/>
  <c r="X31" i="19"/>
  <c r="P36" i="93"/>
  <c r="X36" i="93" s="1"/>
  <c r="X31" i="93"/>
  <c r="X76" i="33"/>
  <c r="R76" i="33"/>
  <c r="T89" i="87"/>
  <c r="D73" i="33"/>
  <c r="L69" i="33"/>
  <c r="N69" i="33" s="1"/>
  <c r="F69" i="33"/>
  <c r="V32" i="73"/>
  <c r="H36" i="11"/>
  <c r="N36" i="11" s="1"/>
  <c r="N31" i="11"/>
  <c r="T36" i="38"/>
  <c r="Z36" i="38" s="1"/>
  <c r="Z31" i="38"/>
  <c r="P36" i="49"/>
  <c r="X31" i="49"/>
  <c r="P66" i="59"/>
  <c r="X66" i="59" s="1"/>
  <c r="Z66" i="59" s="1"/>
  <c r="X63" i="59"/>
  <c r="Z63" i="59" s="1"/>
  <c r="H76" i="90"/>
  <c r="J73" i="90"/>
  <c r="D85" i="51"/>
  <c r="L82" i="51"/>
  <c r="N82" i="51" s="1"/>
  <c r="F82" i="51"/>
  <c r="H92" i="27"/>
  <c r="J89" i="27"/>
  <c r="H35" i="64"/>
  <c r="D75" i="76"/>
  <c r="L72" i="76"/>
  <c r="N72" i="76" s="1"/>
  <c r="T36" i="8"/>
  <c r="Z36" i="8" s="1"/>
  <c r="Z31" i="8"/>
  <c r="D67" i="63"/>
  <c r="L63" i="63"/>
  <c r="N63" i="63" s="1"/>
  <c r="L84" i="21"/>
  <c r="N84" i="21" s="1"/>
  <c r="T106" i="68"/>
  <c r="V103" i="68"/>
  <c r="T93" i="75"/>
  <c r="V90" i="75"/>
  <c r="T36" i="28"/>
  <c r="Z36" i="28" s="1"/>
  <c r="Z31" i="28"/>
  <c r="P36" i="34"/>
  <c r="X31" i="34"/>
  <c r="P76" i="48"/>
  <c r="X73" i="48"/>
  <c r="Z73" i="48" s="1"/>
  <c r="R73" i="48"/>
  <c r="D70" i="57"/>
  <c r="L67" i="57"/>
  <c r="N67" i="57" s="1"/>
  <c r="X30" i="89"/>
  <c r="D63" i="61"/>
  <c r="L63" i="61" s="1"/>
  <c r="L60" i="61"/>
  <c r="N60" i="61" s="1"/>
  <c r="N31" i="43"/>
  <c r="H36" i="43"/>
  <c r="N36" i="43" s="1"/>
  <c r="T150" i="12"/>
  <c r="V147" i="12"/>
  <c r="H36" i="13"/>
  <c r="N36" i="13" s="1"/>
  <c r="N31" i="13"/>
  <c r="T31" i="6"/>
  <c r="Z26" i="6"/>
  <c r="P97" i="80"/>
  <c r="X94" i="80"/>
  <c r="R94" i="80"/>
  <c r="X94" i="62"/>
  <c r="Z94" i="62" s="1"/>
  <c r="T36" i="26"/>
  <c r="Z36" i="26" s="1"/>
  <c r="Z31" i="26"/>
  <c r="T36" i="53"/>
  <c r="Z36" i="53" s="1"/>
  <c r="Z31" i="53"/>
  <c r="D36" i="47"/>
  <c r="L31" i="47"/>
  <c r="H36" i="52"/>
  <c r="N36" i="52" s="1"/>
  <c r="N31" i="52"/>
  <c r="D33" i="83"/>
  <c r="L30" i="83"/>
  <c r="N30" i="83" s="1"/>
  <c r="T61" i="85"/>
  <c r="Z58" i="85"/>
  <c r="D36" i="28"/>
  <c r="L36" i="28" s="1"/>
  <c r="L31" i="28"/>
  <c r="D36" i="37"/>
  <c r="L31" i="37"/>
  <c r="H61" i="85"/>
  <c r="L61" i="85" s="1"/>
  <c r="N58" i="85"/>
  <c r="P102" i="42"/>
  <c r="X98" i="42"/>
  <c r="Z98" i="42" s="1"/>
  <c r="R98" i="42"/>
  <c r="H70" i="24"/>
  <c r="J67" i="24"/>
  <c r="Z106" i="39"/>
  <c r="T109" i="39"/>
  <c r="V106" i="39"/>
  <c r="D36" i="8"/>
  <c r="L36" i="8" s="1"/>
  <c r="L31" i="8"/>
  <c r="H119" i="30"/>
  <c r="J116" i="30"/>
  <c r="Z31" i="31"/>
  <c r="T36" i="31"/>
  <c r="Z36" i="31" s="1"/>
  <c r="H64" i="60"/>
  <c r="N61" i="60"/>
  <c r="L61" i="60"/>
  <c r="D92" i="65"/>
  <c r="L89" i="65"/>
  <c r="N89" i="65" s="1"/>
  <c r="F89" i="65"/>
  <c r="T36" i="4"/>
  <c r="Z36" i="4" s="1"/>
  <c r="Z31" i="4"/>
  <c r="H92" i="65"/>
  <c r="J89" i="65"/>
  <c r="D76" i="69"/>
  <c r="L73" i="69"/>
  <c r="F73" i="69"/>
  <c r="T36" i="14"/>
  <c r="Z36" i="14" s="1"/>
  <c r="Z31" i="14"/>
  <c r="Z31" i="25"/>
  <c r="T36" i="25"/>
  <c r="Z36" i="25" s="1"/>
  <c r="L31" i="41"/>
  <c r="D36" i="41"/>
  <c r="P89" i="65"/>
  <c r="X85" i="65"/>
  <c r="Z85" i="65" s="1"/>
  <c r="R85" i="65"/>
  <c r="N31" i="20"/>
  <c r="H36" i="20"/>
  <c r="N36" i="20" s="1"/>
  <c r="T36" i="49"/>
  <c r="Z36" i="49" s="1"/>
  <c r="Z31" i="49"/>
  <c r="T36" i="43"/>
  <c r="Z36" i="43" s="1"/>
  <c r="Z31" i="43"/>
  <c r="V87" i="81"/>
  <c r="D36" i="49"/>
  <c r="L31" i="49"/>
  <c r="H36" i="49"/>
  <c r="N36" i="49" s="1"/>
  <c r="N31" i="49"/>
  <c r="T70" i="24"/>
  <c r="V67" i="24"/>
  <c r="T114" i="36"/>
  <c r="V111" i="36"/>
  <c r="Z67" i="63"/>
  <c r="T70" i="63"/>
  <c r="X70" i="63" s="1"/>
  <c r="V67" i="63"/>
  <c r="H93" i="75"/>
  <c r="J90" i="75"/>
  <c r="J85" i="51"/>
  <c r="X31" i="46"/>
  <c r="P36" i="46"/>
  <c r="P55" i="82"/>
  <c r="X55" i="82" s="1"/>
  <c r="X52" i="82"/>
  <c r="H105" i="42"/>
  <c r="J102" i="42"/>
  <c r="N31" i="54"/>
  <c r="T36" i="22"/>
  <c r="Z36" i="22" s="1"/>
  <c r="Z31" i="22"/>
  <c r="T31" i="66"/>
  <c r="Z31" i="66" s="1"/>
  <c r="Z28" i="66"/>
  <c r="D31" i="66"/>
  <c r="L31" i="66" s="1"/>
  <c r="L28" i="66"/>
  <c r="P73" i="90"/>
  <c r="X69" i="90"/>
  <c r="Z69" i="90" s="1"/>
  <c r="R69" i="90"/>
  <c r="H33" i="83"/>
  <c r="L31" i="44"/>
  <c r="D65" i="72"/>
  <c r="L65" i="72" s="1"/>
  <c r="N65" i="72" s="1"/>
  <c r="L62" i="72"/>
  <c r="N62" i="72" s="1"/>
  <c r="P89" i="27"/>
  <c r="X85" i="27"/>
  <c r="Z85" i="27" s="1"/>
  <c r="R85" i="27"/>
  <c r="H150" i="12"/>
  <c r="J147" i="12"/>
  <c r="N31" i="29"/>
  <c r="H36" i="29"/>
  <c r="N36" i="29" s="1"/>
  <c r="H80" i="86"/>
  <c r="L77" i="86"/>
  <c r="N77" i="86" s="1"/>
  <c r="D33" i="79"/>
  <c r="L33" i="79" s="1"/>
  <c r="N33" i="79" s="1"/>
  <c r="L30" i="79"/>
  <c r="N30" i="79" s="1"/>
  <c r="H96" i="45"/>
  <c r="D29" i="73"/>
  <c r="L25" i="73"/>
  <c r="N25" i="73" s="1"/>
  <c r="F25" i="73"/>
  <c r="H36" i="4"/>
  <c r="N36" i="4" s="1"/>
  <c r="N31" i="4"/>
  <c r="D102" i="42"/>
  <c r="L98" i="42"/>
  <c r="N98" i="42" s="1"/>
  <c r="F98" i="42"/>
  <c r="D36" i="10"/>
  <c r="L31" i="10"/>
  <c r="T65" i="72"/>
  <c r="X65" i="72" s="1"/>
  <c r="Z62" i="72"/>
  <c r="D96" i="45"/>
  <c r="L93" i="45"/>
  <c r="N93" i="45" s="1"/>
  <c r="F93" i="45"/>
  <c r="D82" i="70"/>
  <c r="L78" i="70"/>
  <c r="N78" i="70" s="1"/>
  <c r="F78" i="70"/>
  <c r="N102" i="9"/>
  <c r="P103" i="68"/>
  <c r="X99" i="68"/>
  <c r="Z99" i="68" s="1"/>
  <c r="R99" i="68"/>
  <c r="D67" i="24"/>
  <c r="L63" i="24"/>
  <c r="N63" i="24" s="1"/>
  <c r="D36" i="13"/>
  <c r="L31" i="13"/>
  <c r="D147" i="12"/>
  <c r="L143" i="12"/>
  <c r="N143" i="12" s="1"/>
  <c r="F143" i="12"/>
  <c r="D36" i="4"/>
  <c r="L31" i="4"/>
  <c r="J76" i="33"/>
  <c r="Z31" i="7"/>
  <c r="T36" i="7"/>
  <c r="Z36" i="7" s="1"/>
  <c r="P32" i="73"/>
  <c r="X29" i="73"/>
  <c r="Z29" i="73" s="1"/>
  <c r="R29" i="73"/>
  <c r="P34" i="84"/>
  <c r="X34" i="84" s="1"/>
  <c r="Z34" i="84" s="1"/>
  <c r="X31" i="84"/>
  <c r="Z31" i="84" s="1"/>
  <c r="D36" i="32"/>
  <c r="L36" i="32" s="1"/>
  <c r="L31" i="32"/>
  <c r="X31" i="6"/>
  <c r="P69" i="56"/>
  <c r="X66" i="56"/>
  <c r="Z66" i="56" s="1"/>
  <c r="T96" i="45"/>
  <c r="N31" i="22"/>
  <c r="H36" i="22"/>
  <c r="L31" i="22"/>
  <c r="D76" i="90"/>
  <c r="L73" i="90"/>
  <c r="N73" i="90" s="1"/>
  <c r="F73" i="90"/>
  <c r="L52" i="82"/>
  <c r="D55" i="82"/>
  <c r="X102" i="9"/>
  <c r="T36" i="5"/>
  <c r="Z36" i="5" s="1"/>
  <c r="Z31" i="5"/>
  <c r="T36" i="11"/>
  <c r="Z36" i="11" s="1"/>
  <c r="Z31" i="11"/>
  <c r="D151" i="18"/>
  <c r="L147" i="18"/>
  <c r="N147" i="18" s="1"/>
  <c r="F147" i="18"/>
  <c r="L31" i="40"/>
  <c r="Z78" i="74"/>
  <c r="P36" i="43"/>
  <c r="X31" i="43"/>
  <c r="P36" i="50"/>
  <c r="X31" i="50"/>
  <c r="T174" i="3"/>
  <c r="V169" i="3"/>
  <c r="T36" i="47"/>
  <c r="Z36" i="47" s="1"/>
  <c r="Z31" i="47"/>
  <c r="P36" i="22"/>
  <c r="X31" i="22"/>
  <c r="H106" i="68"/>
  <c r="J103" i="68"/>
  <c r="D36" i="34"/>
  <c r="L31" i="34"/>
  <c r="N35" i="78"/>
  <c r="P89" i="87"/>
  <c r="X86" i="87"/>
  <c r="Z86" i="87" s="1"/>
  <c r="R86" i="87"/>
  <c r="Z32" i="64"/>
  <c r="T35" i="64"/>
  <c r="X35" i="64" s="1"/>
  <c r="T36" i="13"/>
  <c r="Z36" i="13" s="1"/>
  <c r="Z31" i="13"/>
  <c r="D111" i="36"/>
  <c r="L107" i="36"/>
  <c r="N107" i="36" s="1"/>
  <c r="F107" i="36"/>
  <c r="H154" i="18"/>
  <c r="J151" i="18"/>
  <c r="D36" i="31"/>
  <c r="L31" i="31"/>
  <c r="P116" i="30"/>
  <c r="X112" i="30"/>
  <c r="Z112" i="30" s="1"/>
  <c r="R112" i="30"/>
  <c r="D36" i="14"/>
  <c r="L31" i="14"/>
  <c r="D36" i="29"/>
  <c r="L31" i="29"/>
  <c r="J70" i="63"/>
  <c r="H36" i="10"/>
  <c r="N36" i="10" s="1"/>
  <c r="N31" i="10"/>
  <c r="N36" i="16"/>
  <c r="L36" i="16"/>
  <c r="N73" i="69"/>
  <c r="H76" i="69"/>
  <c r="J73" i="69"/>
  <c r="D103" i="68"/>
  <c r="L99" i="68"/>
  <c r="N99" i="68" s="1"/>
  <c r="F99" i="68"/>
  <c r="H36" i="46"/>
  <c r="N36" i="46" s="1"/>
  <c r="N31" i="46"/>
  <c r="T36" i="29"/>
  <c r="Z36" i="29" s="1"/>
  <c r="Z31" i="29"/>
  <c r="T97" i="80"/>
  <c r="Z94" i="80"/>
  <c r="V94" i="80"/>
  <c r="H38" i="55"/>
  <c r="L35" i="55"/>
  <c r="N35" i="55" s="1"/>
  <c r="L78" i="74"/>
  <c r="N78" i="74" s="1"/>
  <c r="H76" i="48"/>
  <c r="N73" i="48"/>
  <c r="J73" i="48"/>
  <c r="D102" i="9"/>
  <c r="L102" i="9" s="1"/>
  <c r="L99" i="9"/>
  <c r="N99" i="9" s="1"/>
  <c r="T36" i="52"/>
  <c r="Z36" i="52" s="1"/>
  <c r="Z31" i="52"/>
  <c r="X82" i="51"/>
  <c r="Z82" i="51" s="1"/>
  <c r="P85" i="51"/>
  <c r="R82" i="51"/>
  <c r="P84" i="81"/>
  <c r="X80" i="81"/>
  <c r="Z80" i="81" s="1"/>
  <c r="P64" i="60"/>
  <c r="X64" i="60" s="1"/>
  <c r="Z64" i="60" s="1"/>
  <c r="X61" i="60"/>
  <c r="Z61" i="60" s="1"/>
  <c r="P36" i="13"/>
  <c r="X31" i="13"/>
  <c r="J146" i="15"/>
  <c r="T75" i="76"/>
  <c r="P75" i="76"/>
  <c r="X75" i="76" s="1"/>
  <c r="X72" i="76"/>
  <c r="Z72" i="76" s="1"/>
  <c r="H87" i="81"/>
  <c r="N84" i="81"/>
  <c r="J84" i="81"/>
  <c r="N31" i="5"/>
  <c r="H36" i="5"/>
  <c r="N36" i="5" s="1"/>
  <c r="X76" i="77" l="1"/>
  <c r="L55" i="82"/>
  <c r="X69" i="56"/>
  <c r="X36" i="40"/>
  <c r="X36" i="32"/>
  <c r="X36" i="10"/>
  <c r="L36" i="19"/>
  <c r="X36" i="23"/>
  <c r="X36" i="50"/>
  <c r="X36" i="53"/>
  <c r="L36" i="14"/>
  <c r="X36" i="16"/>
  <c r="L36" i="13"/>
  <c r="X36" i="46"/>
  <c r="L36" i="37"/>
  <c r="X36" i="35"/>
  <c r="X36" i="92"/>
  <c r="L36" i="34"/>
  <c r="L36" i="29"/>
  <c r="X36" i="91"/>
  <c r="X36" i="26"/>
  <c r="X36" i="22"/>
  <c r="X36" i="34"/>
  <c r="L36" i="41"/>
  <c r="X36" i="8"/>
  <c r="X36" i="47"/>
  <c r="L36" i="7"/>
  <c r="L36" i="40"/>
  <c r="L36" i="31"/>
  <c r="D154" i="18"/>
  <c r="L151" i="18"/>
  <c r="N151" i="18" s="1"/>
  <c r="F151" i="18"/>
  <c r="P106" i="68"/>
  <c r="X103" i="68"/>
  <c r="Z103" i="68" s="1"/>
  <c r="R103" i="68"/>
  <c r="J150" i="12"/>
  <c r="Z65" i="72"/>
  <c r="L92" i="65"/>
  <c r="N92" i="65" s="1"/>
  <c r="F92" i="65"/>
  <c r="J70" i="24"/>
  <c r="V76" i="90"/>
  <c r="J114" i="36"/>
  <c r="L36" i="53"/>
  <c r="X36" i="11"/>
  <c r="V154" i="18"/>
  <c r="X109" i="39"/>
  <c r="R109" i="39"/>
  <c r="X36" i="5"/>
  <c r="D85" i="70"/>
  <c r="L82" i="70"/>
  <c r="N82" i="70" s="1"/>
  <c r="F82" i="70"/>
  <c r="J154" i="18"/>
  <c r="J105" i="42"/>
  <c r="V97" i="80"/>
  <c r="D150" i="12"/>
  <c r="L147" i="12"/>
  <c r="N147" i="12" s="1"/>
  <c r="F147" i="12"/>
  <c r="Z70" i="63"/>
  <c r="V70" i="63"/>
  <c r="V70" i="24"/>
  <c r="L76" i="69"/>
  <c r="N76" i="69" s="1"/>
  <c r="F76" i="69"/>
  <c r="J119" i="30"/>
  <c r="V106" i="68"/>
  <c r="N87" i="81"/>
  <c r="J87" i="81"/>
  <c r="X36" i="13"/>
  <c r="N76" i="48"/>
  <c r="J76" i="48"/>
  <c r="X31" i="66"/>
  <c r="P119" i="30"/>
  <c r="X116" i="30"/>
  <c r="Z116" i="30" s="1"/>
  <c r="R116" i="30"/>
  <c r="D114" i="36"/>
  <c r="L111" i="36"/>
  <c r="N111" i="36" s="1"/>
  <c r="F111" i="36"/>
  <c r="X36" i="43"/>
  <c r="L80" i="86"/>
  <c r="N80" i="86" s="1"/>
  <c r="V150" i="12"/>
  <c r="L75" i="76"/>
  <c r="N75" i="76" s="1"/>
  <c r="L85" i="51"/>
  <c r="N85" i="51" s="1"/>
  <c r="F85" i="51"/>
  <c r="X36" i="49"/>
  <c r="P76" i="69"/>
  <c r="X73" i="69"/>
  <c r="Z73" i="69" s="1"/>
  <c r="R73" i="69"/>
  <c r="V76" i="48"/>
  <c r="P93" i="75"/>
  <c r="X90" i="75"/>
  <c r="Z90" i="75" s="1"/>
  <c r="R90" i="75"/>
  <c r="P174" i="3"/>
  <c r="X169" i="3"/>
  <c r="Z169" i="3" s="1"/>
  <c r="R169" i="3"/>
  <c r="X36" i="38"/>
  <c r="Z80" i="58"/>
  <c r="Z76" i="33"/>
  <c r="V76" i="33"/>
  <c r="X36" i="41"/>
  <c r="L36" i="91"/>
  <c r="L76" i="90"/>
  <c r="N76" i="90" s="1"/>
  <c r="F76" i="90"/>
  <c r="P92" i="65"/>
  <c r="X89" i="65"/>
  <c r="Z89" i="65" s="1"/>
  <c r="R89" i="65"/>
  <c r="X85" i="51"/>
  <c r="R85" i="51"/>
  <c r="D106" i="68"/>
  <c r="L103" i="68"/>
  <c r="N103" i="68" s="1"/>
  <c r="F103" i="68"/>
  <c r="X89" i="87"/>
  <c r="R89" i="87"/>
  <c r="J76" i="69"/>
  <c r="L36" i="44"/>
  <c r="L36" i="10"/>
  <c r="D32" i="73"/>
  <c r="L29" i="73"/>
  <c r="N29" i="73" s="1"/>
  <c r="F29" i="73"/>
  <c r="P92" i="27"/>
  <c r="X89" i="27"/>
  <c r="Z89" i="27" s="1"/>
  <c r="R89" i="27"/>
  <c r="P76" i="90"/>
  <c r="X73" i="90"/>
  <c r="Z73" i="90" s="1"/>
  <c r="R73" i="90"/>
  <c r="L36" i="47"/>
  <c r="X97" i="80"/>
  <c r="Z97" i="80" s="1"/>
  <c r="R97" i="80"/>
  <c r="L70" i="57"/>
  <c r="D76" i="33"/>
  <c r="L73" i="33"/>
  <c r="N73" i="33" s="1"/>
  <c r="F73" i="33"/>
  <c r="X36" i="19"/>
  <c r="L36" i="20"/>
  <c r="X36" i="29"/>
  <c r="N79" i="88"/>
  <c r="D119" i="30"/>
  <c r="L116" i="30"/>
  <c r="N116" i="30" s="1"/>
  <c r="F116" i="30"/>
  <c r="L36" i="11"/>
  <c r="Z69" i="56"/>
  <c r="X36" i="28"/>
  <c r="L76" i="48"/>
  <c r="F76" i="48"/>
  <c r="P146" i="15"/>
  <c r="X143" i="15"/>
  <c r="Z143" i="15" s="1"/>
  <c r="R143" i="15"/>
  <c r="L36" i="26"/>
  <c r="X154" i="18"/>
  <c r="Z154" i="18" s="1"/>
  <c r="R154" i="18"/>
  <c r="V76" i="69"/>
  <c r="X36" i="14"/>
  <c r="J92" i="65"/>
  <c r="L64" i="60"/>
  <c r="N64" i="60" s="1"/>
  <c r="J76" i="90"/>
  <c r="Z89" i="87"/>
  <c r="L35" i="64"/>
  <c r="N35" i="64" s="1"/>
  <c r="L174" i="3"/>
  <c r="N174" i="3" s="1"/>
  <c r="F174" i="3"/>
  <c r="P70" i="24"/>
  <c r="X70" i="24" s="1"/>
  <c r="Z70" i="24" s="1"/>
  <c r="X67" i="24"/>
  <c r="Z67" i="24" s="1"/>
  <c r="X36" i="37"/>
  <c r="L38" i="55"/>
  <c r="N38" i="55" s="1"/>
  <c r="Z35" i="64"/>
  <c r="L36" i="4"/>
  <c r="D70" i="24"/>
  <c r="L70" i="24" s="1"/>
  <c r="N70" i="24" s="1"/>
  <c r="L67" i="24"/>
  <c r="N67" i="24" s="1"/>
  <c r="V114" i="36"/>
  <c r="L36" i="49"/>
  <c r="P105" i="42"/>
  <c r="X102" i="42"/>
  <c r="Z102" i="42" s="1"/>
  <c r="R102" i="42"/>
  <c r="Z61" i="85"/>
  <c r="Z31" i="6"/>
  <c r="V93" i="75"/>
  <c r="D70" i="63"/>
  <c r="L70" i="63" s="1"/>
  <c r="N70" i="63" s="1"/>
  <c r="L67" i="63"/>
  <c r="N67" i="63" s="1"/>
  <c r="X36" i="31"/>
  <c r="D97" i="80"/>
  <c r="L94" i="80"/>
  <c r="N94" i="80" s="1"/>
  <c r="F94" i="80"/>
  <c r="J32" i="73"/>
  <c r="N94" i="62"/>
  <c r="Z85" i="51"/>
  <c r="V85" i="51"/>
  <c r="X36" i="52"/>
  <c r="L36" i="52"/>
  <c r="V105" i="42"/>
  <c r="L36" i="25"/>
  <c r="L36" i="43"/>
  <c r="L106" i="39"/>
  <c r="N106" i="39" s="1"/>
  <c r="D109" i="39"/>
  <c r="F106" i="39"/>
  <c r="Z75" i="76"/>
  <c r="Z33" i="83"/>
  <c r="Z79" i="88"/>
  <c r="V92" i="27"/>
  <c r="P85" i="70"/>
  <c r="X82" i="70"/>
  <c r="Z82" i="70" s="1"/>
  <c r="R82" i="70"/>
  <c r="X33" i="83"/>
  <c r="V146" i="15"/>
  <c r="X70" i="57"/>
  <c r="Z70" i="57" s="1"/>
  <c r="L76" i="77"/>
  <c r="N76" i="77" s="1"/>
  <c r="V174" i="3"/>
  <c r="D105" i="42"/>
  <c r="L102" i="42"/>
  <c r="N102" i="42" s="1"/>
  <c r="F102" i="42"/>
  <c r="Z109" i="39"/>
  <c r="V109" i="39"/>
  <c r="X76" i="48"/>
  <c r="Z76" i="48" s="1"/>
  <c r="R76" i="48"/>
  <c r="J92" i="27"/>
  <c r="J106" i="68"/>
  <c r="X32" i="73"/>
  <c r="Z32" i="73" s="1"/>
  <c r="R32" i="73"/>
  <c r="L96" i="45"/>
  <c r="N96" i="45" s="1"/>
  <c r="F96" i="45"/>
  <c r="J93" i="75"/>
  <c r="N61" i="85"/>
  <c r="L33" i="83"/>
  <c r="N33" i="83" s="1"/>
  <c r="Z76" i="77"/>
  <c r="X36" i="20"/>
  <c r="D93" i="75"/>
  <c r="L90" i="75"/>
  <c r="N90" i="75" s="1"/>
  <c r="F90" i="75"/>
  <c r="L36" i="46"/>
  <c r="X36" i="7"/>
  <c r="X111" i="36"/>
  <c r="Z111" i="36" s="1"/>
  <c r="P114" i="36"/>
  <c r="R111" i="36"/>
  <c r="X36" i="17"/>
  <c r="P150" i="12"/>
  <c r="X147" i="12"/>
  <c r="Z147" i="12" s="1"/>
  <c r="R147" i="12"/>
  <c r="Z35" i="78"/>
  <c r="X36" i="25"/>
  <c r="Z102" i="9"/>
  <c r="D92" i="27"/>
  <c r="L89" i="27"/>
  <c r="N89" i="27" s="1"/>
  <c r="F89" i="27"/>
  <c r="X33" i="79"/>
  <c r="Z33" i="79" s="1"/>
  <c r="P84" i="21"/>
  <c r="X84" i="21" s="1"/>
  <c r="Z84" i="21" s="1"/>
  <c r="X81" i="21"/>
  <c r="Z81" i="21" s="1"/>
  <c r="N63" i="61"/>
  <c r="L86" i="87"/>
  <c r="N86" i="87" s="1"/>
  <c r="D89" i="87"/>
  <c r="F86" i="87"/>
  <c r="P87" i="81"/>
  <c r="X87" i="81" s="1"/>
  <c r="Z87" i="81" s="1"/>
  <c r="X84" i="81"/>
  <c r="Z84" i="81" s="1"/>
  <c r="N36" i="22"/>
  <c r="L36" i="22"/>
  <c r="L36" i="5"/>
  <c r="X36" i="4"/>
  <c r="J85" i="70"/>
  <c r="D146" i="15"/>
  <c r="L143" i="15"/>
  <c r="N143" i="15" s="1"/>
  <c r="F143" i="15"/>
  <c r="P96" i="45"/>
  <c r="X93" i="45"/>
  <c r="Z93" i="45" s="1"/>
  <c r="R93" i="45"/>
  <c r="N70" i="57"/>
  <c r="X114" i="36" l="1"/>
  <c r="Z114" i="36" s="1"/>
  <c r="R114" i="36"/>
  <c r="X150" i="12"/>
  <c r="Z150" i="12" s="1"/>
  <c r="R150" i="12"/>
  <c r="L93" i="75"/>
  <c r="N93" i="75" s="1"/>
  <c r="F93" i="75"/>
  <c r="X85" i="70"/>
  <c r="Z85" i="70" s="1"/>
  <c r="R85" i="70"/>
  <c r="L109" i="39"/>
  <c r="N109" i="39" s="1"/>
  <c r="F109" i="39"/>
  <c r="L97" i="80"/>
  <c r="N97" i="80" s="1"/>
  <c r="F97" i="80"/>
  <c r="X119" i="30"/>
  <c r="Z119" i="30" s="1"/>
  <c r="R119" i="30"/>
  <c r="L89" i="87"/>
  <c r="N89" i="87" s="1"/>
  <c r="F89" i="87"/>
  <c r="L92" i="27"/>
  <c r="N92" i="27" s="1"/>
  <c r="F92" i="27"/>
  <c r="X76" i="90"/>
  <c r="Z76" i="90" s="1"/>
  <c r="R76" i="90"/>
  <c r="L106" i="68"/>
  <c r="N106" i="68" s="1"/>
  <c r="F106" i="68"/>
  <c r="X174" i="3"/>
  <c r="Z174" i="3" s="1"/>
  <c r="R174" i="3"/>
  <c r="X76" i="69"/>
  <c r="Z76" i="69" s="1"/>
  <c r="R76" i="69"/>
  <c r="X96" i="45"/>
  <c r="Z96" i="45" s="1"/>
  <c r="R96" i="45"/>
  <c r="X146" i="15"/>
  <c r="Z146" i="15" s="1"/>
  <c r="R146" i="15"/>
  <c r="L150" i="12"/>
  <c r="N150" i="12" s="1"/>
  <c r="F150" i="12"/>
  <c r="L76" i="33"/>
  <c r="N76" i="33" s="1"/>
  <c r="F76" i="33"/>
  <c r="L119" i="30"/>
  <c r="N119" i="30" s="1"/>
  <c r="F119" i="30"/>
  <c r="X93" i="75"/>
  <c r="Z93" i="75" s="1"/>
  <c r="R93" i="75"/>
  <c r="X92" i="27"/>
  <c r="Z92" i="27" s="1"/>
  <c r="R92" i="27"/>
  <c r="X106" i="68"/>
  <c r="Z106" i="68" s="1"/>
  <c r="R106" i="68"/>
  <c r="L105" i="42"/>
  <c r="N105" i="42" s="1"/>
  <c r="F105" i="42"/>
  <c r="L114" i="36"/>
  <c r="N114" i="36" s="1"/>
  <c r="F114" i="36"/>
  <c r="L85" i="70"/>
  <c r="N85" i="70" s="1"/>
  <c r="F85" i="70"/>
  <c r="X92" i="65"/>
  <c r="Z92" i="65" s="1"/>
  <c r="R92" i="65"/>
  <c r="X105" i="42"/>
  <c r="Z105" i="42" s="1"/>
  <c r="R105" i="42"/>
  <c r="L146" i="15"/>
  <c r="N146" i="15" s="1"/>
  <c r="F146" i="15"/>
  <c r="L32" i="73"/>
  <c r="N32" i="73" s="1"/>
  <c r="F32" i="73"/>
  <c r="L154" i="18"/>
  <c r="N154" i="18" s="1"/>
  <c r="F154" i="18"/>
</calcChain>
</file>

<file path=xl/sharedStrings.xml><?xml version="1.0" encoding="utf-8"?>
<sst xmlns="http://schemas.openxmlformats.org/spreadsheetml/2006/main" count="2688" uniqueCount="315">
  <si>
    <t>Grid Title</t>
  </si>
  <si>
    <t>FxCode Text</t>
  </si>
  <si>
    <t>Storage Type</t>
  </si>
  <si>
    <t>Dim3Text</t>
  </si>
  <si>
    <t>Dim4Relate to data</t>
  </si>
  <si>
    <t>Variable Dim0Relate to data</t>
  </si>
  <si>
    <t>Variable Dim5Special Rules</t>
  </si>
  <si>
    <t>Variable Dim6</t>
  </si>
  <si>
    <t>Variable Dim6Relate to data</t>
  </si>
  <si>
    <t>Variable Dim8Text</t>
  </si>
  <si>
    <t>Variable Dim Name12</t>
  </si>
  <si>
    <t>Variable Dim12Text</t>
  </si>
  <si>
    <t>Storage Field0</t>
  </si>
  <si>
    <t>Storage Field9 Name</t>
  </si>
  <si>
    <t>Storage Field14</t>
  </si>
  <si>
    <t>Storage Field18</t>
  </si>
  <si>
    <t>DimGridName</t>
  </si>
  <si>
    <t>Chart 4th Data Series</t>
  </si>
  <si>
    <t>Chart 4th Data Series Name</t>
  </si>
  <si>
    <t>IGRowLabelRange</t>
  </si>
  <si>
    <t>MinDG</t>
  </si>
  <si>
    <t>Division 308 - Combined Textbooks</t>
  </si>
  <si>
    <t>Division 331 - Combined 315 &amp; 326</t>
  </si>
  <si>
    <t xml:space="preserve">Forty Niner Shops, Inc. </t>
  </si>
  <si>
    <t>Module Name</t>
  </si>
  <si>
    <t>Time  Relate to data</t>
  </si>
  <si>
    <t>Scenario  Special Rules</t>
  </si>
  <si>
    <t>Category  Special Rules</t>
  </si>
  <si>
    <t>Dim2Text</t>
  </si>
  <si>
    <t>Variable Dim7Special Rules</t>
  </si>
  <si>
    <t>Variable Dim7Text</t>
  </si>
  <si>
    <t>Variable Dim10Relate to data</t>
  </si>
  <si>
    <t>Variable Dim10Special Rules</t>
  </si>
  <si>
    <t>Variable Dim11Text</t>
  </si>
  <si>
    <t>Variable Dim Name16</t>
  </si>
  <si>
    <t>Storage Field3 Name</t>
  </si>
  <si>
    <t>Storage Field4</t>
  </si>
  <si>
    <t>Storage Field8</t>
  </si>
  <si>
    <t>LIDColLabelRange</t>
  </si>
  <si>
    <t>YEAR TO DATE</t>
  </si>
  <si>
    <t>% of Sales</t>
  </si>
  <si>
    <t>Time Text</t>
  </si>
  <si>
    <t>Dim0Special Rules</t>
  </si>
  <si>
    <t>Dim1</t>
  </si>
  <si>
    <t>Variable Dim Name1</t>
  </si>
  <si>
    <t>Variable Dim1Relate to data</t>
  </si>
  <si>
    <t>Variable Dim Name5</t>
  </si>
  <si>
    <t>Variable Dim6Text</t>
  </si>
  <si>
    <t>Variable Dim10Text</t>
  </si>
  <si>
    <t>Variable Dim12Special Rules</t>
  </si>
  <si>
    <t>Variable Dim16Relate to data</t>
  </si>
  <si>
    <t>Storage Field13 Name</t>
  </si>
  <si>
    <t>Storage Field19 Name</t>
  </si>
  <si>
    <t>ChartType</t>
  </si>
  <si>
    <t>Chart 5th Data Series</t>
  </si>
  <si>
    <t>Division 310 &amp; 491 - C-Stores &amp; Cash Food Operations</t>
  </si>
  <si>
    <t>Tess.Monzon@csulb.edu</t>
  </si>
  <si>
    <t>Actual</t>
  </si>
  <si>
    <t>% Budget Sales</t>
  </si>
  <si>
    <t>Grid Cell Range</t>
  </si>
  <si>
    <t>Time  Special Rules</t>
  </si>
  <si>
    <t>Scenario</t>
  </si>
  <si>
    <t>Retain Zero Value</t>
  </si>
  <si>
    <t>Dim1Text</t>
  </si>
  <si>
    <t>Dim2Special Rules</t>
  </si>
  <si>
    <t>Dim Label3</t>
  </si>
  <si>
    <t>Dim5</t>
  </si>
  <si>
    <t>Dim5Relate to data</t>
  </si>
  <si>
    <t>Dim Label7</t>
  </si>
  <si>
    <t>Dim9</t>
  </si>
  <si>
    <t>Variable Dim7Relate to data</t>
  </si>
  <si>
    <t>Variable Dim Name9</t>
  </si>
  <si>
    <t>Variable Dim9Special Rules</t>
  </si>
  <si>
    <t>Variable Dim13</t>
  </si>
  <si>
    <t>Variable Dim14Special Rules</t>
  </si>
  <si>
    <t>Storage Field8 Name</t>
  </si>
  <si>
    <t>Storage Field11</t>
  </si>
  <si>
    <t>StorageGridName</t>
  </si>
  <si>
    <t>Chart 2nd Data Series</t>
  </si>
  <si>
    <t>Chart 2nd Data Series Name</t>
  </si>
  <si>
    <t>LIDRowsNumber</t>
  </si>
  <si>
    <t>Division 330 - Combined 307 &amp; 314</t>
  </si>
  <si>
    <t>Interest Income/Other</t>
  </si>
  <si>
    <t>Grid Special Rules</t>
  </si>
  <si>
    <t>Dim0Text</t>
  </si>
  <si>
    <t>Dim4Special Rules</t>
  </si>
  <si>
    <t>Variable Dim3</t>
  </si>
  <si>
    <t>Variable Dim5Text</t>
  </si>
  <si>
    <t>Variable Dim7</t>
  </si>
  <si>
    <t>Variable Dim11Relate to data</t>
  </si>
  <si>
    <t>Variable Dim Name13</t>
  </si>
  <si>
    <t>Variable Dim16Special Rules</t>
  </si>
  <si>
    <t>Variable Dim17</t>
  </si>
  <si>
    <t>Variable Dim17Relate to data</t>
  </si>
  <si>
    <t>Storage Field1</t>
  </si>
  <si>
    <t>Storage Field2 Name</t>
  </si>
  <si>
    <t>Storage Field15</t>
  </si>
  <si>
    <t>Storage Field18 Name</t>
  </si>
  <si>
    <t>Storage Field19</t>
  </si>
  <si>
    <t>Running Actual Sheet row Number</t>
  </si>
  <si>
    <t>ChartDisplayLabel</t>
  </si>
  <si>
    <t>Chart 6th Data Series Name</t>
  </si>
  <si>
    <t>DG Display Label</t>
  </si>
  <si>
    <t>IGDataRange</t>
  </si>
  <si>
    <t>IGDecimalDigits</t>
  </si>
  <si>
    <t>Division 5 - ID Card Services</t>
  </si>
  <si>
    <t>Division 491 - Cash Food Operations</t>
  </si>
  <si>
    <t>Division 3 - Bookstore &amp; C-Stores</t>
  </si>
  <si>
    <t>GROSS MARGIN</t>
  </si>
  <si>
    <t>Entity Special Rules</t>
  </si>
  <si>
    <t>Updated Date</t>
  </si>
  <si>
    <t>Dim0Relate to data</t>
  </si>
  <si>
    <t>Dim6Relate to data</t>
  </si>
  <si>
    <t>Dim6Special Rules</t>
  </si>
  <si>
    <t>Variable Dim0Special Rules</t>
  </si>
  <si>
    <t>Variable Dim2Relate to data</t>
  </si>
  <si>
    <t>Variable Dim4Text</t>
  </si>
  <si>
    <t>Variable Dim Name17</t>
  </si>
  <si>
    <t>Variable Dim18Special Rules</t>
  </si>
  <si>
    <t>Storage Field5</t>
  </si>
  <si>
    <t>Storage Field9</t>
  </si>
  <si>
    <t>Storage Field12 Name</t>
  </si>
  <si>
    <t>Enable SIMWindow</t>
  </si>
  <si>
    <t>Chart 6th Data Series</t>
  </si>
  <si>
    <t>BudgetTotal</t>
  </si>
  <si>
    <t>Division 332 - Combined 316, 320, &amp; 323</t>
  </si>
  <si>
    <t>OPERATING CONTRIBUTION</t>
  </si>
  <si>
    <t>Variance</t>
  </si>
  <si>
    <t>G &amp; A Allocation</t>
  </si>
  <si>
    <t>Entity</t>
  </si>
  <si>
    <t>Time</t>
  </si>
  <si>
    <t>Dim Label0</t>
  </si>
  <si>
    <t>Dim2</t>
  </si>
  <si>
    <t>Dim8Special Rules</t>
  </si>
  <si>
    <t>Variable Dim Name2</t>
  </si>
  <si>
    <t>Variable Dim3Text</t>
  </si>
  <si>
    <t>Variable Dim8Relate to data</t>
  </si>
  <si>
    <t>Storage Field7 Name</t>
  </si>
  <si>
    <t>Chart 1stData Series</t>
  </si>
  <si>
    <t>Division 2 - Administration</t>
  </si>
  <si>
    <t>Sales</t>
  </si>
  <si>
    <t>Dim Label4</t>
  </si>
  <si>
    <t>Dim6</t>
  </si>
  <si>
    <t>Dim Label8</t>
  </si>
  <si>
    <t>Variable Dim0</t>
  </si>
  <si>
    <t>Variable Dim2Special Rules</t>
  </si>
  <si>
    <t>Variable Dim2Text</t>
  </si>
  <si>
    <t>Variable Dim Name6</t>
  </si>
  <si>
    <t>Variable Dim10</t>
  </si>
  <si>
    <t>Variable Dim12Relate to data</t>
  </si>
  <si>
    <t>Variable Dim14</t>
  </si>
  <si>
    <t>Variable Dim18Relate to data</t>
  </si>
  <si>
    <t>Variable Dim19Text</t>
  </si>
  <si>
    <t>Storage Field1 Name</t>
  </si>
  <si>
    <t>Storage Field12</t>
  </si>
  <si>
    <t>Storage Field17 Name</t>
  </si>
  <si>
    <t>DimSheetName</t>
  </si>
  <si>
    <t>StorageSheetName</t>
  </si>
  <si>
    <t>Running Actual Grid Number</t>
  </si>
  <si>
    <t>DGHide</t>
  </si>
  <si>
    <t>IGDisplayLabel</t>
  </si>
  <si>
    <t>Entity Relate to data</t>
  </si>
  <si>
    <t>Scenario  Relate to data</t>
  </si>
  <si>
    <t>Dim1Relate to data</t>
  </si>
  <si>
    <t>Dim7Relate to data</t>
  </si>
  <si>
    <t>Dim9Text</t>
  </si>
  <si>
    <t>Variable Dim3Relate to data</t>
  </si>
  <si>
    <t>Variable Dim4</t>
  </si>
  <si>
    <t>Variable Dim4Special Rules</t>
  </si>
  <si>
    <t>Variable Dim8</t>
  </si>
  <si>
    <t>Variable Dim9Relate to data</t>
  </si>
  <si>
    <t>Variable Dim Name10</t>
  </si>
  <si>
    <t>Variable Dim Name14</t>
  </si>
  <si>
    <t>Variable Dim18</t>
  </si>
  <si>
    <t>Variable Dim18Text</t>
  </si>
  <si>
    <t>Storage Field2</t>
  </si>
  <si>
    <t>Storage Field11 Name</t>
  </si>
  <si>
    <t>Storage Field16</t>
  </si>
  <si>
    <t>Interface Setting Grid Number</t>
  </si>
  <si>
    <t>Chart Legend Location</t>
  </si>
  <si>
    <t>Chart 3rd Data Series</t>
  </si>
  <si>
    <t>DGRow Label</t>
  </si>
  <si>
    <t>ActualTotal</t>
  </si>
  <si>
    <t>Division 492 - Residential Dining</t>
  </si>
  <si>
    <t>Gain/(Loss) on FMV of Investments</t>
  </si>
  <si>
    <t>Scenario Text</t>
  </si>
  <si>
    <t>Category</t>
  </si>
  <si>
    <t>FxCode  Special Rules</t>
  </si>
  <si>
    <t>Variable Dim1Text</t>
  </si>
  <si>
    <t>Variable Dim6Special Rules</t>
  </si>
  <si>
    <t>Variable Dim11Special Rules</t>
  </si>
  <si>
    <t>Variable Dim17Text</t>
  </si>
  <si>
    <t>Variable Dim Name18</t>
  </si>
  <si>
    <t>Storage Field0 Name</t>
  </si>
  <si>
    <t>Storage Field6</t>
  </si>
  <si>
    <t>Storage Field6 Name</t>
  </si>
  <si>
    <t>Active Grid Number</t>
  </si>
  <si>
    <t>Chart 3rd Data SeriesName</t>
  </si>
  <si>
    <t>IGHide</t>
  </si>
  <si>
    <t>Division 310 - C-Stores</t>
  </si>
  <si>
    <t>Division 4 - Food Services</t>
  </si>
  <si>
    <t>Category  Relate to data</t>
  </si>
  <si>
    <t>FxCode  Relate to data</t>
  </si>
  <si>
    <t>Dim1Special Rules</t>
  </si>
  <si>
    <t>Dim2Relate to data</t>
  </si>
  <si>
    <t>Dim3</t>
  </si>
  <si>
    <t>Dim8Text</t>
  </si>
  <si>
    <t>Variable Dim0Text</t>
  </si>
  <si>
    <t>Variable Dim Name3</t>
  </si>
  <si>
    <t>Variable Dim8Special Rules</t>
  </si>
  <si>
    <t>Variable Dim13Relate to data</t>
  </si>
  <si>
    <t>Variable Dim19Relate to data</t>
  </si>
  <si>
    <t>Storage Field10 Name</t>
  </si>
  <si>
    <t>Storage Field16 Name</t>
  </si>
  <si>
    <t>ChartXAxiesLabel</t>
  </si>
  <si>
    <t>Chart 1st DataSeries Name</t>
  </si>
  <si>
    <t>Chart 5th Data Series Name</t>
  </si>
  <si>
    <t>EnableLID</t>
  </si>
  <si>
    <t>Division 1 - Corporate</t>
  </si>
  <si>
    <t>Division 6 - Computer Store</t>
  </si>
  <si>
    <t>Dim Label1</t>
  </si>
  <si>
    <t>Dim3Special Rules</t>
  </si>
  <si>
    <t>Dim Label5</t>
  </si>
  <si>
    <t>Dim7</t>
  </si>
  <si>
    <t>Dim7Text</t>
  </si>
  <si>
    <t>Dim8Relate to data</t>
  </si>
  <si>
    <t>Dim Label9</t>
  </si>
  <si>
    <t>Variable Dim1</t>
  </si>
  <si>
    <t>Variable Dim4Relate to data</t>
  </si>
  <si>
    <t>Variable Dim Name7</t>
  </si>
  <si>
    <t>Variable Dim11</t>
  </si>
  <si>
    <t>Variable Dim13Special Rules</t>
  </si>
  <si>
    <t>Variable Dim15</t>
  </si>
  <si>
    <t>Variable Dim16Text</t>
  </si>
  <si>
    <t>Storage Field5 Name</t>
  </si>
  <si>
    <t>SliderMinMovePer</t>
  </si>
  <si>
    <t>TotalHide</t>
  </si>
  <si>
    <t>Combined Operating Statement by Department</t>
  </si>
  <si>
    <t>Budget</t>
  </si>
  <si>
    <t>Sheet Name</t>
  </si>
  <si>
    <t>Entity Text</t>
  </si>
  <si>
    <t>Category Text</t>
  </si>
  <si>
    <t>Dim5Special Rules</t>
  </si>
  <si>
    <t>Dim6Text</t>
  </si>
  <si>
    <t>Variable Dim5</t>
  </si>
  <si>
    <t>Variable Dim9</t>
  </si>
  <si>
    <t>Variable Dim Name11</t>
  </si>
  <si>
    <t>Variable Dim14Relate to data</t>
  </si>
  <si>
    <t>Variable Dim15Special Rules</t>
  </si>
  <si>
    <t>Variable Dim15Text</t>
  </si>
  <si>
    <t>Variable Dim19</t>
  </si>
  <si>
    <t>Storage Field13</t>
  </si>
  <si>
    <t>Storage Field17</t>
  </si>
  <si>
    <t>DG Decimal Digits</t>
  </si>
  <si>
    <t>LIDHide</t>
  </si>
  <si>
    <t>SliderMaxpercentage</t>
  </si>
  <si>
    <t>Division 300 - Bookstore</t>
  </si>
  <si>
    <t>Cost of Goods Sold</t>
  </si>
  <si>
    <t>% Variance</t>
  </si>
  <si>
    <t xml:space="preserve">FxCode </t>
  </si>
  <si>
    <t>Dim3Relate to data</t>
  </si>
  <si>
    <t>Dim9Relate to data</t>
  </si>
  <si>
    <t>Variable Dim5Relate to data</t>
  </si>
  <si>
    <t>Variable Dim14Text</t>
  </si>
  <si>
    <t>Variable Dim Name15</t>
  </si>
  <si>
    <t>Variable Dim17Special Rules</t>
  </si>
  <si>
    <t>Variable Dim Name19</t>
  </si>
  <si>
    <t>Storage Field3</t>
  </si>
  <si>
    <t>Storage Field7</t>
  </si>
  <si>
    <t>Storage Field15 Name</t>
  </si>
  <si>
    <t>Period Type</t>
  </si>
  <si>
    <t>ChartHide</t>
  </si>
  <si>
    <t>DGData</t>
  </si>
  <si>
    <t>IGColLabelRange</t>
  </si>
  <si>
    <t>LIDActualDataRange</t>
  </si>
  <si>
    <t>LIDDisplayLabel</t>
  </si>
  <si>
    <t>TotalGridHeadings</t>
  </si>
  <si>
    <t>OPERATING INCOME</t>
  </si>
  <si>
    <t>Created Date</t>
  </si>
  <si>
    <t>Dim0</t>
  </si>
  <si>
    <t>Dim4</t>
  </si>
  <si>
    <t>Dim5Text</t>
  </si>
  <si>
    <t>Dim7Special Rules</t>
  </si>
  <si>
    <t>Variable Dim Name0</t>
  </si>
  <si>
    <t>Variable Dim1Special Rules</t>
  </si>
  <si>
    <t>Variable Dim Name4</t>
  </si>
  <si>
    <t>Variable Dim13Text</t>
  </si>
  <si>
    <t>Variable Dim19Special Rules</t>
  </si>
  <si>
    <t>Storage Field4 Name</t>
  </si>
  <si>
    <t>DGCol Label</t>
  </si>
  <si>
    <t>MinChart</t>
  </si>
  <si>
    <t>EnableCustomSpreading</t>
  </si>
  <si>
    <t>CURRENT PERIOD</t>
  </si>
  <si>
    <t>Credits &amp; Revenues</t>
  </si>
  <si>
    <t>NET CONTRIBUTION</t>
  </si>
  <si>
    <t>Operating Expenses</t>
  </si>
  <si>
    <t>InfoManager Number</t>
  </si>
  <si>
    <t>Dim Label2</t>
  </si>
  <si>
    <t>Dim4Text</t>
  </si>
  <si>
    <t>Dim Label6</t>
  </si>
  <si>
    <t>Dim8</t>
  </si>
  <si>
    <t>Dim9Special Rules</t>
  </si>
  <si>
    <t>Variable Dim2</t>
  </si>
  <si>
    <t>Variable Dim3Special Rules</t>
  </si>
  <si>
    <t>Variable Dim Name8</t>
  </si>
  <si>
    <t>Variable Dim9Text</t>
  </si>
  <si>
    <t>Variable Dim12</t>
  </si>
  <si>
    <t>Variable Dim15Relate to data</t>
  </si>
  <si>
    <t>Variable Dim16</t>
  </si>
  <si>
    <t>Storage Field10</t>
  </si>
  <si>
    <t>Storage Field14 Name</t>
  </si>
  <si>
    <t>SaveType</t>
  </si>
  <si>
    <t>FormatType</t>
  </si>
  <si>
    <t>All Departments</t>
  </si>
  <si>
    <t>Division 300 &amp; 317 - Bookstore &amp; Computer Store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</si>
</sst>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[$-409]mmmm\ d\,\ yyyy;@"/>
    <numFmt numFmtId="166" formatCode="[$-409]m/d/yy\ h:mm\ AM/PM;@"/>
    <numFmt numFmtId="167" formatCode="#,##0.0%;\(#,##0.0%\)"/>
    <numFmt numFmtId="168" formatCode="_(&quot;$&quot;* #,##0_);_(&quot;$&quot;* \(#,##0\);_(&quot;$&quot;* &quot;-&quot;??_);_(@_)"/>
  </numFmts>
  <fonts count="7" x14ac:knownFonts="1">
    <font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0" tint="-0.49995422223578601"/>
      <name val="Calibri"/>
      <family val="2"/>
      <scheme val="minor"/>
    </font>
    <font>
      <sz val="11"/>
      <color theme="0" tint="-0.4999542222357860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C324"/>
        <bgColor indexed="64"/>
      </patternFill>
    </fill>
    <fill>
      <patternFill patternType="solid">
        <fgColor indexed="43"/>
        <bgColor indexed="64"/>
      </patternFill>
    </fill>
  </fills>
  <borders count="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9" fontId="6" fillId="0" borderId="0" applyFont="0" applyFill="0" applyBorder="0" applyAlignment="0" applyProtection="0"/>
  </cellStyleXfs>
  <cellXfs count="68">
    <xf numFmtId="0" fontId="0" fillId="0" borderId="0" xfId="0"/>
    <xf numFmtId="164" fontId="0" fillId="0" borderId="0" xfId="1" applyNumberFormat="1" applyFont="1" applyFill="1" applyBorder="1"/>
    <xf numFmtId="164" fontId="0" fillId="0" borderId="0" xfId="1" applyNumberFormat="1" applyFont="1" applyFill="1"/>
    <xf numFmtId="164" fontId="1" fillId="0" borderId="0" xfId="1" applyNumberFormat="1" applyFont="1" applyFill="1"/>
    <xf numFmtId="164" fontId="2" fillId="0" borderId="0" xfId="1" applyNumberFormat="1" applyFont="1" applyFill="1"/>
    <xf numFmtId="167" fontId="0" fillId="0" borderId="0" xfId="3" applyNumberFormat="1" applyFont="1" applyFill="1" applyBorder="1"/>
    <xf numFmtId="167" fontId="0" fillId="0" borderId="0" xfId="3" applyNumberFormat="1" applyFont="1" applyFill="1"/>
    <xf numFmtId="167" fontId="1" fillId="0" borderId="0" xfId="3" applyNumberFormat="1" applyFont="1" applyFill="1" applyBorder="1"/>
    <xf numFmtId="164" fontId="1" fillId="0" borderId="0" xfId="1" applyNumberFormat="1" applyFont="1" applyFill="1" applyBorder="1"/>
    <xf numFmtId="0" fontId="0" fillId="0" borderId="0" xfId="0" applyFill="1"/>
    <xf numFmtId="0" fontId="2" fillId="0" borderId="0" xfId="0" applyFont="1" applyFill="1"/>
    <xf numFmtId="0" fontId="1" fillId="0" borderId="0" xfId="0" applyFont="1" applyFill="1"/>
    <xf numFmtId="167" fontId="2" fillId="0" borderId="0" xfId="3" applyNumberFormat="1" applyFont="1" applyFill="1"/>
    <xf numFmtId="164" fontId="2" fillId="2" borderId="0" xfId="1" applyNumberFormat="1" applyFont="1" applyFill="1" applyBorder="1"/>
    <xf numFmtId="0" fontId="0" fillId="0" borderId="0" xfId="0" applyFont="1" applyFill="1" applyBorder="1"/>
    <xf numFmtId="0" fontId="2" fillId="2" borderId="1" xfId="0" applyFont="1" applyFill="1" applyBorder="1" applyAlignment="1">
      <alignment horizontal="centerContinuous"/>
    </xf>
    <xf numFmtId="164" fontId="2" fillId="2" borderId="0" xfId="1" applyNumberFormat="1" applyFont="1" applyFill="1"/>
    <xf numFmtId="0" fontId="0" fillId="0" borderId="0" xfId="0" applyAlignment="1">
      <alignment horizontal="centerContinuous"/>
    </xf>
    <xf numFmtId="164" fontId="0" fillId="0" borderId="0" xfId="1" applyNumberFormat="1" applyFont="1"/>
    <xf numFmtId="167" fontId="1" fillId="0" borderId="0" xfId="3" applyNumberFormat="1" applyFont="1" applyFill="1"/>
    <xf numFmtId="164" fontId="2" fillId="0" borderId="0" xfId="1" applyNumberFormat="1" applyFont="1" applyFill="1" applyBorder="1"/>
    <xf numFmtId="168" fontId="2" fillId="2" borderId="2" xfId="2" applyNumberFormat="1" applyFont="1" applyFill="1" applyBorder="1"/>
    <xf numFmtId="167" fontId="2" fillId="2" borderId="2" xfId="3" applyNumberFormat="1" applyFont="1" applyFill="1" applyBorder="1"/>
    <xf numFmtId="0" fontId="2" fillId="0" borderId="0" xfId="0" applyFont="1"/>
    <xf numFmtId="0" fontId="1" fillId="0" borderId="0" xfId="0" applyFont="1"/>
    <xf numFmtId="0" fontId="2" fillId="0" borderId="0" xfId="0" applyFont="1" applyFill="1" applyAlignment="1">
      <alignment horizontal="left"/>
    </xf>
    <xf numFmtId="0" fontId="2" fillId="2" borderId="0" xfId="0" applyFont="1" applyFill="1" applyAlignment="1">
      <alignment horizontal="left"/>
    </xf>
    <xf numFmtId="0" fontId="0" fillId="0" borderId="0" xfId="0" applyFont="1" applyBorder="1"/>
    <xf numFmtId="49" fontId="0" fillId="0" borderId="0" xfId="0" applyNumberFormat="1" applyFont="1" applyFill="1" applyBorder="1" applyAlignment="1">
      <alignment horizontal="right"/>
    </xf>
    <xf numFmtId="49" fontId="1" fillId="0" borderId="0" xfId="0" applyNumberFormat="1" applyFont="1" applyFill="1" applyAlignment="1">
      <alignment horizontal="right"/>
    </xf>
    <xf numFmtId="167" fontId="2" fillId="2" borderId="3" xfId="3" applyNumberFormat="1" applyFont="1" applyFill="1" applyBorder="1"/>
    <xf numFmtId="167" fontId="2" fillId="2" borderId="4" xfId="3" applyNumberFormat="1" applyFont="1" applyFill="1" applyBorder="1"/>
    <xf numFmtId="167" fontId="2" fillId="0" borderId="0" xfId="3" applyNumberFormat="1" applyFont="1" applyFill="1" applyBorder="1"/>
    <xf numFmtId="168" fontId="2" fillId="2" borderId="4" xfId="2" applyNumberFormat="1" applyFont="1" applyFill="1" applyBorder="1"/>
    <xf numFmtId="49" fontId="2" fillId="0" borderId="0" xfId="0" applyNumberFormat="1" applyFont="1" applyFill="1" applyBorder="1" applyAlignment="1">
      <alignment horizontal="center"/>
    </xf>
    <xf numFmtId="168" fontId="2" fillId="2" borderId="3" xfId="2" applyNumberFormat="1" applyFont="1" applyFill="1" applyBorder="1"/>
    <xf numFmtId="0" fontId="0" fillId="0" borderId="0" xfId="0" applyFill="1" applyBorder="1"/>
    <xf numFmtId="167" fontId="0" fillId="0" borderId="0" xfId="0" applyNumberFormat="1"/>
    <xf numFmtId="167" fontId="2" fillId="2" borderId="1" xfId="3" applyNumberFormat="1" applyFont="1" applyFill="1" applyBorder="1" applyAlignment="1">
      <alignment horizontal="centerContinuous"/>
    </xf>
    <xf numFmtId="167" fontId="0" fillId="0" borderId="0" xfId="0" applyNumberFormat="1" applyAlignment="1">
      <alignment horizontal="centerContinuous"/>
    </xf>
    <xf numFmtId="167" fontId="2" fillId="2" borderId="1" xfId="3" applyNumberFormat="1" applyFont="1" applyFill="1" applyBorder="1" applyAlignment="1">
      <alignment horizontal="center"/>
    </xf>
    <xf numFmtId="0" fontId="0" fillId="3" borderId="5" xfId="0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/>
    </xf>
    <xf numFmtId="167" fontId="0" fillId="0" borderId="0" xfId="1" applyNumberFormat="1" applyFont="1"/>
    <xf numFmtId="49" fontId="1" fillId="0" borderId="0" xfId="0" applyNumberFormat="1" applyFont="1" applyFill="1"/>
    <xf numFmtId="0" fontId="2" fillId="2" borderId="1" xfId="0" applyNumberFormat="1" applyFont="1" applyFill="1" applyBorder="1" applyAlignment="1">
      <alignment horizontal="center"/>
    </xf>
    <xf numFmtId="167" fontId="0" fillId="0" borderId="0" xfId="0" applyNumberFormat="1" applyFill="1"/>
    <xf numFmtId="164" fontId="2" fillId="0" borderId="0" xfId="1" applyNumberFormat="1" applyFont="1" applyAlignment="1">
      <alignment horizontal="left"/>
    </xf>
    <xf numFmtId="167" fontId="2" fillId="2" borderId="1" xfId="0" applyNumberFormat="1" applyFont="1" applyFill="1" applyBorder="1" applyAlignment="1">
      <alignment horizontal="center"/>
    </xf>
    <xf numFmtId="167" fontId="2" fillId="2" borderId="1" xfId="0" applyNumberFormat="1" applyFont="1" applyFill="1" applyBorder="1" applyAlignment="1">
      <alignment horizontal="centerContinuous"/>
    </xf>
    <xf numFmtId="167" fontId="0" fillId="0" borderId="0" xfId="3" applyNumberFormat="1" applyFont="1"/>
    <xf numFmtId="167" fontId="0" fillId="0" borderId="0" xfId="3" applyNumberFormat="1" applyFont="1" applyAlignment="1">
      <alignment horizontal="centerContinuous"/>
    </xf>
    <xf numFmtId="49" fontId="2" fillId="0" borderId="0" xfId="0" applyNumberFormat="1" applyFont="1" applyFill="1"/>
    <xf numFmtId="0" fontId="2" fillId="0" borderId="0" xfId="0" applyFont="1" applyFill="1" applyBorder="1"/>
    <xf numFmtId="166" fontId="3" fillId="0" borderId="0" xfId="0" applyNumberFormat="1" applyFont="1" applyAlignment="1">
      <alignment horizontal="left"/>
    </xf>
    <xf numFmtId="0" fontId="4" fillId="0" borderId="0" xfId="0" applyFont="1"/>
    <xf numFmtId="49" fontId="2" fillId="2" borderId="1" xfId="0" applyNumberFormat="1" applyFont="1" applyFill="1" applyBorder="1" applyAlignment="1">
      <alignment horizontal="center"/>
    </xf>
    <xf numFmtId="0" fontId="2" fillId="0" borderId="0" xfId="0" applyFont="1" applyAlignment="1">
      <alignment horizontal="left"/>
    </xf>
    <xf numFmtId="0" fontId="5" fillId="0" borderId="0" xfId="0" applyFont="1" applyFill="1"/>
    <xf numFmtId="0" fontId="3" fillId="0" borderId="0" xfId="0" applyFont="1" applyAlignment="1">
      <alignment horizontal="left"/>
    </xf>
    <xf numFmtId="164" fontId="2" fillId="0" borderId="0" xfId="1" applyNumberFormat="1" applyFont="1" applyFill="1" applyAlignment="1">
      <alignment horizontal="centerContinuous"/>
    </xf>
    <xf numFmtId="0" fontId="0" fillId="0" borderId="0" xfId="0" applyFill="1" applyAlignment="1">
      <alignment horizontal="centerContinuous"/>
    </xf>
    <xf numFmtId="0" fontId="0" fillId="0" borderId="0" xfId="0" applyBorder="1"/>
    <xf numFmtId="165" fontId="0" fillId="0" borderId="0" xfId="0" applyNumberFormat="1"/>
    <xf numFmtId="14" fontId="2" fillId="0" borderId="0" xfId="0" applyNumberFormat="1" applyFont="1" applyAlignment="1">
      <alignment horizontal="left"/>
    </xf>
    <xf numFmtId="0" fontId="2" fillId="0" borderId="0" xfId="0" applyNumberFormat="1" applyFont="1" applyAlignment="1">
      <alignment horizontal="left"/>
    </xf>
    <xf numFmtId="49" fontId="0" fillId="3" borderId="5" xfId="0" applyNumberFormat="1" applyFill="1" applyBorder="1" applyAlignment="1">
      <alignment horizontal="center" vertical="center" wrapText="1"/>
    </xf>
    <xf numFmtId="49" fontId="0" fillId="0" borderId="0" xfId="0" applyNumberFormat="1"/>
  </cellXfs>
  <cellStyles count="4">
    <cellStyle name="Comma" xfId="1" builtinId="3"/>
    <cellStyle name="Currency" xfId="2" builtinId="4"/>
    <cellStyle name="Normal" xfId="0" builtinId="0"/>
    <cellStyle name="Percent" xfId="3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calcChain" Target="calcChain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theme" Target="theme/theme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1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2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2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2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2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2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3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3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3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3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3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3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3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3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3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3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3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3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4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4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4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4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4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4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3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4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4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4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4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4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4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4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4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5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5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5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5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5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5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5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5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5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5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5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5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5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6.xml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7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8.xml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9.xml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0.xml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1.xml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2.xml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3.xml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4.xml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5.xml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6.xml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7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8.xml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9.xml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0.xml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1.xml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2.xml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3.xml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4.xml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5.xml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6.xml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7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8.xml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9.xml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0.xml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1.xml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2.xml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3.xml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4.xml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5.xml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6.xml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7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8.xml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9.xml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0.xml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1.xml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2.xml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3.xml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4.xml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5.xml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6.xml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8.xml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9.xml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0.xml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1.xml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2.xml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3.xml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4.xml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5.xml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6.xml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8.xml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DZ3"/>
  <sheetViews>
    <sheetView workbookViewId="0"/>
  </sheetViews>
  <sheetFormatPr defaultRowHeight="14.4" x14ac:dyDescent="0.3"/>
  <cols>
    <col min="1" max="130" width="20.6640625" customWidth="1"/>
  </cols>
  <sheetData>
    <row r="1" spans="1:130" x14ac:dyDescent="0.3">
      <c r="B1">
        <v>4</v>
      </c>
    </row>
    <row r="3" spans="1:130" ht="28.8" x14ac:dyDescent="0.3">
      <c r="A3" s="41" t="s">
        <v>178</v>
      </c>
      <c r="B3" s="41" t="s">
        <v>196</v>
      </c>
      <c r="C3" s="41" t="s">
        <v>239</v>
      </c>
      <c r="D3" s="41" t="s">
        <v>99</v>
      </c>
      <c r="E3" s="41" t="s">
        <v>158</v>
      </c>
      <c r="F3" s="41" t="s">
        <v>0</v>
      </c>
      <c r="G3" s="41" t="s">
        <v>179</v>
      </c>
      <c r="H3" s="41" t="s">
        <v>53</v>
      </c>
      <c r="I3" s="41" t="s">
        <v>100</v>
      </c>
      <c r="J3" s="41" t="s">
        <v>214</v>
      </c>
      <c r="K3" s="41" t="s">
        <v>138</v>
      </c>
      <c r="L3" s="41" t="s">
        <v>215</v>
      </c>
      <c r="M3" s="41" t="s">
        <v>78</v>
      </c>
      <c r="N3" s="41" t="s">
        <v>79</v>
      </c>
      <c r="O3" s="41" t="s">
        <v>180</v>
      </c>
      <c r="P3" s="41" t="s">
        <v>197</v>
      </c>
      <c r="Q3" s="41" t="s">
        <v>17</v>
      </c>
      <c r="R3" s="41" t="s">
        <v>18</v>
      </c>
      <c r="S3" s="41" t="s">
        <v>54</v>
      </c>
      <c r="T3" s="41" t="s">
        <v>216</v>
      </c>
      <c r="U3" s="41" t="s">
        <v>271</v>
      </c>
      <c r="V3" s="41" t="s">
        <v>289</v>
      </c>
      <c r="W3" s="41" t="s">
        <v>181</v>
      </c>
      <c r="X3" s="41" t="s">
        <v>272</v>
      </c>
      <c r="Y3" s="41" t="s">
        <v>102</v>
      </c>
      <c r="Z3" s="41" t="s">
        <v>253</v>
      </c>
      <c r="AA3" s="41" t="s">
        <v>159</v>
      </c>
      <c r="AB3" s="41" t="s">
        <v>273</v>
      </c>
      <c r="AC3" s="41" t="s">
        <v>19</v>
      </c>
      <c r="AD3" s="41" t="s">
        <v>103</v>
      </c>
      <c r="AE3" s="41" t="s">
        <v>160</v>
      </c>
      <c r="AF3" s="41" t="s">
        <v>104</v>
      </c>
      <c r="AG3" s="41" t="s">
        <v>198</v>
      </c>
      <c r="AH3" s="41" t="s">
        <v>38</v>
      </c>
      <c r="AI3" s="41" t="s">
        <v>274</v>
      </c>
      <c r="AJ3" s="41" t="s">
        <v>275</v>
      </c>
      <c r="AK3" s="41" t="s">
        <v>80</v>
      </c>
      <c r="AL3" s="41" t="s">
        <v>254</v>
      </c>
      <c r="AM3" s="41" t="s">
        <v>255</v>
      </c>
      <c r="AN3" s="41" t="s">
        <v>235</v>
      </c>
      <c r="AO3" s="41" t="s">
        <v>311</v>
      </c>
      <c r="AP3" s="41" t="s">
        <v>312</v>
      </c>
      <c r="AQ3" s="41" t="s">
        <v>124</v>
      </c>
      <c r="AR3" s="41" t="s">
        <v>182</v>
      </c>
      <c r="AS3" s="41" t="s">
        <v>236</v>
      </c>
      <c r="AT3" s="41" t="s">
        <v>276</v>
      </c>
      <c r="AU3" s="41" t="s">
        <v>217</v>
      </c>
      <c r="AV3" s="41" t="s">
        <v>123</v>
      </c>
      <c r="AW3" s="41" t="s">
        <v>101</v>
      </c>
      <c r="AX3" s="41" t="s">
        <v>290</v>
      </c>
      <c r="AY3" s="41" t="s">
        <v>20</v>
      </c>
      <c r="AZ3" s="41" t="s">
        <v>291</v>
      </c>
      <c r="BA3" s="41" t="s">
        <v>278</v>
      </c>
      <c r="BB3" s="41" t="s">
        <v>110</v>
      </c>
      <c r="BC3" s="41"/>
      <c r="BD3" s="41"/>
      <c r="BE3" s="41"/>
      <c r="BF3" s="41"/>
      <c r="BG3" s="41"/>
      <c r="BH3" s="41"/>
      <c r="BI3" s="41"/>
      <c r="BJ3" s="41"/>
      <c r="BK3" s="41"/>
      <c r="BL3" s="41"/>
      <c r="BM3" s="41"/>
      <c r="BN3" s="41"/>
      <c r="BO3" s="41"/>
      <c r="BP3" s="41"/>
      <c r="BQ3" s="41"/>
      <c r="BR3" s="41"/>
      <c r="BS3" s="41"/>
      <c r="BT3" s="41"/>
      <c r="BU3" s="41"/>
      <c r="BV3" s="41"/>
      <c r="BW3" s="41"/>
      <c r="BX3" s="41"/>
      <c r="BY3" s="41"/>
      <c r="BZ3" s="41"/>
      <c r="CA3" s="41"/>
      <c r="CB3" s="41"/>
      <c r="CC3" s="41"/>
      <c r="CD3" s="41"/>
      <c r="CE3" s="41"/>
      <c r="CF3" s="41"/>
      <c r="CG3" s="41"/>
      <c r="CH3" s="41"/>
      <c r="CI3" s="41"/>
      <c r="CJ3" s="41"/>
      <c r="CK3" s="41"/>
      <c r="CL3" s="41"/>
      <c r="CM3" s="41"/>
      <c r="CN3" s="41"/>
      <c r="CO3" s="41"/>
      <c r="CP3" s="41"/>
      <c r="CQ3" s="41"/>
      <c r="CR3" s="41"/>
      <c r="CS3" s="41"/>
      <c r="CT3" s="41"/>
      <c r="CU3" s="41"/>
      <c r="CV3" s="41"/>
      <c r="CW3" s="41"/>
      <c r="CX3" s="41"/>
      <c r="CY3" s="41"/>
      <c r="CZ3" s="41"/>
      <c r="DA3" s="41"/>
      <c r="DB3" s="41"/>
      <c r="DC3" s="41"/>
      <c r="DD3" s="41"/>
      <c r="DE3" s="41"/>
      <c r="DF3" s="41"/>
      <c r="DG3" s="41"/>
      <c r="DH3" s="41"/>
      <c r="DI3" s="41"/>
      <c r="DJ3" s="41"/>
      <c r="DK3" s="41"/>
      <c r="DL3" s="41"/>
      <c r="DM3" s="41"/>
      <c r="DN3" s="41"/>
      <c r="DO3" s="41"/>
      <c r="DP3" s="41"/>
      <c r="DQ3" s="41"/>
      <c r="DR3" s="41"/>
      <c r="DS3" s="41"/>
      <c r="DT3" s="41"/>
      <c r="DU3" s="41"/>
      <c r="DV3" s="41"/>
      <c r="DW3" s="41"/>
      <c r="DX3" s="41"/>
      <c r="DY3" s="41"/>
      <c r="DZ3" s="41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50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7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50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7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7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7" customWidth="1" outlineLevel="1"/>
  </cols>
  <sheetData>
    <row r="2" spans="1:26" x14ac:dyDescent="0.3">
      <c r="D2" s="57" t="s">
        <v>23</v>
      </c>
    </row>
    <row r="3" spans="1:26" x14ac:dyDescent="0.3">
      <c r="D3" s="57" t="s">
        <v>237</v>
      </c>
      <c r="E3" s="17"/>
      <c r="F3" s="51"/>
      <c r="G3" s="17"/>
      <c r="H3" s="17"/>
      <c r="I3" s="17"/>
      <c r="J3" s="39"/>
      <c r="K3" s="17"/>
      <c r="L3" s="17"/>
      <c r="M3" s="17"/>
      <c r="N3" s="51"/>
      <c r="O3" s="61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3">
      <c r="D4" s="57" t="e">
        <f ca="1">CONCATENATE("Period ",RIGHT(_xll.OneStop.ReportPlayer.OSRFunctions.OSRGet("Period","PeriodId"),2),", ",_xll.OneStop.ReportPlayer.OSRFunctions.OSRGet("Period","Year"))</f>
        <v>#NAME?</v>
      </c>
      <c r="E4" s="17"/>
      <c r="F4" s="51"/>
      <c r="G4" s="17"/>
      <c r="H4" s="17"/>
      <c r="I4" s="17"/>
      <c r="J4" s="39"/>
      <c r="K4" s="17"/>
      <c r="L4" s="17"/>
      <c r="M4" s="17"/>
      <c r="N4" s="51"/>
      <c r="O4" s="61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3">
      <c r="A5" s="23"/>
      <c r="D5" s="65" t="e">
        <f ca="1">_xll.OneStop.ReportPlayer.OSRFunctions.OSRGet("Period","PeriodEnd")</f>
        <v>#NAME?</v>
      </c>
      <c r="E5" s="17"/>
      <c r="F5" s="51"/>
      <c r="G5" s="17"/>
      <c r="H5" s="17"/>
      <c r="I5" s="17"/>
      <c r="J5" s="39"/>
      <c r="K5" s="17"/>
      <c r="L5" s="17"/>
      <c r="M5" s="17"/>
      <c r="N5" s="51"/>
      <c r="O5" s="61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3">
      <c r="A6" s="23"/>
      <c r="B6" s="47"/>
      <c r="C6" s="47"/>
      <c r="D6" s="23" t="s">
        <v>107</v>
      </c>
      <c r="E6" s="17"/>
      <c r="F6" s="51"/>
      <c r="G6" s="17"/>
      <c r="H6" s="17"/>
      <c r="I6" s="17"/>
      <c r="J6" s="39"/>
      <c r="K6" s="17"/>
      <c r="L6" s="17"/>
      <c r="M6" s="17"/>
      <c r="N6" s="51"/>
      <c r="O6" s="60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3">
      <c r="B7" s="63"/>
    </row>
    <row r="8" spans="1:26" x14ac:dyDescent="0.3">
      <c r="B8" s="63"/>
    </row>
    <row r="9" spans="1:26" x14ac:dyDescent="0.3">
      <c r="B9" s="9"/>
      <c r="C9" s="9"/>
      <c r="D9" s="15" t="s">
        <v>292</v>
      </c>
      <c r="E9" s="15"/>
      <c r="F9" s="38"/>
      <c r="G9" s="15"/>
      <c r="H9" s="15"/>
      <c r="I9" s="15"/>
      <c r="J9" s="49"/>
      <c r="K9" s="15"/>
      <c r="L9" s="15"/>
      <c r="M9" s="15"/>
      <c r="N9" s="38"/>
      <c r="P9" s="15" t="s">
        <v>39</v>
      </c>
      <c r="Q9" s="15"/>
      <c r="R9" s="38"/>
      <c r="S9" s="15"/>
      <c r="T9" s="15"/>
      <c r="U9" s="15"/>
      <c r="V9" s="49"/>
      <c r="W9" s="15"/>
      <c r="X9" s="15"/>
      <c r="Y9" s="15"/>
      <c r="Z9" s="38"/>
    </row>
    <row r="10" spans="1:26" x14ac:dyDescent="0.3">
      <c r="A10" s="10"/>
      <c r="B10" s="53"/>
      <c r="C10" s="10"/>
      <c r="D10" s="42" t="s">
        <v>57</v>
      </c>
      <c r="E10" s="34"/>
      <c r="F10" s="40" t="s">
        <v>40</v>
      </c>
      <c r="G10" s="34"/>
      <c r="H10" s="45" t="s">
        <v>238</v>
      </c>
      <c r="I10" s="34"/>
      <c r="J10" s="48" t="s">
        <v>58</v>
      </c>
      <c r="K10" s="10"/>
      <c r="L10" s="42" t="s">
        <v>127</v>
      </c>
      <c r="M10" s="10"/>
      <c r="N10" s="40" t="s">
        <v>258</v>
      </c>
      <c r="O10" s="10"/>
      <c r="P10" s="56" t="s">
        <v>57</v>
      </c>
      <c r="Q10" s="34"/>
      <c r="R10" s="40" t="s">
        <v>40</v>
      </c>
      <c r="S10" s="34"/>
      <c r="T10" s="45" t="s">
        <v>238</v>
      </c>
      <c r="U10" s="34"/>
      <c r="V10" s="48" t="s">
        <v>58</v>
      </c>
      <c r="W10" s="10"/>
      <c r="X10" s="42" t="s">
        <v>127</v>
      </c>
      <c r="Y10" s="10"/>
      <c r="Z10" s="40" t="s">
        <v>258</v>
      </c>
    </row>
    <row r="11" spans="1:26" ht="15.6" x14ac:dyDescent="0.3">
      <c r="A11" s="9"/>
      <c r="B11" s="58"/>
      <c r="C11" s="9"/>
      <c r="D11" s="9"/>
      <c r="E11" s="9"/>
      <c r="F11" s="6"/>
      <c r="G11" s="9"/>
      <c r="H11" s="9"/>
      <c r="I11" s="9"/>
      <c r="J11" s="46"/>
      <c r="K11" s="9"/>
      <c r="L11" s="9"/>
      <c r="M11" s="9"/>
      <c r="N11" s="6"/>
      <c r="P11" s="9"/>
      <c r="Q11" s="9"/>
      <c r="R11" s="6"/>
      <c r="S11" s="9"/>
      <c r="T11" s="9"/>
      <c r="U11" s="9"/>
      <c r="V11" s="46"/>
      <c r="W11" s="9"/>
      <c r="X11" s="9"/>
      <c r="Y11" s="9"/>
      <c r="Z11" s="6"/>
    </row>
    <row r="12" spans="1:26" s="23" customFormat="1" collapsed="1" x14ac:dyDescent="0.3">
      <c r="A12" s="10"/>
      <c r="B12" s="25" t="s">
        <v>140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3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3" t="e">
        <f ca="1">-_xll.OneStop.ReportPlayer.OSRFunctions.OSRGet("GL_F_Trans","Value1")</f>
        <v>#NAME?</v>
      </c>
      <c r="E13" s="3"/>
      <c r="F13" s="19"/>
      <c r="G13" s="3"/>
      <c r="H13" s="3" t="e">
        <f ca="1">_xll.OneStop.ReportPlayer.OSRFunctions.OSRGet("GL_F_Trans","Value1")</f>
        <v>#NAME?</v>
      </c>
      <c r="I13" s="3"/>
      <c r="J13" s="19"/>
      <c r="K13" s="3"/>
      <c r="L13" s="3" t="e">
        <f t="shared" ca="1" si="0"/>
        <v>#NAME?</v>
      </c>
      <c r="M13" s="3"/>
      <c r="N13" s="19" t="e">
        <f t="shared" ca="1" si="1"/>
        <v>#NAME?</v>
      </c>
      <c r="O13" s="11"/>
      <c r="P13" s="3" t="e">
        <f ca="1">-_xll.OneStop.ReportPlayer.OSRFunctions.OSRGet("GL_F_Trans","Value1")</f>
        <v>#NAME?</v>
      </c>
      <c r="Q13" s="3"/>
      <c r="R13" s="19"/>
      <c r="S13" s="3"/>
      <c r="T13" s="3" t="e">
        <f ca="1">_xll.OneStop.ReportPlayer.OSRFunctions.OSRGet("GL_F_Trans","Value1")</f>
        <v>#NAME?</v>
      </c>
      <c r="U13" s="3"/>
      <c r="V13" s="19"/>
      <c r="W13" s="3"/>
      <c r="X13" s="3" t="e">
        <f t="shared" ca="1" si="2"/>
        <v>#NAME?</v>
      </c>
      <c r="Y13" s="3"/>
      <c r="Z13" s="19" t="e">
        <f t="shared" ca="1" si="3"/>
        <v>#NAME?</v>
      </c>
    </row>
    <row r="14" spans="1:26" x14ac:dyDescent="0.3">
      <c r="A14" s="9"/>
      <c r="B14" s="10"/>
      <c r="C14" s="9"/>
      <c r="D14" s="2"/>
      <c r="E14" s="2"/>
      <c r="F14" s="6"/>
      <c r="G14" s="2"/>
      <c r="H14" s="2"/>
      <c r="I14" s="2"/>
      <c r="J14" s="6"/>
      <c r="K14" s="2"/>
      <c r="L14" s="2"/>
      <c r="M14" s="2"/>
      <c r="N14" s="6"/>
      <c r="P14" s="2"/>
      <c r="Q14" s="2"/>
      <c r="R14" s="6"/>
      <c r="S14" s="2"/>
      <c r="T14" s="2"/>
      <c r="U14" s="2"/>
      <c r="V14" s="6"/>
      <c r="W14" s="2"/>
      <c r="X14" s="2"/>
      <c r="Y14" s="2"/>
      <c r="Z14" s="6"/>
    </row>
    <row r="15" spans="1:26" s="23" customFormat="1" collapsed="1" x14ac:dyDescent="0.3">
      <c r="A15" s="10"/>
      <c r="B15" s="25" t="s">
        <v>257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3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3" t="e">
        <f ca="1">_xll.OneStop.ReportPlayer.OSRFunctions.OSRGet("GL_F_Trans","Value1")</f>
        <v>#NAME?</v>
      </c>
      <c r="E16" s="3"/>
      <c r="F16" s="19" t="e">
        <f t="shared" ca="1" si="4"/>
        <v>#NAME?</v>
      </c>
      <c r="G16" s="3"/>
      <c r="H16" s="3" t="e">
        <f ca="1">_xll.OneStop.ReportPlayer.OSRFunctions.OSRGet("GL_F_Trans","Value1")</f>
        <v>#NAME?</v>
      </c>
      <c r="I16" s="3"/>
      <c r="J16" s="19" t="e">
        <f t="shared" ca="1" si="5"/>
        <v>#NAME?</v>
      </c>
      <c r="K16" s="3"/>
      <c r="L16" s="3" t="e">
        <f t="shared" ca="1" si="6"/>
        <v>#NAME?</v>
      </c>
      <c r="M16" s="3"/>
      <c r="N16" s="19" t="e">
        <f t="shared" ca="1" si="7"/>
        <v>#NAME?</v>
      </c>
      <c r="O16" s="11"/>
      <c r="P16" s="3" t="e">
        <f ca="1">_xll.OneStop.ReportPlayer.OSRFunctions.OSRGet("GL_F_Trans","Value1")</f>
        <v>#NAME?</v>
      </c>
      <c r="Q16" s="3"/>
      <c r="R16" s="19" t="e">
        <f t="shared" ca="1" si="8"/>
        <v>#NAME?</v>
      </c>
      <c r="S16" s="3"/>
      <c r="T16" s="3" t="e">
        <f ca="1">_xll.OneStop.ReportPlayer.OSRFunctions.OSRGet("GL_F_Trans","Value1")</f>
        <v>#NAME?</v>
      </c>
      <c r="U16" s="3"/>
      <c r="V16" s="19" t="e">
        <f t="shared" ca="1" si="9"/>
        <v>#NAME?</v>
      </c>
      <c r="W16" s="3"/>
      <c r="X16" s="3" t="e">
        <f t="shared" ca="1" si="10"/>
        <v>#NAME?</v>
      </c>
      <c r="Y16" s="3"/>
      <c r="Z16" s="19" t="e">
        <f t="shared" ca="1" si="11"/>
        <v>#NAME?</v>
      </c>
    </row>
    <row r="17" spans="1:26" x14ac:dyDescent="0.3">
      <c r="A17" s="9"/>
      <c r="B17" s="10"/>
      <c r="C17" s="10"/>
      <c r="D17" s="2"/>
      <c r="E17" s="2"/>
      <c r="F17" s="6"/>
      <c r="G17" s="2"/>
      <c r="H17" s="2"/>
      <c r="I17" s="2"/>
      <c r="J17" s="6"/>
      <c r="K17" s="2"/>
      <c r="L17" s="2"/>
      <c r="M17" s="2"/>
      <c r="N17" s="6"/>
      <c r="O17" s="10"/>
      <c r="P17" s="2"/>
      <c r="Q17" s="2"/>
      <c r="R17" s="6"/>
      <c r="S17" s="2"/>
      <c r="T17" s="2"/>
      <c r="U17" s="2"/>
      <c r="V17" s="6"/>
      <c r="W17" s="2"/>
      <c r="X17" s="2"/>
      <c r="Y17" s="2"/>
      <c r="Z17" s="6"/>
    </row>
    <row r="18" spans="1:26" s="23" customFormat="1" x14ac:dyDescent="0.3">
      <c r="A18" s="10"/>
      <c r="B18" s="26" t="s">
        <v>108</v>
      </c>
      <c r="C18" s="26"/>
      <c r="D18" s="21" t="e">
        <f ca="1">D12-D15</f>
        <v>#NAME?</v>
      </c>
      <c r="E18" s="13"/>
      <c r="F18" s="22" t="e">
        <f ca="1">IF(D$12=0,0,D18/D$12)</f>
        <v>#NAME?</v>
      </c>
      <c r="G18" s="13"/>
      <c r="H18" s="21" t="e">
        <f ca="1">H12-H15</f>
        <v>#NAME?</v>
      </c>
      <c r="I18" s="13"/>
      <c r="J18" s="22" t="e">
        <f ca="1">IF(H$12=0,0,H18/H$12)</f>
        <v>#NAME?</v>
      </c>
      <c r="K18" s="16"/>
      <c r="L18" s="21" t="e">
        <f ca="1">+D18-H18</f>
        <v>#NAME?</v>
      </c>
      <c r="M18" s="16"/>
      <c r="N18" s="22" t="e">
        <f ca="1">IF(H18=0,0,L18/H18)</f>
        <v>#NAME?</v>
      </c>
      <c r="O18" s="25"/>
      <c r="P18" s="21" t="e">
        <f ca="1">P12-P15</f>
        <v>#NAME?</v>
      </c>
      <c r="Q18" s="13"/>
      <c r="R18" s="22" t="e">
        <f ca="1">IF(P$12=0,0,P18/P$12)</f>
        <v>#NAME?</v>
      </c>
      <c r="S18" s="13"/>
      <c r="T18" s="21" t="e">
        <f ca="1">T12-T15</f>
        <v>#NAME?</v>
      </c>
      <c r="U18" s="13"/>
      <c r="V18" s="22" t="e">
        <f ca="1">IF(T$12=0,0,T18/T$12)</f>
        <v>#NAME?</v>
      </c>
      <c r="W18" s="16"/>
      <c r="X18" s="21" t="e">
        <f ca="1">+P18-T18</f>
        <v>#NAME?</v>
      </c>
      <c r="Y18" s="16"/>
      <c r="Z18" s="22" t="e">
        <f ca="1">IF(T18=0,0,X18/T18)</f>
        <v>#NAME?</v>
      </c>
    </row>
    <row r="19" spans="1:26" x14ac:dyDescent="0.3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">
      <c r="A20" s="10"/>
      <c r="B20" s="25" t="s">
        <v>295</v>
      </c>
      <c r="C20" s="10"/>
      <c r="D20" s="20" t="e">
        <f ca="1">SUM(_xll.OneStop.ReportPlayer.OSRFunctions.OSRRef(D22))</f>
        <v>#NAME?</v>
      </c>
      <c r="E20" s="20"/>
      <c r="F20" s="32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2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2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2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2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2" t="e">
        <f t="shared" ref="Z20:Z22" ca="1" si="19">IF(T20=0,0,X20/T20)</f>
        <v>#NAME?</v>
      </c>
    </row>
    <row r="21" spans="1:26" s="27" customFormat="1" outlineLevel="1" collapsed="1" x14ac:dyDescent="0.3">
      <c r="A21" s="28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3">
      <c r="A22" s="29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8" t="e">
        <f ca="1">_xll.OneStop.ReportPlayer.OSRFunctions.OSRGet("GL_F_Trans","Value1")</f>
        <v>#NAME?</v>
      </c>
      <c r="E22" s="3"/>
      <c r="F22" s="7" t="e">
        <f t="shared" ca="1" si="12"/>
        <v>#NAME?</v>
      </c>
      <c r="G22" s="3"/>
      <c r="H22" s="8" t="e">
        <f ca="1">_xll.OneStop.ReportPlayer.OSRFunctions.OSRGet("GL_F_Trans","Value1")</f>
        <v>#NAME?</v>
      </c>
      <c r="I22" s="3"/>
      <c r="J22" s="7" t="e">
        <f t="shared" ca="1" si="13"/>
        <v>#NAME?</v>
      </c>
      <c r="K22" s="3"/>
      <c r="L22" s="8" t="e">
        <f t="shared" ca="1" si="14"/>
        <v>#NAME?</v>
      </c>
      <c r="M22" s="3"/>
      <c r="N22" s="7" t="e">
        <f t="shared" ca="1" si="15"/>
        <v>#NAME?</v>
      </c>
      <c r="O22" s="11"/>
      <c r="P22" s="8" t="e">
        <f ca="1">_xll.OneStop.ReportPlayer.OSRFunctions.OSRGet("GL_F_Trans","Value1")</f>
        <v>#NAME?</v>
      </c>
      <c r="Q22" s="3"/>
      <c r="R22" s="7" t="e">
        <f t="shared" ca="1" si="16"/>
        <v>#NAME?</v>
      </c>
      <c r="S22" s="3"/>
      <c r="T22" s="8" t="e">
        <f ca="1">_xll.OneStop.ReportPlayer.OSRFunctions.OSRGet("GL_F_Trans","Value1")</f>
        <v>#NAME?</v>
      </c>
      <c r="U22" s="3"/>
      <c r="V22" s="7" t="e">
        <f t="shared" ca="1" si="17"/>
        <v>#NAME?</v>
      </c>
      <c r="W22" s="3"/>
      <c r="X22" s="8" t="e">
        <f t="shared" ca="1" si="18"/>
        <v>#NAME?</v>
      </c>
      <c r="Y22" s="3"/>
      <c r="Z22" s="7" t="e">
        <f t="shared" ca="1" si="19"/>
        <v>#NAME?</v>
      </c>
    </row>
    <row r="23" spans="1:26" s="62" customFormat="1" x14ac:dyDescent="0.3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3">
      <c r="A24" s="10"/>
      <c r="B24" s="25" t="s">
        <v>293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3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3" t="e">
        <f ca="1">-_xll.OneStop.ReportPlayer.OSRFunctions.OSRGet("GL_F_Trans","Value1")</f>
        <v>#NAME?</v>
      </c>
      <c r="E25" s="3"/>
      <c r="F25" s="19" t="e">
        <f t="shared" ca="1" si="20"/>
        <v>#NAME?</v>
      </c>
      <c r="G25" s="3"/>
      <c r="H25" s="3" t="e">
        <f ca="1">_xll.OneStop.ReportPlayer.OSRFunctions.OSRGet("GL_F_Trans","Value1")</f>
        <v>#NAME?</v>
      </c>
      <c r="I25" s="3"/>
      <c r="J25" s="19" t="e">
        <f t="shared" ca="1" si="21"/>
        <v>#NAME?</v>
      </c>
      <c r="K25" s="3"/>
      <c r="L25" s="3" t="e">
        <f t="shared" ca="1" si="22"/>
        <v>#NAME?</v>
      </c>
      <c r="M25" s="3"/>
      <c r="N25" s="19" t="e">
        <f t="shared" ca="1" si="23"/>
        <v>#NAME?</v>
      </c>
      <c r="O25" s="11"/>
      <c r="P25" s="3" t="e">
        <f ca="1">-_xll.OneStop.ReportPlayer.OSRFunctions.OSRGet("GL_F_Trans","Value1")</f>
        <v>#NAME?</v>
      </c>
      <c r="Q25" s="3"/>
      <c r="R25" s="19" t="e">
        <f t="shared" ca="1" si="24"/>
        <v>#NAME?</v>
      </c>
      <c r="S25" s="3"/>
      <c r="T25" s="3" t="e">
        <f ca="1">_xll.OneStop.ReportPlayer.OSRFunctions.OSRGet("GL_F_Trans","Value1")</f>
        <v>#NAME?</v>
      </c>
      <c r="U25" s="3"/>
      <c r="V25" s="19" t="e">
        <f t="shared" ca="1" si="25"/>
        <v>#NAME?</v>
      </c>
      <c r="W25" s="3"/>
      <c r="X25" s="3" t="e">
        <f t="shared" ca="1" si="26"/>
        <v>#NAME?</v>
      </c>
      <c r="Y25" s="3"/>
      <c r="Z25" s="19" t="e">
        <f t="shared" ca="1" si="27"/>
        <v>#NAME?</v>
      </c>
    </row>
    <row r="26" spans="1:26" x14ac:dyDescent="0.3">
      <c r="A26" s="9"/>
      <c r="B26" s="10"/>
      <c r="C26" s="10"/>
      <c r="D26" s="2"/>
      <c r="E26" s="2"/>
      <c r="F26" s="6"/>
      <c r="G26" s="2"/>
      <c r="H26" s="2"/>
      <c r="I26" s="2"/>
      <c r="J26" s="6"/>
      <c r="K26" s="2"/>
      <c r="L26" s="2"/>
      <c r="M26" s="2"/>
      <c r="N26" s="6"/>
      <c r="O26" s="10"/>
      <c r="P26" s="2"/>
      <c r="Q26" s="2"/>
      <c r="R26" s="6"/>
      <c r="S26" s="2"/>
      <c r="T26" s="2"/>
      <c r="U26" s="2"/>
      <c r="V26" s="6"/>
      <c r="W26" s="2"/>
      <c r="X26" s="2"/>
      <c r="Y26" s="2"/>
      <c r="Z26" s="6"/>
    </row>
    <row r="27" spans="1:26" s="23" customFormat="1" x14ac:dyDescent="0.3">
      <c r="A27" s="10"/>
      <c r="B27" s="26" t="s">
        <v>277</v>
      </c>
      <c r="C27" s="26"/>
      <c r="D27" s="21" t="e">
        <f ca="1">+D18-D20+D24</f>
        <v>#NAME?</v>
      </c>
      <c r="E27" s="13"/>
      <c r="F27" s="22" t="e">
        <f ca="1">IF(D$12=0,0,D27/D$12)</f>
        <v>#NAME?</v>
      </c>
      <c r="G27" s="13"/>
      <c r="H27" s="21" t="e">
        <f ca="1">+H18-H20+H24</f>
        <v>#NAME?</v>
      </c>
      <c r="I27" s="13"/>
      <c r="J27" s="22" t="e">
        <f ca="1">IF(H$12=0,0,H27/H$12)</f>
        <v>#NAME?</v>
      </c>
      <c r="K27" s="16"/>
      <c r="L27" s="21" t="e">
        <f ca="1">+D27-H27</f>
        <v>#NAME?</v>
      </c>
      <c r="M27" s="16"/>
      <c r="N27" s="22" t="e">
        <f ca="1">IF(H27=0,0,L27/H27)</f>
        <v>#NAME?</v>
      </c>
      <c r="O27" s="25"/>
      <c r="P27" s="21" t="e">
        <f ca="1">+P18-P20+P24</f>
        <v>#NAME?</v>
      </c>
      <c r="Q27" s="13"/>
      <c r="R27" s="22" t="e">
        <f ca="1">IF(P$12=0,0,P27/P$12)</f>
        <v>#NAME?</v>
      </c>
      <c r="S27" s="13"/>
      <c r="T27" s="21" t="e">
        <f ca="1">+T18-T20+T24</f>
        <v>#NAME?</v>
      </c>
      <c r="U27" s="13"/>
      <c r="V27" s="22" t="e">
        <f ca="1">IF(T$12=0,0,T27/T$12)</f>
        <v>#NAME?</v>
      </c>
      <c r="W27" s="16"/>
      <c r="X27" s="21" t="e">
        <f ca="1">+P27-T27</f>
        <v>#NAME?</v>
      </c>
      <c r="Y27" s="16"/>
      <c r="Z27" s="22" t="e">
        <f ca="1">IF(T27=0,0,X27/T27)</f>
        <v>#NAME?</v>
      </c>
    </row>
    <row r="28" spans="1:26" x14ac:dyDescent="0.3">
      <c r="A28" s="9"/>
      <c r="B28" s="10"/>
      <c r="C28" s="9"/>
      <c r="D28" s="2"/>
      <c r="E28" s="2"/>
      <c r="F28" s="6"/>
      <c r="G28" s="2"/>
      <c r="H28" s="2"/>
      <c r="I28" s="2"/>
      <c r="J28" s="6"/>
      <c r="K28" s="2"/>
      <c r="L28" s="2"/>
      <c r="M28" s="2"/>
      <c r="N28" s="6"/>
      <c r="P28" s="2"/>
      <c r="Q28" s="2"/>
      <c r="R28" s="6"/>
      <c r="S28" s="2"/>
      <c r="T28" s="2"/>
      <c r="U28" s="2"/>
      <c r="V28" s="6"/>
      <c r="W28" s="2"/>
      <c r="X28" s="2"/>
      <c r="Y28" s="2"/>
      <c r="Z28" s="6"/>
    </row>
    <row r="29" spans="1:26" s="23" customFormat="1" x14ac:dyDescent="0.3">
      <c r="A29" s="52"/>
      <c r="B29" s="10" t="s">
        <v>128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3">
      <c r="A30" s="9"/>
      <c r="B30" s="10"/>
      <c r="C30" s="10"/>
      <c r="D30" s="2"/>
      <c r="E30" s="2"/>
      <c r="F30" s="6"/>
      <c r="G30" s="2"/>
      <c r="H30" s="2"/>
      <c r="I30" s="2"/>
      <c r="J30" s="6"/>
      <c r="K30" s="2"/>
      <c r="L30" s="2"/>
      <c r="M30" s="2"/>
      <c r="N30" s="6"/>
      <c r="O30" s="10"/>
      <c r="P30" s="2"/>
      <c r="Q30" s="2"/>
      <c r="R30" s="6"/>
      <c r="S30" s="2"/>
      <c r="T30" s="2"/>
      <c r="U30" s="2"/>
      <c r="V30" s="6"/>
      <c r="W30" s="2"/>
      <c r="X30" s="2"/>
      <c r="Y30" s="2"/>
      <c r="Z30" s="6"/>
    </row>
    <row r="31" spans="1:26" s="23" customFormat="1" ht="15" thickBot="1" x14ac:dyDescent="0.35">
      <c r="A31" s="10"/>
      <c r="B31" s="26" t="s">
        <v>126</v>
      </c>
      <c r="C31" s="26"/>
      <c r="D31" s="35" t="e">
        <f ca="1">+D27-D29</f>
        <v>#NAME?</v>
      </c>
      <c r="E31" s="13"/>
      <c r="F31" s="30" t="e">
        <f ca="1">IF(D$12=0,0,D31/D$12)</f>
        <v>#NAME?</v>
      </c>
      <c r="G31" s="13"/>
      <c r="H31" s="35" t="e">
        <f ca="1">+H27-H29</f>
        <v>#NAME?</v>
      </c>
      <c r="I31" s="13"/>
      <c r="J31" s="30" t="e">
        <f ca="1">IF(H$12=0,0,H31/H$12)</f>
        <v>#NAME?</v>
      </c>
      <c r="K31" s="16"/>
      <c r="L31" s="35" t="e">
        <f ca="1">D31-H31</f>
        <v>#NAME?</v>
      </c>
      <c r="M31" s="16"/>
      <c r="N31" s="30" t="e">
        <f ca="1">IF(H31=0,0,L31/H31)</f>
        <v>#NAME?</v>
      </c>
      <c r="O31" s="25"/>
      <c r="P31" s="35" t="e">
        <f ca="1">+P27-P29</f>
        <v>#NAME?</v>
      </c>
      <c r="Q31" s="13"/>
      <c r="R31" s="30" t="e">
        <f ca="1">IF(P$12=0,0,P31/P$12)</f>
        <v>#NAME?</v>
      </c>
      <c r="S31" s="13"/>
      <c r="T31" s="35" t="e">
        <f ca="1">+T27-T29</f>
        <v>#NAME?</v>
      </c>
      <c r="U31" s="13"/>
      <c r="V31" s="30" t="e">
        <f ca="1">IF(T$12=0,0,T31/T$12)</f>
        <v>#NAME?</v>
      </c>
      <c r="W31" s="16"/>
      <c r="X31" s="35" t="e">
        <f ca="1">P31-T31</f>
        <v>#NAME?</v>
      </c>
      <c r="Y31" s="16"/>
      <c r="Z31" s="30" t="e">
        <f ca="1">IF(T31=0,0,X31/T31)</f>
        <v>#NAME?</v>
      </c>
    </row>
    <row r="32" spans="1:26" ht="15" thickTop="1" x14ac:dyDescent="0.3">
      <c r="A32" s="9"/>
      <c r="B32" s="9"/>
      <c r="C32" s="9"/>
      <c r="D32" s="2"/>
      <c r="E32" s="2"/>
      <c r="F32" s="6"/>
      <c r="G32" s="2"/>
      <c r="H32" s="2"/>
      <c r="I32" s="2"/>
      <c r="J32" s="6"/>
      <c r="K32" s="2"/>
      <c r="L32" s="2"/>
      <c r="M32" s="2"/>
      <c r="N32" s="6"/>
      <c r="P32" s="2"/>
      <c r="Q32" s="2"/>
      <c r="R32" s="6"/>
      <c r="S32" s="2"/>
      <c r="T32" s="2"/>
      <c r="U32" s="2"/>
      <c r="V32" s="6"/>
      <c r="W32" s="2"/>
      <c r="X32" s="2"/>
      <c r="Y32" s="2"/>
      <c r="Z32" s="6"/>
    </row>
    <row r="33" spans="1:26" s="23" customFormat="1" x14ac:dyDescent="0.3">
      <c r="A33" s="52"/>
      <c r="B33" s="10" t="s">
        <v>184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3">
      <c r="A34" s="52"/>
      <c r="B34" s="10" t="s">
        <v>82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3">
      <c r="A35" s="9"/>
      <c r="B35" s="9"/>
      <c r="C35" s="9"/>
      <c r="D35" s="2"/>
      <c r="E35" s="2"/>
      <c r="F35" s="6"/>
      <c r="G35" s="2"/>
      <c r="H35" s="2"/>
      <c r="I35" s="2"/>
      <c r="J35" s="6"/>
      <c r="K35" s="2"/>
      <c r="L35" s="2"/>
      <c r="M35" s="2"/>
      <c r="N35" s="6"/>
      <c r="P35" s="2"/>
      <c r="Q35" s="2"/>
      <c r="R35" s="6"/>
      <c r="S35" s="2"/>
      <c r="T35" s="2"/>
      <c r="U35" s="2"/>
      <c r="V35" s="6"/>
      <c r="W35" s="2"/>
      <c r="X35" s="2"/>
      <c r="Y35" s="2"/>
      <c r="Z35" s="6"/>
    </row>
    <row r="36" spans="1:26" s="23" customFormat="1" ht="15" thickBot="1" x14ac:dyDescent="0.35">
      <c r="A36" s="10"/>
      <c r="B36" s="26" t="s">
        <v>294</v>
      </c>
      <c r="C36" s="26"/>
      <c r="D36" s="33" t="e">
        <f ca="1">SUM(D31:D35)</f>
        <v>#NAME?</v>
      </c>
      <c r="E36" s="13"/>
      <c r="F36" s="31" t="e">
        <f ca="1">IF(D$12=0,0,D36/D$12)</f>
        <v>#NAME?</v>
      </c>
      <c r="G36" s="13"/>
      <c r="H36" s="33" t="e">
        <f ca="1">SUM(H31:H35)</f>
        <v>#NAME?</v>
      </c>
      <c r="I36" s="13"/>
      <c r="J36" s="31" t="e">
        <f ca="1">IF(H$12=0,0,H36/H$12)</f>
        <v>#NAME?</v>
      </c>
      <c r="K36" s="16"/>
      <c r="L36" s="33" t="e">
        <f ca="1">+D36-H36</f>
        <v>#NAME?</v>
      </c>
      <c r="M36" s="16"/>
      <c r="N36" s="31" t="e">
        <f ca="1">IF(H36=0,0,L36/H36)</f>
        <v>#NAME?</v>
      </c>
      <c r="O36" s="25"/>
      <c r="P36" s="33" t="e">
        <f ca="1">SUM(P31:P35)</f>
        <v>#NAME?</v>
      </c>
      <c r="Q36" s="13"/>
      <c r="R36" s="31" t="e">
        <f ca="1">IF(P$12=0,0,P36/P$12)</f>
        <v>#NAME?</v>
      </c>
      <c r="S36" s="13"/>
      <c r="T36" s="33" t="e">
        <f ca="1">SUM(T31:T35)</f>
        <v>#NAME?</v>
      </c>
      <c r="U36" s="13"/>
      <c r="V36" s="31" t="e">
        <f ca="1">IF(T$12=0,0,T36/T$12)</f>
        <v>#NAME?</v>
      </c>
      <c r="W36" s="16"/>
      <c r="X36" s="33" t="e">
        <f ca="1">+P36-T36</f>
        <v>#NAME?</v>
      </c>
      <c r="Y36" s="16"/>
      <c r="Z36" s="31" t="e">
        <f ca="1">IF(T36=0,0,X36/T36)</f>
        <v>#NAME?</v>
      </c>
    </row>
    <row r="37" spans="1:26" ht="15" thickTop="1" x14ac:dyDescent="0.3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3">
      <c r="A38" s="9"/>
      <c r="B38" s="54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3">
      <c r="A39" s="9"/>
      <c r="B39" s="59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3">
      <c r="A40" s="9"/>
      <c r="B40" s="55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3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50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7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50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7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7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7" customWidth="1" outlineLevel="1"/>
  </cols>
  <sheetData>
    <row r="2" spans="1:26" x14ac:dyDescent="0.3">
      <c r="D2" s="57" t="s">
        <v>23</v>
      </c>
    </row>
    <row r="3" spans="1:26" x14ac:dyDescent="0.3">
      <c r="D3" s="57" t="s">
        <v>237</v>
      </c>
      <c r="E3" s="17"/>
      <c r="F3" s="51"/>
      <c r="G3" s="17"/>
      <c r="H3" s="17"/>
      <c r="I3" s="17"/>
      <c r="J3" s="39"/>
      <c r="K3" s="17"/>
      <c r="L3" s="17"/>
      <c r="M3" s="17"/>
      <c r="N3" s="51"/>
      <c r="O3" s="61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3">
      <c r="D4" s="57" t="e">
        <f ca="1">CONCATENATE("Period ",RIGHT(_xll.OneStop.ReportPlayer.OSRFunctions.OSRGet("Period","PeriodId"),2),", ",_xll.OneStop.ReportPlayer.OSRFunctions.OSRGet("Period","Year"))</f>
        <v>#NAME?</v>
      </c>
      <c r="E4" s="17"/>
      <c r="F4" s="51"/>
      <c r="G4" s="17"/>
      <c r="H4" s="17"/>
      <c r="I4" s="17"/>
      <c r="J4" s="39"/>
      <c r="K4" s="17"/>
      <c r="L4" s="17"/>
      <c r="M4" s="17"/>
      <c r="N4" s="51"/>
      <c r="O4" s="61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3">
      <c r="A5" s="23"/>
      <c r="D5" s="65" t="e">
        <f ca="1">_xll.OneStop.ReportPlayer.OSRFunctions.OSRGet("Period","PeriodEnd")</f>
        <v>#NAME?</v>
      </c>
      <c r="E5" s="17"/>
      <c r="F5" s="51"/>
      <c r="G5" s="17"/>
      <c r="H5" s="17"/>
      <c r="I5" s="17"/>
      <c r="J5" s="39"/>
      <c r="K5" s="17"/>
      <c r="L5" s="17"/>
      <c r="M5" s="17"/>
      <c r="N5" s="51"/>
      <c r="O5" s="61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3">
      <c r="A6" s="23"/>
      <c r="B6" s="47"/>
      <c r="C6" s="47"/>
      <c r="D6" s="23" t="s">
        <v>107</v>
      </c>
      <c r="E6" s="17"/>
      <c r="F6" s="51"/>
      <c r="G6" s="17"/>
      <c r="H6" s="17"/>
      <c r="I6" s="17"/>
      <c r="J6" s="39"/>
      <c r="K6" s="17"/>
      <c r="L6" s="17"/>
      <c r="M6" s="17"/>
      <c r="N6" s="51"/>
      <c r="O6" s="60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3">
      <c r="B7" s="63"/>
    </row>
    <row r="8" spans="1:26" x14ac:dyDescent="0.3">
      <c r="B8" s="63"/>
    </row>
    <row r="9" spans="1:26" x14ac:dyDescent="0.3">
      <c r="B9" s="9"/>
      <c r="C9" s="9"/>
      <c r="D9" s="15" t="s">
        <v>292</v>
      </c>
      <c r="E9" s="15"/>
      <c r="F9" s="38"/>
      <c r="G9" s="15"/>
      <c r="H9" s="15"/>
      <c r="I9" s="15"/>
      <c r="J9" s="49"/>
      <c r="K9" s="15"/>
      <c r="L9" s="15"/>
      <c r="M9" s="15"/>
      <c r="N9" s="38"/>
      <c r="P9" s="15" t="s">
        <v>39</v>
      </c>
      <c r="Q9" s="15"/>
      <c r="R9" s="38"/>
      <c r="S9" s="15"/>
      <c r="T9" s="15"/>
      <c r="U9" s="15"/>
      <c r="V9" s="49"/>
      <c r="W9" s="15"/>
      <c r="X9" s="15"/>
      <c r="Y9" s="15"/>
      <c r="Z9" s="38"/>
    </row>
    <row r="10" spans="1:26" x14ac:dyDescent="0.3">
      <c r="A10" s="10"/>
      <c r="B10" s="53"/>
      <c r="C10" s="10"/>
      <c r="D10" s="42" t="s">
        <v>57</v>
      </c>
      <c r="E10" s="34"/>
      <c r="F10" s="40" t="s">
        <v>40</v>
      </c>
      <c r="G10" s="34"/>
      <c r="H10" s="45" t="s">
        <v>238</v>
      </c>
      <c r="I10" s="34"/>
      <c r="J10" s="48" t="s">
        <v>58</v>
      </c>
      <c r="K10" s="10"/>
      <c r="L10" s="42" t="s">
        <v>127</v>
      </c>
      <c r="M10" s="10"/>
      <c r="N10" s="40" t="s">
        <v>258</v>
      </c>
      <c r="O10" s="10"/>
      <c r="P10" s="56" t="s">
        <v>57</v>
      </c>
      <c r="Q10" s="34"/>
      <c r="R10" s="40" t="s">
        <v>40</v>
      </c>
      <c r="S10" s="34"/>
      <c r="T10" s="45" t="s">
        <v>238</v>
      </c>
      <c r="U10" s="34"/>
      <c r="V10" s="48" t="s">
        <v>58</v>
      </c>
      <c r="W10" s="10"/>
      <c r="X10" s="42" t="s">
        <v>127</v>
      </c>
      <c r="Y10" s="10"/>
      <c r="Z10" s="40" t="s">
        <v>258</v>
      </c>
    </row>
    <row r="11" spans="1:26" ht="15.6" x14ac:dyDescent="0.3">
      <c r="A11" s="9"/>
      <c r="B11" s="58"/>
      <c r="C11" s="9"/>
      <c r="D11" s="9"/>
      <c r="E11" s="9"/>
      <c r="F11" s="6"/>
      <c r="G11" s="9"/>
      <c r="H11" s="9"/>
      <c r="I11" s="9"/>
      <c r="J11" s="46"/>
      <c r="K11" s="9"/>
      <c r="L11" s="9"/>
      <c r="M11" s="9"/>
      <c r="N11" s="6"/>
      <c r="P11" s="9"/>
      <c r="Q11" s="9"/>
      <c r="R11" s="6"/>
      <c r="S11" s="9"/>
      <c r="T11" s="9"/>
      <c r="U11" s="9"/>
      <c r="V11" s="46"/>
      <c r="W11" s="9"/>
      <c r="X11" s="9"/>
      <c r="Y11" s="9"/>
      <c r="Z11" s="6"/>
    </row>
    <row r="12" spans="1:26" s="23" customFormat="1" collapsed="1" x14ac:dyDescent="0.3">
      <c r="A12" s="10"/>
      <c r="B12" s="25" t="s">
        <v>140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3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3" t="e">
        <f ca="1">-_xll.OneStop.ReportPlayer.OSRFunctions.OSRGet("GL_F_Trans","Value1")</f>
        <v>#NAME?</v>
      </c>
      <c r="E13" s="3"/>
      <c r="F13" s="19"/>
      <c r="G13" s="3"/>
      <c r="H13" s="3" t="e">
        <f ca="1">_xll.OneStop.ReportPlayer.OSRFunctions.OSRGet("GL_F_Trans","Value1")</f>
        <v>#NAME?</v>
      </c>
      <c r="I13" s="3"/>
      <c r="J13" s="19"/>
      <c r="K13" s="3"/>
      <c r="L13" s="3" t="e">
        <f t="shared" ca="1" si="0"/>
        <v>#NAME?</v>
      </c>
      <c r="M13" s="3"/>
      <c r="N13" s="19" t="e">
        <f t="shared" ca="1" si="1"/>
        <v>#NAME?</v>
      </c>
      <c r="O13" s="11"/>
      <c r="P13" s="3" t="e">
        <f ca="1">-_xll.OneStop.ReportPlayer.OSRFunctions.OSRGet("GL_F_Trans","Value1")</f>
        <v>#NAME?</v>
      </c>
      <c r="Q13" s="3"/>
      <c r="R13" s="19"/>
      <c r="S13" s="3"/>
      <c r="T13" s="3" t="e">
        <f ca="1">_xll.OneStop.ReportPlayer.OSRFunctions.OSRGet("GL_F_Trans","Value1")</f>
        <v>#NAME?</v>
      </c>
      <c r="U13" s="3"/>
      <c r="V13" s="19"/>
      <c r="W13" s="3"/>
      <c r="X13" s="3" t="e">
        <f t="shared" ca="1" si="2"/>
        <v>#NAME?</v>
      </c>
      <c r="Y13" s="3"/>
      <c r="Z13" s="19" t="e">
        <f t="shared" ca="1" si="3"/>
        <v>#NAME?</v>
      </c>
    </row>
    <row r="14" spans="1:26" x14ac:dyDescent="0.3">
      <c r="A14" s="9"/>
      <c r="B14" s="10"/>
      <c r="C14" s="9"/>
      <c r="D14" s="2"/>
      <c r="E14" s="2"/>
      <c r="F14" s="6"/>
      <c r="G14" s="2"/>
      <c r="H14" s="2"/>
      <c r="I14" s="2"/>
      <c r="J14" s="6"/>
      <c r="K14" s="2"/>
      <c r="L14" s="2"/>
      <c r="M14" s="2"/>
      <c r="N14" s="6"/>
      <c r="P14" s="2"/>
      <c r="Q14" s="2"/>
      <c r="R14" s="6"/>
      <c r="S14" s="2"/>
      <c r="T14" s="2"/>
      <c r="U14" s="2"/>
      <c r="V14" s="6"/>
      <c r="W14" s="2"/>
      <c r="X14" s="2"/>
      <c r="Y14" s="2"/>
      <c r="Z14" s="6"/>
    </row>
    <row r="15" spans="1:26" s="23" customFormat="1" collapsed="1" x14ac:dyDescent="0.3">
      <c r="A15" s="10"/>
      <c r="B15" s="25" t="s">
        <v>257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3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3" t="e">
        <f ca="1">_xll.OneStop.ReportPlayer.OSRFunctions.OSRGet("GL_F_Trans","Value1")</f>
        <v>#NAME?</v>
      </c>
      <c r="E16" s="3"/>
      <c r="F16" s="19" t="e">
        <f t="shared" ca="1" si="4"/>
        <v>#NAME?</v>
      </c>
      <c r="G16" s="3"/>
      <c r="H16" s="3" t="e">
        <f ca="1">_xll.OneStop.ReportPlayer.OSRFunctions.OSRGet("GL_F_Trans","Value1")</f>
        <v>#NAME?</v>
      </c>
      <c r="I16" s="3"/>
      <c r="J16" s="19" t="e">
        <f t="shared" ca="1" si="5"/>
        <v>#NAME?</v>
      </c>
      <c r="K16" s="3"/>
      <c r="L16" s="3" t="e">
        <f t="shared" ca="1" si="6"/>
        <v>#NAME?</v>
      </c>
      <c r="M16" s="3"/>
      <c r="N16" s="19" t="e">
        <f t="shared" ca="1" si="7"/>
        <v>#NAME?</v>
      </c>
      <c r="O16" s="11"/>
      <c r="P16" s="3" t="e">
        <f ca="1">_xll.OneStop.ReportPlayer.OSRFunctions.OSRGet("GL_F_Trans","Value1")</f>
        <v>#NAME?</v>
      </c>
      <c r="Q16" s="3"/>
      <c r="R16" s="19" t="e">
        <f t="shared" ca="1" si="8"/>
        <v>#NAME?</v>
      </c>
      <c r="S16" s="3"/>
      <c r="T16" s="3" t="e">
        <f ca="1">_xll.OneStop.ReportPlayer.OSRFunctions.OSRGet("GL_F_Trans","Value1")</f>
        <v>#NAME?</v>
      </c>
      <c r="U16" s="3"/>
      <c r="V16" s="19" t="e">
        <f t="shared" ca="1" si="9"/>
        <v>#NAME?</v>
      </c>
      <c r="W16" s="3"/>
      <c r="X16" s="3" t="e">
        <f t="shared" ca="1" si="10"/>
        <v>#NAME?</v>
      </c>
      <c r="Y16" s="3"/>
      <c r="Z16" s="19" t="e">
        <f t="shared" ca="1" si="11"/>
        <v>#NAME?</v>
      </c>
    </row>
    <row r="17" spans="1:26" x14ac:dyDescent="0.3">
      <c r="A17" s="9"/>
      <c r="B17" s="10"/>
      <c r="C17" s="10"/>
      <c r="D17" s="2"/>
      <c r="E17" s="2"/>
      <c r="F17" s="6"/>
      <c r="G17" s="2"/>
      <c r="H17" s="2"/>
      <c r="I17" s="2"/>
      <c r="J17" s="6"/>
      <c r="K17" s="2"/>
      <c r="L17" s="2"/>
      <c r="M17" s="2"/>
      <c r="N17" s="6"/>
      <c r="O17" s="10"/>
      <c r="P17" s="2"/>
      <c r="Q17" s="2"/>
      <c r="R17" s="6"/>
      <c r="S17" s="2"/>
      <c r="T17" s="2"/>
      <c r="U17" s="2"/>
      <c r="V17" s="6"/>
      <c r="W17" s="2"/>
      <c r="X17" s="2"/>
      <c r="Y17" s="2"/>
      <c r="Z17" s="6"/>
    </row>
    <row r="18" spans="1:26" s="23" customFormat="1" x14ac:dyDescent="0.3">
      <c r="A18" s="10"/>
      <c r="B18" s="26" t="s">
        <v>108</v>
      </c>
      <c r="C18" s="26"/>
      <c r="D18" s="21" t="e">
        <f ca="1">D12-D15</f>
        <v>#NAME?</v>
      </c>
      <c r="E18" s="13"/>
      <c r="F18" s="22" t="e">
        <f ca="1">IF(D$12=0,0,D18/D$12)</f>
        <v>#NAME?</v>
      </c>
      <c r="G18" s="13"/>
      <c r="H18" s="21" t="e">
        <f ca="1">H12-H15</f>
        <v>#NAME?</v>
      </c>
      <c r="I18" s="13"/>
      <c r="J18" s="22" t="e">
        <f ca="1">IF(H$12=0,0,H18/H$12)</f>
        <v>#NAME?</v>
      </c>
      <c r="K18" s="16"/>
      <c r="L18" s="21" t="e">
        <f ca="1">+D18-H18</f>
        <v>#NAME?</v>
      </c>
      <c r="M18" s="16"/>
      <c r="N18" s="22" t="e">
        <f ca="1">IF(H18=0,0,L18/H18)</f>
        <v>#NAME?</v>
      </c>
      <c r="O18" s="25"/>
      <c r="P18" s="21" t="e">
        <f ca="1">P12-P15</f>
        <v>#NAME?</v>
      </c>
      <c r="Q18" s="13"/>
      <c r="R18" s="22" t="e">
        <f ca="1">IF(P$12=0,0,P18/P$12)</f>
        <v>#NAME?</v>
      </c>
      <c r="S18" s="13"/>
      <c r="T18" s="21" t="e">
        <f ca="1">T12-T15</f>
        <v>#NAME?</v>
      </c>
      <c r="U18" s="13"/>
      <c r="V18" s="22" t="e">
        <f ca="1">IF(T$12=0,0,T18/T$12)</f>
        <v>#NAME?</v>
      </c>
      <c r="W18" s="16"/>
      <c r="X18" s="21" t="e">
        <f ca="1">+P18-T18</f>
        <v>#NAME?</v>
      </c>
      <c r="Y18" s="16"/>
      <c r="Z18" s="22" t="e">
        <f ca="1">IF(T18=0,0,X18/T18)</f>
        <v>#NAME?</v>
      </c>
    </row>
    <row r="19" spans="1:26" x14ac:dyDescent="0.3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">
      <c r="A20" s="10"/>
      <c r="B20" s="25" t="s">
        <v>295</v>
      </c>
      <c r="C20" s="10"/>
      <c r="D20" s="20" t="e">
        <f ca="1">SUM(_xll.OneStop.ReportPlayer.OSRFunctions.OSRRef(D22))</f>
        <v>#NAME?</v>
      </c>
      <c r="E20" s="20"/>
      <c r="F20" s="32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2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2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2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2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2" t="e">
        <f t="shared" ref="Z20:Z22" ca="1" si="19">IF(T20=0,0,X20/T20)</f>
        <v>#NAME?</v>
      </c>
    </row>
    <row r="21" spans="1:26" s="27" customFormat="1" outlineLevel="1" collapsed="1" x14ac:dyDescent="0.3">
      <c r="A21" s="28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3">
      <c r="A22" s="29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8" t="e">
        <f ca="1">_xll.OneStop.ReportPlayer.OSRFunctions.OSRGet("GL_F_Trans","Value1")</f>
        <v>#NAME?</v>
      </c>
      <c r="E22" s="3"/>
      <c r="F22" s="7" t="e">
        <f t="shared" ca="1" si="12"/>
        <v>#NAME?</v>
      </c>
      <c r="G22" s="3"/>
      <c r="H22" s="8" t="e">
        <f ca="1">_xll.OneStop.ReportPlayer.OSRFunctions.OSRGet("GL_F_Trans","Value1")</f>
        <v>#NAME?</v>
      </c>
      <c r="I22" s="3"/>
      <c r="J22" s="7" t="e">
        <f t="shared" ca="1" si="13"/>
        <v>#NAME?</v>
      </c>
      <c r="K22" s="3"/>
      <c r="L22" s="8" t="e">
        <f t="shared" ca="1" si="14"/>
        <v>#NAME?</v>
      </c>
      <c r="M22" s="3"/>
      <c r="N22" s="7" t="e">
        <f t="shared" ca="1" si="15"/>
        <v>#NAME?</v>
      </c>
      <c r="O22" s="11"/>
      <c r="P22" s="8" t="e">
        <f ca="1">_xll.OneStop.ReportPlayer.OSRFunctions.OSRGet("GL_F_Trans","Value1")</f>
        <v>#NAME?</v>
      </c>
      <c r="Q22" s="3"/>
      <c r="R22" s="7" t="e">
        <f t="shared" ca="1" si="16"/>
        <v>#NAME?</v>
      </c>
      <c r="S22" s="3"/>
      <c r="T22" s="8" t="e">
        <f ca="1">_xll.OneStop.ReportPlayer.OSRFunctions.OSRGet("GL_F_Trans","Value1")</f>
        <v>#NAME?</v>
      </c>
      <c r="U22" s="3"/>
      <c r="V22" s="7" t="e">
        <f t="shared" ca="1" si="17"/>
        <v>#NAME?</v>
      </c>
      <c r="W22" s="3"/>
      <c r="X22" s="8" t="e">
        <f t="shared" ca="1" si="18"/>
        <v>#NAME?</v>
      </c>
      <c r="Y22" s="3"/>
      <c r="Z22" s="7" t="e">
        <f t="shared" ca="1" si="19"/>
        <v>#NAME?</v>
      </c>
    </row>
    <row r="23" spans="1:26" s="62" customFormat="1" x14ac:dyDescent="0.3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3">
      <c r="A24" s="10"/>
      <c r="B24" s="25" t="s">
        <v>293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3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3" t="e">
        <f ca="1">-_xll.OneStop.ReportPlayer.OSRFunctions.OSRGet("GL_F_Trans","Value1")</f>
        <v>#NAME?</v>
      </c>
      <c r="E25" s="3"/>
      <c r="F25" s="19" t="e">
        <f t="shared" ca="1" si="20"/>
        <v>#NAME?</v>
      </c>
      <c r="G25" s="3"/>
      <c r="H25" s="3" t="e">
        <f ca="1">_xll.OneStop.ReportPlayer.OSRFunctions.OSRGet("GL_F_Trans","Value1")</f>
        <v>#NAME?</v>
      </c>
      <c r="I25" s="3"/>
      <c r="J25" s="19" t="e">
        <f t="shared" ca="1" si="21"/>
        <v>#NAME?</v>
      </c>
      <c r="K25" s="3"/>
      <c r="L25" s="3" t="e">
        <f t="shared" ca="1" si="22"/>
        <v>#NAME?</v>
      </c>
      <c r="M25" s="3"/>
      <c r="N25" s="19" t="e">
        <f t="shared" ca="1" si="23"/>
        <v>#NAME?</v>
      </c>
      <c r="O25" s="11"/>
      <c r="P25" s="3" t="e">
        <f ca="1">-_xll.OneStop.ReportPlayer.OSRFunctions.OSRGet("GL_F_Trans","Value1")</f>
        <v>#NAME?</v>
      </c>
      <c r="Q25" s="3"/>
      <c r="R25" s="19" t="e">
        <f t="shared" ca="1" si="24"/>
        <v>#NAME?</v>
      </c>
      <c r="S25" s="3"/>
      <c r="T25" s="3" t="e">
        <f ca="1">_xll.OneStop.ReportPlayer.OSRFunctions.OSRGet("GL_F_Trans","Value1")</f>
        <v>#NAME?</v>
      </c>
      <c r="U25" s="3"/>
      <c r="V25" s="19" t="e">
        <f t="shared" ca="1" si="25"/>
        <v>#NAME?</v>
      </c>
      <c r="W25" s="3"/>
      <c r="X25" s="3" t="e">
        <f t="shared" ca="1" si="26"/>
        <v>#NAME?</v>
      </c>
      <c r="Y25" s="3"/>
      <c r="Z25" s="19" t="e">
        <f t="shared" ca="1" si="27"/>
        <v>#NAME?</v>
      </c>
    </row>
    <row r="26" spans="1:26" x14ac:dyDescent="0.3">
      <c r="A26" s="9"/>
      <c r="B26" s="10"/>
      <c r="C26" s="10"/>
      <c r="D26" s="2"/>
      <c r="E26" s="2"/>
      <c r="F26" s="6"/>
      <c r="G26" s="2"/>
      <c r="H26" s="2"/>
      <c r="I26" s="2"/>
      <c r="J26" s="6"/>
      <c r="K26" s="2"/>
      <c r="L26" s="2"/>
      <c r="M26" s="2"/>
      <c r="N26" s="6"/>
      <c r="O26" s="10"/>
      <c r="P26" s="2"/>
      <c r="Q26" s="2"/>
      <c r="R26" s="6"/>
      <c r="S26" s="2"/>
      <c r="T26" s="2"/>
      <c r="U26" s="2"/>
      <c r="V26" s="6"/>
      <c r="W26" s="2"/>
      <c r="X26" s="2"/>
      <c r="Y26" s="2"/>
      <c r="Z26" s="6"/>
    </row>
    <row r="27" spans="1:26" s="23" customFormat="1" x14ac:dyDescent="0.3">
      <c r="A27" s="10"/>
      <c r="B27" s="26" t="s">
        <v>277</v>
      </c>
      <c r="C27" s="26"/>
      <c r="D27" s="21" t="e">
        <f ca="1">+D18-D20+D24</f>
        <v>#NAME?</v>
      </c>
      <c r="E27" s="13"/>
      <c r="F27" s="22" t="e">
        <f ca="1">IF(D$12=0,0,D27/D$12)</f>
        <v>#NAME?</v>
      </c>
      <c r="G27" s="13"/>
      <c r="H27" s="21" t="e">
        <f ca="1">+H18-H20+H24</f>
        <v>#NAME?</v>
      </c>
      <c r="I27" s="13"/>
      <c r="J27" s="22" t="e">
        <f ca="1">IF(H$12=0,0,H27/H$12)</f>
        <v>#NAME?</v>
      </c>
      <c r="K27" s="16"/>
      <c r="L27" s="21" t="e">
        <f ca="1">+D27-H27</f>
        <v>#NAME?</v>
      </c>
      <c r="M27" s="16"/>
      <c r="N27" s="22" t="e">
        <f ca="1">IF(H27=0,0,L27/H27)</f>
        <v>#NAME?</v>
      </c>
      <c r="O27" s="25"/>
      <c r="P27" s="21" t="e">
        <f ca="1">+P18-P20+P24</f>
        <v>#NAME?</v>
      </c>
      <c r="Q27" s="13"/>
      <c r="R27" s="22" t="e">
        <f ca="1">IF(P$12=0,0,P27/P$12)</f>
        <v>#NAME?</v>
      </c>
      <c r="S27" s="13"/>
      <c r="T27" s="21" t="e">
        <f ca="1">+T18-T20+T24</f>
        <v>#NAME?</v>
      </c>
      <c r="U27" s="13"/>
      <c r="V27" s="22" t="e">
        <f ca="1">IF(T$12=0,0,T27/T$12)</f>
        <v>#NAME?</v>
      </c>
      <c r="W27" s="16"/>
      <c r="X27" s="21" t="e">
        <f ca="1">+P27-T27</f>
        <v>#NAME?</v>
      </c>
      <c r="Y27" s="16"/>
      <c r="Z27" s="22" t="e">
        <f ca="1">IF(T27=0,0,X27/T27)</f>
        <v>#NAME?</v>
      </c>
    </row>
    <row r="28" spans="1:26" x14ac:dyDescent="0.3">
      <c r="A28" s="9"/>
      <c r="B28" s="10"/>
      <c r="C28" s="9"/>
      <c r="D28" s="2"/>
      <c r="E28" s="2"/>
      <c r="F28" s="6"/>
      <c r="G28" s="2"/>
      <c r="H28" s="2"/>
      <c r="I28" s="2"/>
      <c r="J28" s="6"/>
      <c r="K28" s="2"/>
      <c r="L28" s="2"/>
      <c r="M28" s="2"/>
      <c r="N28" s="6"/>
      <c r="P28" s="2"/>
      <c r="Q28" s="2"/>
      <c r="R28" s="6"/>
      <c r="S28" s="2"/>
      <c r="T28" s="2"/>
      <c r="U28" s="2"/>
      <c r="V28" s="6"/>
      <c r="W28" s="2"/>
      <c r="X28" s="2"/>
      <c r="Y28" s="2"/>
      <c r="Z28" s="6"/>
    </row>
    <row r="29" spans="1:26" s="23" customFormat="1" x14ac:dyDescent="0.3">
      <c r="A29" s="52"/>
      <c r="B29" s="10" t="s">
        <v>128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3">
      <c r="A30" s="9"/>
      <c r="B30" s="10"/>
      <c r="C30" s="10"/>
      <c r="D30" s="2"/>
      <c r="E30" s="2"/>
      <c r="F30" s="6"/>
      <c r="G30" s="2"/>
      <c r="H30" s="2"/>
      <c r="I30" s="2"/>
      <c r="J30" s="6"/>
      <c r="K30" s="2"/>
      <c r="L30" s="2"/>
      <c r="M30" s="2"/>
      <c r="N30" s="6"/>
      <c r="O30" s="10"/>
      <c r="P30" s="2"/>
      <c r="Q30" s="2"/>
      <c r="R30" s="6"/>
      <c r="S30" s="2"/>
      <c r="T30" s="2"/>
      <c r="U30" s="2"/>
      <c r="V30" s="6"/>
      <c r="W30" s="2"/>
      <c r="X30" s="2"/>
      <c r="Y30" s="2"/>
      <c r="Z30" s="6"/>
    </row>
    <row r="31" spans="1:26" s="23" customFormat="1" ht="15" thickBot="1" x14ac:dyDescent="0.35">
      <c r="A31" s="10"/>
      <c r="B31" s="26" t="s">
        <v>126</v>
      </c>
      <c r="C31" s="26"/>
      <c r="D31" s="35" t="e">
        <f ca="1">+D27-D29</f>
        <v>#NAME?</v>
      </c>
      <c r="E31" s="13"/>
      <c r="F31" s="30" t="e">
        <f ca="1">IF(D$12=0,0,D31/D$12)</f>
        <v>#NAME?</v>
      </c>
      <c r="G31" s="13"/>
      <c r="H31" s="35" t="e">
        <f ca="1">+H27-H29</f>
        <v>#NAME?</v>
      </c>
      <c r="I31" s="13"/>
      <c r="J31" s="30" t="e">
        <f ca="1">IF(H$12=0,0,H31/H$12)</f>
        <v>#NAME?</v>
      </c>
      <c r="K31" s="16"/>
      <c r="L31" s="35" t="e">
        <f ca="1">D31-H31</f>
        <v>#NAME?</v>
      </c>
      <c r="M31" s="16"/>
      <c r="N31" s="30" t="e">
        <f ca="1">IF(H31=0,0,L31/H31)</f>
        <v>#NAME?</v>
      </c>
      <c r="O31" s="25"/>
      <c r="P31" s="35" t="e">
        <f ca="1">+P27-P29</f>
        <v>#NAME?</v>
      </c>
      <c r="Q31" s="13"/>
      <c r="R31" s="30" t="e">
        <f ca="1">IF(P$12=0,0,P31/P$12)</f>
        <v>#NAME?</v>
      </c>
      <c r="S31" s="13"/>
      <c r="T31" s="35" t="e">
        <f ca="1">+T27-T29</f>
        <v>#NAME?</v>
      </c>
      <c r="U31" s="13"/>
      <c r="V31" s="30" t="e">
        <f ca="1">IF(T$12=0,0,T31/T$12)</f>
        <v>#NAME?</v>
      </c>
      <c r="W31" s="16"/>
      <c r="X31" s="35" t="e">
        <f ca="1">P31-T31</f>
        <v>#NAME?</v>
      </c>
      <c r="Y31" s="16"/>
      <c r="Z31" s="30" t="e">
        <f ca="1">IF(T31=0,0,X31/T31)</f>
        <v>#NAME?</v>
      </c>
    </row>
    <row r="32" spans="1:26" ht="15" thickTop="1" x14ac:dyDescent="0.3">
      <c r="A32" s="9"/>
      <c r="B32" s="9"/>
      <c r="C32" s="9"/>
      <c r="D32" s="2"/>
      <c r="E32" s="2"/>
      <c r="F32" s="6"/>
      <c r="G32" s="2"/>
      <c r="H32" s="2"/>
      <c r="I32" s="2"/>
      <c r="J32" s="6"/>
      <c r="K32" s="2"/>
      <c r="L32" s="2"/>
      <c r="M32" s="2"/>
      <c r="N32" s="6"/>
      <c r="P32" s="2"/>
      <c r="Q32" s="2"/>
      <c r="R32" s="6"/>
      <c r="S32" s="2"/>
      <c r="T32" s="2"/>
      <c r="U32" s="2"/>
      <c r="V32" s="6"/>
      <c r="W32" s="2"/>
      <c r="X32" s="2"/>
      <c r="Y32" s="2"/>
      <c r="Z32" s="6"/>
    </row>
    <row r="33" spans="1:26" s="23" customFormat="1" x14ac:dyDescent="0.3">
      <c r="A33" s="52"/>
      <c r="B33" s="10" t="s">
        <v>184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3">
      <c r="A34" s="52"/>
      <c r="B34" s="10" t="s">
        <v>82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3">
      <c r="A35" s="9"/>
      <c r="B35" s="9"/>
      <c r="C35" s="9"/>
      <c r="D35" s="2"/>
      <c r="E35" s="2"/>
      <c r="F35" s="6"/>
      <c r="G35" s="2"/>
      <c r="H35" s="2"/>
      <c r="I35" s="2"/>
      <c r="J35" s="6"/>
      <c r="K35" s="2"/>
      <c r="L35" s="2"/>
      <c r="M35" s="2"/>
      <c r="N35" s="6"/>
      <c r="P35" s="2"/>
      <c r="Q35" s="2"/>
      <c r="R35" s="6"/>
      <c r="S35" s="2"/>
      <c r="T35" s="2"/>
      <c r="U35" s="2"/>
      <c r="V35" s="6"/>
      <c r="W35" s="2"/>
      <c r="X35" s="2"/>
      <c r="Y35" s="2"/>
      <c r="Z35" s="6"/>
    </row>
    <row r="36" spans="1:26" s="23" customFormat="1" ht="15" thickBot="1" x14ac:dyDescent="0.35">
      <c r="A36" s="10"/>
      <c r="B36" s="26" t="s">
        <v>294</v>
      </c>
      <c r="C36" s="26"/>
      <c r="D36" s="33" t="e">
        <f ca="1">SUM(D31:D35)</f>
        <v>#NAME?</v>
      </c>
      <c r="E36" s="13"/>
      <c r="F36" s="31" t="e">
        <f ca="1">IF(D$12=0,0,D36/D$12)</f>
        <v>#NAME?</v>
      </c>
      <c r="G36" s="13"/>
      <c r="H36" s="33" t="e">
        <f ca="1">SUM(H31:H35)</f>
        <v>#NAME?</v>
      </c>
      <c r="I36" s="13"/>
      <c r="J36" s="31" t="e">
        <f ca="1">IF(H$12=0,0,H36/H$12)</f>
        <v>#NAME?</v>
      </c>
      <c r="K36" s="16"/>
      <c r="L36" s="33" t="e">
        <f ca="1">+D36-H36</f>
        <v>#NAME?</v>
      </c>
      <c r="M36" s="16"/>
      <c r="N36" s="31" t="e">
        <f ca="1">IF(H36=0,0,L36/H36)</f>
        <v>#NAME?</v>
      </c>
      <c r="O36" s="25"/>
      <c r="P36" s="33" t="e">
        <f ca="1">SUM(P31:P35)</f>
        <v>#NAME?</v>
      </c>
      <c r="Q36" s="13"/>
      <c r="R36" s="31" t="e">
        <f ca="1">IF(P$12=0,0,P36/P$12)</f>
        <v>#NAME?</v>
      </c>
      <c r="S36" s="13"/>
      <c r="T36" s="33" t="e">
        <f ca="1">SUM(T31:T35)</f>
        <v>#NAME?</v>
      </c>
      <c r="U36" s="13"/>
      <c r="V36" s="31" t="e">
        <f ca="1">IF(T$12=0,0,T36/T$12)</f>
        <v>#NAME?</v>
      </c>
      <c r="W36" s="16"/>
      <c r="X36" s="33" t="e">
        <f ca="1">+P36-T36</f>
        <v>#NAME?</v>
      </c>
      <c r="Y36" s="16"/>
      <c r="Z36" s="31" t="e">
        <f ca="1">IF(T36=0,0,X36/T36)</f>
        <v>#NAME?</v>
      </c>
    </row>
    <row r="37" spans="1:26" ht="15" thickTop="1" x14ac:dyDescent="0.3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3">
      <c r="A38" s="9"/>
      <c r="B38" s="54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3">
      <c r="A39" s="9"/>
      <c r="B39" s="59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3">
      <c r="A40" s="9"/>
      <c r="B40" s="55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3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50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7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50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7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7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7" customWidth="1" outlineLevel="1"/>
  </cols>
  <sheetData>
    <row r="2" spans="1:26" x14ac:dyDescent="0.3">
      <c r="D2" s="57" t="s">
        <v>23</v>
      </c>
    </row>
    <row r="3" spans="1:26" x14ac:dyDescent="0.3">
      <c r="D3" s="57" t="s">
        <v>237</v>
      </c>
      <c r="E3" s="17"/>
      <c r="F3" s="51"/>
      <c r="G3" s="17"/>
      <c r="H3" s="17"/>
      <c r="I3" s="17"/>
      <c r="J3" s="39"/>
      <c r="K3" s="17"/>
      <c r="L3" s="17"/>
      <c r="M3" s="17"/>
      <c r="N3" s="51"/>
      <c r="O3" s="61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3">
      <c r="D4" s="57" t="e">
        <f ca="1">CONCATENATE("Period ",RIGHT(_xll.OneStop.ReportPlayer.OSRFunctions.OSRGet("Period","PeriodId"),2),", ",_xll.OneStop.ReportPlayer.OSRFunctions.OSRGet("Period","Year"))</f>
        <v>#NAME?</v>
      </c>
      <c r="E4" s="17"/>
      <c r="F4" s="51"/>
      <c r="G4" s="17"/>
      <c r="H4" s="17"/>
      <c r="I4" s="17"/>
      <c r="J4" s="39"/>
      <c r="K4" s="17"/>
      <c r="L4" s="17"/>
      <c r="M4" s="17"/>
      <c r="N4" s="51"/>
      <c r="O4" s="61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3">
      <c r="A5" s="23"/>
      <c r="D5" s="65" t="e">
        <f ca="1">_xll.OneStop.ReportPlayer.OSRFunctions.OSRGet("Period","PeriodEnd")</f>
        <v>#NAME?</v>
      </c>
      <c r="E5" s="17"/>
      <c r="F5" s="51"/>
      <c r="G5" s="17"/>
      <c r="H5" s="17"/>
      <c r="I5" s="17"/>
      <c r="J5" s="39"/>
      <c r="K5" s="17"/>
      <c r="L5" s="17"/>
      <c r="M5" s="17"/>
      <c r="N5" s="51"/>
      <c r="O5" s="61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3">
      <c r="A6" s="23"/>
      <c r="B6" s="47"/>
      <c r="C6" s="47"/>
      <c r="D6" s="23" t="s">
        <v>256</v>
      </c>
      <c r="E6" s="17"/>
      <c r="F6" s="51"/>
      <c r="G6" s="17"/>
      <c r="H6" s="17"/>
      <c r="I6" s="17"/>
      <c r="J6" s="39"/>
      <c r="K6" s="17"/>
      <c r="L6" s="17"/>
      <c r="M6" s="17"/>
      <c r="N6" s="51"/>
      <c r="O6" s="60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3">
      <c r="B7" s="63"/>
    </row>
    <row r="8" spans="1:26" x14ac:dyDescent="0.3">
      <c r="B8" s="63"/>
    </row>
    <row r="9" spans="1:26" x14ac:dyDescent="0.3">
      <c r="B9" s="9"/>
      <c r="C9" s="9"/>
      <c r="D9" s="15" t="s">
        <v>292</v>
      </c>
      <c r="E9" s="15"/>
      <c r="F9" s="38"/>
      <c r="G9" s="15"/>
      <c r="H9" s="15"/>
      <c r="I9" s="15"/>
      <c r="J9" s="49"/>
      <c r="K9" s="15"/>
      <c r="L9" s="15"/>
      <c r="M9" s="15"/>
      <c r="N9" s="38"/>
      <c r="P9" s="15" t="s">
        <v>39</v>
      </c>
      <c r="Q9" s="15"/>
      <c r="R9" s="38"/>
      <c r="S9" s="15"/>
      <c r="T9" s="15"/>
      <c r="U9" s="15"/>
      <c r="V9" s="49"/>
      <c r="W9" s="15"/>
      <c r="X9" s="15"/>
      <c r="Y9" s="15"/>
      <c r="Z9" s="38"/>
    </row>
    <row r="10" spans="1:26" x14ac:dyDescent="0.3">
      <c r="A10" s="10"/>
      <c r="B10" s="53"/>
      <c r="C10" s="10"/>
      <c r="D10" s="42" t="s">
        <v>57</v>
      </c>
      <c r="E10" s="34"/>
      <c r="F10" s="40" t="s">
        <v>40</v>
      </c>
      <c r="G10" s="34"/>
      <c r="H10" s="45" t="s">
        <v>238</v>
      </c>
      <c r="I10" s="34"/>
      <c r="J10" s="48" t="s">
        <v>58</v>
      </c>
      <c r="K10" s="10"/>
      <c r="L10" s="42" t="s">
        <v>127</v>
      </c>
      <c r="M10" s="10"/>
      <c r="N10" s="40" t="s">
        <v>258</v>
      </c>
      <c r="O10" s="10"/>
      <c r="P10" s="56" t="s">
        <v>57</v>
      </c>
      <c r="Q10" s="34"/>
      <c r="R10" s="40" t="s">
        <v>40</v>
      </c>
      <c r="S10" s="34"/>
      <c r="T10" s="45" t="s">
        <v>238</v>
      </c>
      <c r="U10" s="34"/>
      <c r="V10" s="48" t="s">
        <v>58</v>
      </c>
      <c r="W10" s="10"/>
      <c r="X10" s="42" t="s">
        <v>127</v>
      </c>
      <c r="Y10" s="10"/>
      <c r="Z10" s="40" t="s">
        <v>258</v>
      </c>
    </row>
    <row r="11" spans="1:26" ht="15.6" x14ac:dyDescent="0.3">
      <c r="A11" s="9"/>
      <c r="B11" s="58"/>
      <c r="C11" s="9"/>
      <c r="D11" s="9"/>
      <c r="E11" s="9"/>
      <c r="F11" s="6"/>
      <c r="G11" s="9"/>
      <c r="H11" s="9"/>
      <c r="I11" s="9"/>
      <c r="J11" s="46"/>
      <c r="K11" s="9"/>
      <c r="L11" s="9"/>
      <c r="M11" s="9"/>
      <c r="N11" s="6"/>
      <c r="P11" s="9"/>
      <c r="Q11" s="9"/>
      <c r="R11" s="6"/>
      <c r="S11" s="9"/>
      <c r="T11" s="9"/>
      <c r="U11" s="9"/>
      <c r="V11" s="46"/>
      <c r="W11" s="9"/>
      <c r="X11" s="9"/>
      <c r="Y11" s="9"/>
      <c r="Z11" s="6"/>
    </row>
    <row r="12" spans="1:26" s="23" customFormat="1" collapsed="1" x14ac:dyDescent="0.3">
      <c r="A12" s="10"/>
      <c r="B12" s="25" t="s">
        <v>140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3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3" t="e">
        <f ca="1">-_xll.OneStop.ReportPlayer.OSRFunctions.OSRGet("GL_F_Trans","Value1")</f>
        <v>#NAME?</v>
      </c>
      <c r="E13" s="3"/>
      <c r="F13" s="19"/>
      <c r="G13" s="3"/>
      <c r="H13" s="3" t="e">
        <f ca="1">_xll.OneStop.ReportPlayer.OSRFunctions.OSRGet("GL_F_Trans","Value1")</f>
        <v>#NAME?</v>
      </c>
      <c r="I13" s="3"/>
      <c r="J13" s="19"/>
      <c r="K13" s="3"/>
      <c r="L13" s="3" t="e">
        <f t="shared" ca="1" si="0"/>
        <v>#NAME?</v>
      </c>
      <c r="M13" s="3"/>
      <c r="N13" s="19" t="e">
        <f t="shared" ca="1" si="1"/>
        <v>#NAME?</v>
      </c>
      <c r="O13" s="11"/>
      <c r="P13" s="3" t="e">
        <f ca="1">-_xll.OneStop.ReportPlayer.OSRFunctions.OSRGet("GL_F_Trans","Value1")</f>
        <v>#NAME?</v>
      </c>
      <c r="Q13" s="3"/>
      <c r="R13" s="19"/>
      <c r="S13" s="3"/>
      <c r="T13" s="3" t="e">
        <f ca="1">_xll.OneStop.ReportPlayer.OSRFunctions.OSRGet("GL_F_Trans","Value1")</f>
        <v>#NAME?</v>
      </c>
      <c r="U13" s="3"/>
      <c r="V13" s="19"/>
      <c r="W13" s="3"/>
      <c r="X13" s="3" t="e">
        <f t="shared" ca="1" si="2"/>
        <v>#NAME?</v>
      </c>
      <c r="Y13" s="3"/>
      <c r="Z13" s="19" t="e">
        <f t="shared" ca="1" si="3"/>
        <v>#NAME?</v>
      </c>
    </row>
    <row r="14" spans="1:26" x14ac:dyDescent="0.3">
      <c r="A14" s="9"/>
      <c r="B14" s="10"/>
      <c r="C14" s="9"/>
      <c r="D14" s="2"/>
      <c r="E14" s="2"/>
      <c r="F14" s="6"/>
      <c r="G14" s="2"/>
      <c r="H14" s="2"/>
      <c r="I14" s="2"/>
      <c r="J14" s="6"/>
      <c r="K14" s="2"/>
      <c r="L14" s="2"/>
      <c r="M14" s="2"/>
      <c r="N14" s="6"/>
      <c r="P14" s="2"/>
      <c r="Q14" s="2"/>
      <c r="R14" s="6"/>
      <c r="S14" s="2"/>
      <c r="T14" s="2"/>
      <c r="U14" s="2"/>
      <c r="V14" s="6"/>
      <c r="W14" s="2"/>
      <c r="X14" s="2"/>
      <c r="Y14" s="2"/>
      <c r="Z14" s="6"/>
    </row>
    <row r="15" spans="1:26" s="23" customFormat="1" collapsed="1" x14ac:dyDescent="0.3">
      <c r="A15" s="10"/>
      <c r="B15" s="25" t="s">
        <v>257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3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3" t="e">
        <f ca="1">_xll.OneStop.ReportPlayer.OSRFunctions.OSRGet("GL_F_Trans","Value1")</f>
        <v>#NAME?</v>
      </c>
      <c r="E16" s="3"/>
      <c r="F16" s="19" t="e">
        <f t="shared" ca="1" si="4"/>
        <v>#NAME?</v>
      </c>
      <c r="G16" s="3"/>
      <c r="H16" s="3" t="e">
        <f ca="1">_xll.OneStop.ReportPlayer.OSRFunctions.OSRGet("GL_F_Trans","Value1")</f>
        <v>#NAME?</v>
      </c>
      <c r="I16" s="3"/>
      <c r="J16" s="19" t="e">
        <f t="shared" ca="1" si="5"/>
        <v>#NAME?</v>
      </c>
      <c r="K16" s="3"/>
      <c r="L16" s="3" t="e">
        <f t="shared" ca="1" si="6"/>
        <v>#NAME?</v>
      </c>
      <c r="M16" s="3"/>
      <c r="N16" s="19" t="e">
        <f t="shared" ca="1" si="7"/>
        <v>#NAME?</v>
      </c>
      <c r="O16" s="11"/>
      <c r="P16" s="3" t="e">
        <f ca="1">_xll.OneStop.ReportPlayer.OSRFunctions.OSRGet("GL_F_Trans","Value1")</f>
        <v>#NAME?</v>
      </c>
      <c r="Q16" s="3"/>
      <c r="R16" s="19" t="e">
        <f t="shared" ca="1" si="8"/>
        <v>#NAME?</v>
      </c>
      <c r="S16" s="3"/>
      <c r="T16" s="3" t="e">
        <f ca="1">_xll.OneStop.ReportPlayer.OSRFunctions.OSRGet("GL_F_Trans","Value1")</f>
        <v>#NAME?</v>
      </c>
      <c r="U16" s="3"/>
      <c r="V16" s="19" t="e">
        <f t="shared" ca="1" si="9"/>
        <v>#NAME?</v>
      </c>
      <c r="W16" s="3"/>
      <c r="X16" s="3" t="e">
        <f t="shared" ca="1" si="10"/>
        <v>#NAME?</v>
      </c>
      <c r="Y16" s="3"/>
      <c r="Z16" s="19" t="e">
        <f t="shared" ca="1" si="11"/>
        <v>#NAME?</v>
      </c>
    </row>
    <row r="17" spans="1:26" x14ac:dyDescent="0.3">
      <c r="A17" s="9"/>
      <c r="B17" s="10"/>
      <c r="C17" s="10"/>
      <c r="D17" s="2"/>
      <c r="E17" s="2"/>
      <c r="F17" s="6"/>
      <c r="G17" s="2"/>
      <c r="H17" s="2"/>
      <c r="I17" s="2"/>
      <c r="J17" s="6"/>
      <c r="K17" s="2"/>
      <c r="L17" s="2"/>
      <c r="M17" s="2"/>
      <c r="N17" s="6"/>
      <c r="O17" s="10"/>
      <c r="P17" s="2"/>
      <c r="Q17" s="2"/>
      <c r="R17" s="6"/>
      <c r="S17" s="2"/>
      <c r="T17" s="2"/>
      <c r="U17" s="2"/>
      <c r="V17" s="6"/>
      <c r="W17" s="2"/>
      <c r="X17" s="2"/>
      <c r="Y17" s="2"/>
      <c r="Z17" s="6"/>
    </row>
    <row r="18" spans="1:26" s="23" customFormat="1" x14ac:dyDescent="0.3">
      <c r="A18" s="10"/>
      <c r="B18" s="26" t="s">
        <v>108</v>
      </c>
      <c r="C18" s="26"/>
      <c r="D18" s="21" t="e">
        <f ca="1">D12-D15</f>
        <v>#NAME?</v>
      </c>
      <c r="E18" s="13"/>
      <c r="F18" s="22" t="e">
        <f ca="1">IF(D$12=0,0,D18/D$12)</f>
        <v>#NAME?</v>
      </c>
      <c r="G18" s="13"/>
      <c r="H18" s="21" t="e">
        <f ca="1">H12-H15</f>
        <v>#NAME?</v>
      </c>
      <c r="I18" s="13"/>
      <c r="J18" s="22" t="e">
        <f ca="1">IF(H$12=0,0,H18/H$12)</f>
        <v>#NAME?</v>
      </c>
      <c r="K18" s="16"/>
      <c r="L18" s="21" t="e">
        <f ca="1">+D18-H18</f>
        <v>#NAME?</v>
      </c>
      <c r="M18" s="16"/>
      <c r="N18" s="22" t="e">
        <f ca="1">IF(H18=0,0,L18/H18)</f>
        <v>#NAME?</v>
      </c>
      <c r="O18" s="25"/>
      <c r="P18" s="21" t="e">
        <f ca="1">P12-P15</f>
        <v>#NAME?</v>
      </c>
      <c r="Q18" s="13"/>
      <c r="R18" s="22" t="e">
        <f ca="1">IF(P$12=0,0,P18/P$12)</f>
        <v>#NAME?</v>
      </c>
      <c r="S18" s="13"/>
      <c r="T18" s="21" t="e">
        <f ca="1">T12-T15</f>
        <v>#NAME?</v>
      </c>
      <c r="U18" s="13"/>
      <c r="V18" s="22" t="e">
        <f ca="1">IF(T$12=0,0,T18/T$12)</f>
        <v>#NAME?</v>
      </c>
      <c r="W18" s="16"/>
      <c r="X18" s="21" t="e">
        <f ca="1">+P18-T18</f>
        <v>#NAME?</v>
      </c>
      <c r="Y18" s="16"/>
      <c r="Z18" s="22" t="e">
        <f ca="1">IF(T18=0,0,X18/T18)</f>
        <v>#NAME?</v>
      </c>
    </row>
    <row r="19" spans="1:26" x14ac:dyDescent="0.3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">
      <c r="A20" s="10"/>
      <c r="B20" s="25" t="s">
        <v>295</v>
      </c>
      <c r="C20" s="10"/>
      <c r="D20" s="20" t="e">
        <f ca="1">SUM(_xll.OneStop.ReportPlayer.OSRFunctions.OSRRef(D22))</f>
        <v>#NAME?</v>
      </c>
      <c r="E20" s="20"/>
      <c r="F20" s="32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2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2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2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2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2" t="e">
        <f t="shared" ref="Z20:Z22" ca="1" si="19">IF(T20=0,0,X20/T20)</f>
        <v>#NAME?</v>
      </c>
    </row>
    <row r="21" spans="1:26" s="27" customFormat="1" outlineLevel="1" collapsed="1" x14ac:dyDescent="0.3">
      <c r="A21" s="28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3">
      <c r="A22" s="29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8" t="e">
        <f ca="1">_xll.OneStop.ReportPlayer.OSRFunctions.OSRGet("GL_F_Trans","Value1")</f>
        <v>#NAME?</v>
      </c>
      <c r="E22" s="3"/>
      <c r="F22" s="7" t="e">
        <f t="shared" ca="1" si="12"/>
        <v>#NAME?</v>
      </c>
      <c r="G22" s="3"/>
      <c r="H22" s="8" t="e">
        <f ca="1">_xll.OneStop.ReportPlayer.OSRFunctions.OSRGet("GL_F_Trans","Value1")</f>
        <v>#NAME?</v>
      </c>
      <c r="I22" s="3"/>
      <c r="J22" s="7" t="e">
        <f t="shared" ca="1" si="13"/>
        <v>#NAME?</v>
      </c>
      <c r="K22" s="3"/>
      <c r="L22" s="8" t="e">
        <f t="shared" ca="1" si="14"/>
        <v>#NAME?</v>
      </c>
      <c r="M22" s="3"/>
      <c r="N22" s="7" t="e">
        <f t="shared" ca="1" si="15"/>
        <v>#NAME?</v>
      </c>
      <c r="O22" s="11"/>
      <c r="P22" s="8" t="e">
        <f ca="1">_xll.OneStop.ReportPlayer.OSRFunctions.OSRGet("GL_F_Trans","Value1")</f>
        <v>#NAME?</v>
      </c>
      <c r="Q22" s="3"/>
      <c r="R22" s="7" t="e">
        <f t="shared" ca="1" si="16"/>
        <v>#NAME?</v>
      </c>
      <c r="S22" s="3"/>
      <c r="T22" s="8" t="e">
        <f ca="1">_xll.OneStop.ReportPlayer.OSRFunctions.OSRGet("GL_F_Trans","Value1")</f>
        <v>#NAME?</v>
      </c>
      <c r="U22" s="3"/>
      <c r="V22" s="7" t="e">
        <f t="shared" ca="1" si="17"/>
        <v>#NAME?</v>
      </c>
      <c r="W22" s="3"/>
      <c r="X22" s="8" t="e">
        <f t="shared" ca="1" si="18"/>
        <v>#NAME?</v>
      </c>
      <c r="Y22" s="3"/>
      <c r="Z22" s="7" t="e">
        <f t="shared" ca="1" si="19"/>
        <v>#NAME?</v>
      </c>
    </row>
    <row r="23" spans="1:26" s="62" customFormat="1" x14ac:dyDescent="0.3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3">
      <c r="A24" s="10"/>
      <c r="B24" s="25" t="s">
        <v>293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3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3" t="e">
        <f ca="1">-_xll.OneStop.ReportPlayer.OSRFunctions.OSRGet("GL_F_Trans","Value1")</f>
        <v>#NAME?</v>
      </c>
      <c r="E25" s="3"/>
      <c r="F25" s="19" t="e">
        <f t="shared" ca="1" si="20"/>
        <v>#NAME?</v>
      </c>
      <c r="G25" s="3"/>
      <c r="H25" s="3" t="e">
        <f ca="1">_xll.OneStop.ReportPlayer.OSRFunctions.OSRGet("GL_F_Trans","Value1")</f>
        <v>#NAME?</v>
      </c>
      <c r="I25" s="3"/>
      <c r="J25" s="19" t="e">
        <f t="shared" ca="1" si="21"/>
        <v>#NAME?</v>
      </c>
      <c r="K25" s="3"/>
      <c r="L25" s="3" t="e">
        <f t="shared" ca="1" si="22"/>
        <v>#NAME?</v>
      </c>
      <c r="M25" s="3"/>
      <c r="N25" s="19" t="e">
        <f t="shared" ca="1" si="23"/>
        <v>#NAME?</v>
      </c>
      <c r="O25" s="11"/>
      <c r="P25" s="3" t="e">
        <f ca="1">-_xll.OneStop.ReportPlayer.OSRFunctions.OSRGet("GL_F_Trans","Value1")</f>
        <v>#NAME?</v>
      </c>
      <c r="Q25" s="3"/>
      <c r="R25" s="19" t="e">
        <f t="shared" ca="1" si="24"/>
        <v>#NAME?</v>
      </c>
      <c r="S25" s="3"/>
      <c r="T25" s="3" t="e">
        <f ca="1">_xll.OneStop.ReportPlayer.OSRFunctions.OSRGet("GL_F_Trans","Value1")</f>
        <v>#NAME?</v>
      </c>
      <c r="U25" s="3"/>
      <c r="V25" s="19" t="e">
        <f t="shared" ca="1" si="25"/>
        <v>#NAME?</v>
      </c>
      <c r="W25" s="3"/>
      <c r="X25" s="3" t="e">
        <f t="shared" ca="1" si="26"/>
        <v>#NAME?</v>
      </c>
      <c r="Y25" s="3"/>
      <c r="Z25" s="19" t="e">
        <f t="shared" ca="1" si="27"/>
        <v>#NAME?</v>
      </c>
    </row>
    <row r="26" spans="1:26" x14ac:dyDescent="0.3">
      <c r="A26" s="9"/>
      <c r="B26" s="10"/>
      <c r="C26" s="10"/>
      <c r="D26" s="2"/>
      <c r="E26" s="2"/>
      <c r="F26" s="6"/>
      <c r="G26" s="2"/>
      <c r="H26" s="2"/>
      <c r="I26" s="2"/>
      <c r="J26" s="6"/>
      <c r="K26" s="2"/>
      <c r="L26" s="2"/>
      <c r="M26" s="2"/>
      <c r="N26" s="6"/>
      <c r="O26" s="10"/>
      <c r="P26" s="2"/>
      <c r="Q26" s="2"/>
      <c r="R26" s="6"/>
      <c r="S26" s="2"/>
      <c r="T26" s="2"/>
      <c r="U26" s="2"/>
      <c r="V26" s="6"/>
      <c r="W26" s="2"/>
      <c r="X26" s="2"/>
      <c r="Y26" s="2"/>
      <c r="Z26" s="6"/>
    </row>
    <row r="27" spans="1:26" s="23" customFormat="1" x14ac:dyDescent="0.3">
      <c r="A27" s="10"/>
      <c r="B27" s="26" t="s">
        <v>277</v>
      </c>
      <c r="C27" s="26"/>
      <c r="D27" s="21" t="e">
        <f ca="1">+D18-D20+D24</f>
        <v>#NAME?</v>
      </c>
      <c r="E27" s="13"/>
      <c r="F27" s="22" t="e">
        <f ca="1">IF(D$12=0,0,D27/D$12)</f>
        <v>#NAME?</v>
      </c>
      <c r="G27" s="13"/>
      <c r="H27" s="21" t="e">
        <f ca="1">+H18-H20+H24</f>
        <v>#NAME?</v>
      </c>
      <c r="I27" s="13"/>
      <c r="J27" s="22" t="e">
        <f ca="1">IF(H$12=0,0,H27/H$12)</f>
        <v>#NAME?</v>
      </c>
      <c r="K27" s="16"/>
      <c r="L27" s="21" t="e">
        <f ca="1">+D27-H27</f>
        <v>#NAME?</v>
      </c>
      <c r="M27" s="16"/>
      <c r="N27" s="22" t="e">
        <f ca="1">IF(H27=0,0,L27/H27)</f>
        <v>#NAME?</v>
      </c>
      <c r="O27" s="25"/>
      <c r="P27" s="21" t="e">
        <f ca="1">+P18-P20+P24</f>
        <v>#NAME?</v>
      </c>
      <c r="Q27" s="13"/>
      <c r="R27" s="22" t="e">
        <f ca="1">IF(P$12=0,0,P27/P$12)</f>
        <v>#NAME?</v>
      </c>
      <c r="S27" s="13"/>
      <c r="T27" s="21" t="e">
        <f ca="1">+T18-T20+T24</f>
        <v>#NAME?</v>
      </c>
      <c r="U27" s="13"/>
      <c r="V27" s="22" t="e">
        <f ca="1">IF(T$12=0,0,T27/T$12)</f>
        <v>#NAME?</v>
      </c>
      <c r="W27" s="16"/>
      <c r="X27" s="21" t="e">
        <f ca="1">+P27-T27</f>
        <v>#NAME?</v>
      </c>
      <c r="Y27" s="16"/>
      <c r="Z27" s="22" t="e">
        <f ca="1">IF(T27=0,0,X27/T27)</f>
        <v>#NAME?</v>
      </c>
    </row>
    <row r="28" spans="1:26" x14ac:dyDescent="0.3">
      <c r="A28" s="9"/>
      <c r="B28" s="10"/>
      <c r="C28" s="9"/>
      <c r="D28" s="2"/>
      <c r="E28" s="2"/>
      <c r="F28" s="6"/>
      <c r="G28" s="2"/>
      <c r="H28" s="2"/>
      <c r="I28" s="2"/>
      <c r="J28" s="6"/>
      <c r="K28" s="2"/>
      <c r="L28" s="2"/>
      <c r="M28" s="2"/>
      <c r="N28" s="6"/>
      <c r="P28" s="2"/>
      <c r="Q28" s="2"/>
      <c r="R28" s="6"/>
      <c r="S28" s="2"/>
      <c r="T28" s="2"/>
      <c r="U28" s="2"/>
      <c r="V28" s="6"/>
      <c r="W28" s="2"/>
      <c r="X28" s="2"/>
      <c r="Y28" s="2"/>
      <c r="Z28" s="6"/>
    </row>
    <row r="29" spans="1:26" s="23" customFormat="1" x14ac:dyDescent="0.3">
      <c r="A29" s="52"/>
      <c r="B29" s="10" t="s">
        <v>128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3">
      <c r="A30" s="9"/>
      <c r="B30" s="10"/>
      <c r="C30" s="10"/>
      <c r="D30" s="2"/>
      <c r="E30" s="2"/>
      <c r="F30" s="6"/>
      <c r="G30" s="2"/>
      <c r="H30" s="2"/>
      <c r="I30" s="2"/>
      <c r="J30" s="6"/>
      <c r="K30" s="2"/>
      <c r="L30" s="2"/>
      <c r="M30" s="2"/>
      <c r="N30" s="6"/>
      <c r="O30" s="10"/>
      <c r="P30" s="2"/>
      <c r="Q30" s="2"/>
      <c r="R30" s="6"/>
      <c r="S30" s="2"/>
      <c r="T30" s="2"/>
      <c r="U30" s="2"/>
      <c r="V30" s="6"/>
      <c r="W30" s="2"/>
      <c r="X30" s="2"/>
      <c r="Y30" s="2"/>
      <c r="Z30" s="6"/>
    </row>
    <row r="31" spans="1:26" s="23" customFormat="1" ht="15" thickBot="1" x14ac:dyDescent="0.35">
      <c r="A31" s="10"/>
      <c r="B31" s="26" t="s">
        <v>126</v>
      </c>
      <c r="C31" s="26"/>
      <c r="D31" s="35" t="e">
        <f ca="1">+D27-D29</f>
        <v>#NAME?</v>
      </c>
      <c r="E31" s="13"/>
      <c r="F31" s="30" t="e">
        <f ca="1">IF(D$12=0,0,D31/D$12)</f>
        <v>#NAME?</v>
      </c>
      <c r="G31" s="13"/>
      <c r="H31" s="35" t="e">
        <f ca="1">+H27-H29</f>
        <v>#NAME?</v>
      </c>
      <c r="I31" s="13"/>
      <c r="J31" s="30" t="e">
        <f ca="1">IF(H$12=0,0,H31/H$12)</f>
        <v>#NAME?</v>
      </c>
      <c r="K31" s="16"/>
      <c r="L31" s="35" t="e">
        <f ca="1">D31-H31</f>
        <v>#NAME?</v>
      </c>
      <c r="M31" s="16"/>
      <c r="N31" s="30" t="e">
        <f ca="1">IF(H31=0,0,L31/H31)</f>
        <v>#NAME?</v>
      </c>
      <c r="O31" s="25"/>
      <c r="P31" s="35" t="e">
        <f ca="1">+P27-P29</f>
        <v>#NAME?</v>
      </c>
      <c r="Q31" s="13"/>
      <c r="R31" s="30" t="e">
        <f ca="1">IF(P$12=0,0,P31/P$12)</f>
        <v>#NAME?</v>
      </c>
      <c r="S31" s="13"/>
      <c r="T31" s="35" t="e">
        <f ca="1">+T27-T29</f>
        <v>#NAME?</v>
      </c>
      <c r="U31" s="13"/>
      <c r="V31" s="30" t="e">
        <f ca="1">IF(T$12=0,0,T31/T$12)</f>
        <v>#NAME?</v>
      </c>
      <c r="W31" s="16"/>
      <c r="X31" s="35" t="e">
        <f ca="1">P31-T31</f>
        <v>#NAME?</v>
      </c>
      <c r="Y31" s="16"/>
      <c r="Z31" s="30" t="e">
        <f ca="1">IF(T31=0,0,X31/T31)</f>
        <v>#NAME?</v>
      </c>
    </row>
    <row r="32" spans="1:26" ht="15" thickTop="1" x14ac:dyDescent="0.3">
      <c r="A32" s="9"/>
      <c r="B32" s="9"/>
      <c r="C32" s="9"/>
      <c r="D32" s="2"/>
      <c r="E32" s="2"/>
      <c r="F32" s="6"/>
      <c r="G32" s="2"/>
      <c r="H32" s="2"/>
      <c r="I32" s="2"/>
      <c r="J32" s="6"/>
      <c r="K32" s="2"/>
      <c r="L32" s="2"/>
      <c r="M32" s="2"/>
      <c r="N32" s="6"/>
      <c r="P32" s="2"/>
      <c r="Q32" s="2"/>
      <c r="R32" s="6"/>
      <c r="S32" s="2"/>
      <c r="T32" s="2"/>
      <c r="U32" s="2"/>
      <c r="V32" s="6"/>
      <c r="W32" s="2"/>
      <c r="X32" s="2"/>
      <c r="Y32" s="2"/>
      <c r="Z32" s="6"/>
    </row>
    <row r="33" spans="1:26" s="23" customFormat="1" x14ac:dyDescent="0.3">
      <c r="A33" s="52"/>
      <c r="B33" s="10" t="s">
        <v>184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3">
      <c r="A34" s="52"/>
      <c r="B34" s="10" t="s">
        <v>82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3">
      <c r="A35" s="9"/>
      <c r="B35" s="9"/>
      <c r="C35" s="9"/>
      <c r="D35" s="2"/>
      <c r="E35" s="2"/>
      <c r="F35" s="6"/>
      <c r="G35" s="2"/>
      <c r="H35" s="2"/>
      <c r="I35" s="2"/>
      <c r="J35" s="6"/>
      <c r="K35" s="2"/>
      <c r="L35" s="2"/>
      <c r="M35" s="2"/>
      <c r="N35" s="6"/>
      <c r="P35" s="2"/>
      <c r="Q35" s="2"/>
      <c r="R35" s="6"/>
      <c r="S35" s="2"/>
      <c r="T35" s="2"/>
      <c r="U35" s="2"/>
      <c r="V35" s="6"/>
      <c r="W35" s="2"/>
      <c r="X35" s="2"/>
      <c r="Y35" s="2"/>
      <c r="Z35" s="6"/>
    </row>
    <row r="36" spans="1:26" s="23" customFormat="1" ht="15" thickBot="1" x14ac:dyDescent="0.35">
      <c r="A36" s="10"/>
      <c r="B36" s="26" t="s">
        <v>294</v>
      </c>
      <c r="C36" s="26"/>
      <c r="D36" s="33" t="e">
        <f ca="1">SUM(D31:D35)</f>
        <v>#NAME?</v>
      </c>
      <c r="E36" s="13"/>
      <c r="F36" s="31" t="e">
        <f ca="1">IF(D$12=0,0,D36/D$12)</f>
        <v>#NAME?</v>
      </c>
      <c r="G36" s="13"/>
      <c r="H36" s="33" t="e">
        <f ca="1">SUM(H31:H35)</f>
        <v>#NAME?</v>
      </c>
      <c r="I36" s="13"/>
      <c r="J36" s="31" t="e">
        <f ca="1">IF(H$12=0,0,H36/H$12)</f>
        <v>#NAME?</v>
      </c>
      <c r="K36" s="16"/>
      <c r="L36" s="33" t="e">
        <f ca="1">+D36-H36</f>
        <v>#NAME?</v>
      </c>
      <c r="M36" s="16"/>
      <c r="N36" s="31" t="e">
        <f ca="1">IF(H36=0,0,L36/H36)</f>
        <v>#NAME?</v>
      </c>
      <c r="O36" s="25"/>
      <c r="P36" s="33" t="e">
        <f ca="1">SUM(P31:P35)</f>
        <v>#NAME?</v>
      </c>
      <c r="Q36" s="13"/>
      <c r="R36" s="31" t="e">
        <f ca="1">IF(P$12=0,0,P36/P$12)</f>
        <v>#NAME?</v>
      </c>
      <c r="S36" s="13"/>
      <c r="T36" s="33" t="e">
        <f ca="1">SUM(T31:T35)</f>
        <v>#NAME?</v>
      </c>
      <c r="U36" s="13"/>
      <c r="V36" s="31" t="e">
        <f ca="1">IF(T$12=0,0,T36/T$12)</f>
        <v>#NAME?</v>
      </c>
      <c r="W36" s="16"/>
      <c r="X36" s="33" t="e">
        <f ca="1">+P36-T36</f>
        <v>#NAME?</v>
      </c>
      <c r="Y36" s="16"/>
      <c r="Z36" s="31" t="e">
        <f ca="1">IF(T36=0,0,X36/T36)</f>
        <v>#NAME?</v>
      </c>
    </row>
    <row r="37" spans="1:26" ht="15" thickTop="1" x14ac:dyDescent="0.3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3">
      <c r="A38" s="9"/>
      <c r="B38" s="54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3">
      <c r="A39" s="9"/>
      <c r="B39" s="59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3">
      <c r="A40" s="9"/>
      <c r="B40" s="55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3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50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7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50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7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7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7" customWidth="1" outlineLevel="1"/>
  </cols>
  <sheetData>
    <row r="2" spans="1:26" x14ac:dyDescent="0.3">
      <c r="D2" s="57" t="s">
        <v>23</v>
      </c>
    </row>
    <row r="3" spans="1:26" x14ac:dyDescent="0.3">
      <c r="D3" s="57" t="s">
        <v>237</v>
      </c>
      <c r="E3" s="17"/>
      <c r="F3" s="51"/>
      <c r="G3" s="17"/>
      <c r="H3" s="17"/>
      <c r="I3" s="17"/>
      <c r="J3" s="39"/>
      <c r="K3" s="17"/>
      <c r="L3" s="17"/>
      <c r="M3" s="17"/>
      <c r="N3" s="51"/>
      <c r="O3" s="61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3">
      <c r="D4" s="57" t="e">
        <f ca="1">CONCATENATE("Period ",RIGHT(_xll.OneStop.ReportPlayer.OSRFunctions.OSRGet("Period","PeriodId"),2),", ",_xll.OneStop.ReportPlayer.OSRFunctions.OSRGet("Period","Year"))</f>
        <v>#NAME?</v>
      </c>
      <c r="E4" s="17"/>
      <c r="F4" s="51"/>
      <c r="G4" s="17"/>
      <c r="H4" s="17"/>
      <c r="I4" s="17"/>
      <c r="J4" s="39"/>
      <c r="K4" s="17"/>
      <c r="L4" s="17"/>
      <c r="M4" s="17"/>
      <c r="N4" s="51"/>
      <c r="O4" s="61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3">
      <c r="A5" s="23"/>
      <c r="D5" s="65" t="e">
        <f ca="1">_xll.OneStop.ReportPlayer.OSRFunctions.OSRGet("Period","PeriodEnd")</f>
        <v>#NAME?</v>
      </c>
      <c r="E5" s="17"/>
      <c r="F5" s="51"/>
      <c r="G5" s="17"/>
      <c r="H5" s="17"/>
      <c r="I5" s="17"/>
      <c r="J5" s="39"/>
      <c r="K5" s="17"/>
      <c r="L5" s="17"/>
      <c r="M5" s="17"/>
      <c r="N5" s="51"/>
      <c r="O5" s="61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3">
      <c r="A6" s="23"/>
      <c r="B6" s="47"/>
      <c r="C6" s="47"/>
      <c r="D6" s="23" t="s">
        <v>256</v>
      </c>
      <c r="E6" s="17"/>
      <c r="F6" s="51"/>
      <c r="G6" s="17"/>
      <c r="H6" s="17"/>
      <c r="I6" s="17"/>
      <c r="J6" s="39"/>
      <c r="K6" s="17"/>
      <c r="L6" s="17"/>
      <c r="M6" s="17"/>
      <c r="N6" s="51"/>
      <c r="O6" s="60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3">
      <c r="B7" s="63"/>
    </row>
    <row r="8" spans="1:26" x14ac:dyDescent="0.3">
      <c r="B8" s="63"/>
    </row>
    <row r="9" spans="1:26" x14ac:dyDescent="0.3">
      <c r="B9" s="9"/>
      <c r="C9" s="9"/>
      <c r="D9" s="15" t="s">
        <v>292</v>
      </c>
      <c r="E9" s="15"/>
      <c r="F9" s="38"/>
      <c r="G9" s="15"/>
      <c r="H9" s="15"/>
      <c r="I9" s="15"/>
      <c r="J9" s="49"/>
      <c r="K9" s="15"/>
      <c r="L9" s="15"/>
      <c r="M9" s="15"/>
      <c r="N9" s="38"/>
      <c r="P9" s="15" t="s">
        <v>39</v>
      </c>
      <c r="Q9" s="15"/>
      <c r="R9" s="38"/>
      <c r="S9" s="15"/>
      <c r="T9" s="15"/>
      <c r="U9" s="15"/>
      <c r="V9" s="49"/>
      <c r="W9" s="15"/>
      <c r="X9" s="15"/>
      <c r="Y9" s="15"/>
      <c r="Z9" s="38"/>
    </row>
    <row r="10" spans="1:26" x14ac:dyDescent="0.3">
      <c r="A10" s="10"/>
      <c r="B10" s="53"/>
      <c r="C10" s="10"/>
      <c r="D10" s="42" t="s">
        <v>57</v>
      </c>
      <c r="E10" s="34"/>
      <c r="F10" s="40" t="s">
        <v>40</v>
      </c>
      <c r="G10" s="34"/>
      <c r="H10" s="45" t="s">
        <v>238</v>
      </c>
      <c r="I10" s="34"/>
      <c r="J10" s="48" t="s">
        <v>58</v>
      </c>
      <c r="K10" s="10"/>
      <c r="L10" s="42" t="s">
        <v>127</v>
      </c>
      <c r="M10" s="10"/>
      <c r="N10" s="40" t="s">
        <v>258</v>
      </c>
      <c r="O10" s="10"/>
      <c r="P10" s="56" t="s">
        <v>57</v>
      </c>
      <c r="Q10" s="34"/>
      <c r="R10" s="40" t="s">
        <v>40</v>
      </c>
      <c r="S10" s="34"/>
      <c r="T10" s="45" t="s">
        <v>238</v>
      </c>
      <c r="U10" s="34"/>
      <c r="V10" s="48" t="s">
        <v>58</v>
      </c>
      <c r="W10" s="10"/>
      <c r="X10" s="42" t="s">
        <v>127</v>
      </c>
      <c r="Y10" s="10"/>
      <c r="Z10" s="40" t="s">
        <v>258</v>
      </c>
    </row>
    <row r="11" spans="1:26" ht="15.6" x14ac:dyDescent="0.3">
      <c r="A11" s="9"/>
      <c r="B11" s="58"/>
      <c r="C11" s="9"/>
      <c r="D11" s="9"/>
      <c r="E11" s="9"/>
      <c r="F11" s="6"/>
      <c r="G11" s="9"/>
      <c r="H11" s="9"/>
      <c r="I11" s="9"/>
      <c r="J11" s="46"/>
      <c r="K11" s="9"/>
      <c r="L11" s="9"/>
      <c r="M11" s="9"/>
      <c r="N11" s="6"/>
      <c r="P11" s="9"/>
      <c r="Q11" s="9"/>
      <c r="R11" s="6"/>
      <c r="S11" s="9"/>
      <c r="T11" s="9"/>
      <c r="U11" s="9"/>
      <c r="V11" s="46"/>
      <c r="W11" s="9"/>
      <c r="X11" s="9"/>
      <c r="Y11" s="9"/>
      <c r="Z11" s="6"/>
    </row>
    <row r="12" spans="1:26" s="23" customFormat="1" collapsed="1" x14ac:dyDescent="0.3">
      <c r="A12" s="10"/>
      <c r="B12" s="25" t="s">
        <v>140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3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3" t="e">
        <f ca="1">-_xll.OneStop.ReportPlayer.OSRFunctions.OSRGet("GL_F_Trans","Value1")</f>
        <v>#NAME?</v>
      </c>
      <c r="E13" s="3"/>
      <c r="F13" s="19"/>
      <c r="G13" s="3"/>
      <c r="H13" s="3" t="e">
        <f ca="1">_xll.OneStop.ReportPlayer.OSRFunctions.OSRGet("GL_F_Trans","Value1")</f>
        <v>#NAME?</v>
      </c>
      <c r="I13" s="3"/>
      <c r="J13" s="19"/>
      <c r="K13" s="3"/>
      <c r="L13" s="3" t="e">
        <f t="shared" ca="1" si="0"/>
        <v>#NAME?</v>
      </c>
      <c r="M13" s="3"/>
      <c r="N13" s="19" t="e">
        <f t="shared" ca="1" si="1"/>
        <v>#NAME?</v>
      </c>
      <c r="O13" s="11"/>
      <c r="P13" s="3" t="e">
        <f ca="1">-_xll.OneStop.ReportPlayer.OSRFunctions.OSRGet("GL_F_Trans","Value1")</f>
        <v>#NAME?</v>
      </c>
      <c r="Q13" s="3"/>
      <c r="R13" s="19"/>
      <c r="S13" s="3"/>
      <c r="T13" s="3" t="e">
        <f ca="1">_xll.OneStop.ReportPlayer.OSRFunctions.OSRGet("GL_F_Trans","Value1")</f>
        <v>#NAME?</v>
      </c>
      <c r="U13" s="3"/>
      <c r="V13" s="19"/>
      <c r="W13" s="3"/>
      <c r="X13" s="3" t="e">
        <f t="shared" ca="1" si="2"/>
        <v>#NAME?</v>
      </c>
      <c r="Y13" s="3"/>
      <c r="Z13" s="19" t="e">
        <f t="shared" ca="1" si="3"/>
        <v>#NAME?</v>
      </c>
    </row>
    <row r="14" spans="1:26" x14ac:dyDescent="0.3">
      <c r="A14" s="9"/>
      <c r="B14" s="10"/>
      <c r="C14" s="9"/>
      <c r="D14" s="2"/>
      <c r="E14" s="2"/>
      <c r="F14" s="6"/>
      <c r="G14" s="2"/>
      <c r="H14" s="2"/>
      <c r="I14" s="2"/>
      <c r="J14" s="6"/>
      <c r="K14" s="2"/>
      <c r="L14" s="2"/>
      <c r="M14" s="2"/>
      <c r="N14" s="6"/>
      <c r="P14" s="2"/>
      <c r="Q14" s="2"/>
      <c r="R14" s="6"/>
      <c r="S14" s="2"/>
      <c r="T14" s="2"/>
      <c r="U14" s="2"/>
      <c r="V14" s="6"/>
      <c r="W14" s="2"/>
      <c r="X14" s="2"/>
      <c r="Y14" s="2"/>
      <c r="Z14" s="6"/>
    </row>
    <row r="15" spans="1:26" s="23" customFormat="1" collapsed="1" x14ac:dyDescent="0.3">
      <c r="A15" s="10"/>
      <c r="B15" s="25" t="s">
        <v>257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3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3" t="e">
        <f ca="1">_xll.OneStop.ReportPlayer.OSRFunctions.OSRGet("GL_F_Trans","Value1")</f>
        <v>#NAME?</v>
      </c>
      <c r="E16" s="3"/>
      <c r="F16" s="19" t="e">
        <f t="shared" ca="1" si="4"/>
        <v>#NAME?</v>
      </c>
      <c r="G16" s="3"/>
      <c r="H16" s="3" t="e">
        <f ca="1">_xll.OneStop.ReportPlayer.OSRFunctions.OSRGet("GL_F_Trans","Value1")</f>
        <v>#NAME?</v>
      </c>
      <c r="I16" s="3"/>
      <c r="J16" s="19" t="e">
        <f t="shared" ca="1" si="5"/>
        <v>#NAME?</v>
      </c>
      <c r="K16" s="3"/>
      <c r="L16" s="3" t="e">
        <f t="shared" ca="1" si="6"/>
        <v>#NAME?</v>
      </c>
      <c r="M16" s="3"/>
      <c r="N16" s="19" t="e">
        <f t="shared" ca="1" si="7"/>
        <v>#NAME?</v>
      </c>
      <c r="O16" s="11"/>
      <c r="P16" s="3" t="e">
        <f ca="1">_xll.OneStop.ReportPlayer.OSRFunctions.OSRGet("GL_F_Trans","Value1")</f>
        <v>#NAME?</v>
      </c>
      <c r="Q16" s="3"/>
      <c r="R16" s="19" t="e">
        <f t="shared" ca="1" si="8"/>
        <v>#NAME?</v>
      </c>
      <c r="S16" s="3"/>
      <c r="T16" s="3" t="e">
        <f ca="1">_xll.OneStop.ReportPlayer.OSRFunctions.OSRGet("GL_F_Trans","Value1")</f>
        <v>#NAME?</v>
      </c>
      <c r="U16" s="3"/>
      <c r="V16" s="19" t="e">
        <f t="shared" ca="1" si="9"/>
        <v>#NAME?</v>
      </c>
      <c r="W16" s="3"/>
      <c r="X16" s="3" t="e">
        <f t="shared" ca="1" si="10"/>
        <v>#NAME?</v>
      </c>
      <c r="Y16" s="3"/>
      <c r="Z16" s="19" t="e">
        <f t="shared" ca="1" si="11"/>
        <v>#NAME?</v>
      </c>
    </row>
    <row r="17" spans="1:26" x14ac:dyDescent="0.3">
      <c r="A17" s="9"/>
      <c r="B17" s="10"/>
      <c r="C17" s="10"/>
      <c r="D17" s="2"/>
      <c r="E17" s="2"/>
      <c r="F17" s="6"/>
      <c r="G17" s="2"/>
      <c r="H17" s="2"/>
      <c r="I17" s="2"/>
      <c r="J17" s="6"/>
      <c r="K17" s="2"/>
      <c r="L17" s="2"/>
      <c r="M17" s="2"/>
      <c r="N17" s="6"/>
      <c r="O17" s="10"/>
      <c r="P17" s="2"/>
      <c r="Q17" s="2"/>
      <c r="R17" s="6"/>
      <c r="S17" s="2"/>
      <c r="T17" s="2"/>
      <c r="U17" s="2"/>
      <c r="V17" s="6"/>
      <c r="W17" s="2"/>
      <c r="X17" s="2"/>
      <c r="Y17" s="2"/>
      <c r="Z17" s="6"/>
    </row>
    <row r="18" spans="1:26" s="23" customFormat="1" x14ac:dyDescent="0.3">
      <c r="A18" s="10"/>
      <c r="B18" s="26" t="s">
        <v>108</v>
      </c>
      <c r="C18" s="26"/>
      <c r="D18" s="21" t="e">
        <f ca="1">D12-D15</f>
        <v>#NAME?</v>
      </c>
      <c r="E18" s="13"/>
      <c r="F18" s="22" t="e">
        <f ca="1">IF(D$12=0,0,D18/D$12)</f>
        <v>#NAME?</v>
      </c>
      <c r="G18" s="13"/>
      <c r="H18" s="21" t="e">
        <f ca="1">H12-H15</f>
        <v>#NAME?</v>
      </c>
      <c r="I18" s="13"/>
      <c r="J18" s="22" t="e">
        <f ca="1">IF(H$12=0,0,H18/H$12)</f>
        <v>#NAME?</v>
      </c>
      <c r="K18" s="16"/>
      <c r="L18" s="21" t="e">
        <f ca="1">+D18-H18</f>
        <v>#NAME?</v>
      </c>
      <c r="M18" s="16"/>
      <c r="N18" s="22" t="e">
        <f ca="1">IF(H18=0,0,L18/H18)</f>
        <v>#NAME?</v>
      </c>
      <c r="O18" s="25"/>
      <c r="P18" s="21" t="e">
        <f ca="1">P12-P15</f>
        <v>#NAME?</v>
      </c>
      <c r="Q18" s="13"/>
      <c r="R18" s="22" t="e">
        <f ca="1">IF(P$12=0,0,P18/P$12)</f>
        <v>#NAME?</v>
      </c>
      <c r="S18" s="13"/>
      <c r="T18" s="21" t="e">
        <f ca="1">T12-T15</f>
        <v>#NAME?</v>
      </c>
      <c r="U18" s="13"/>
      <c r="V18" s="22" t="e">
        <f ca="1">IF(T$12=0,0,T18/T$12)</f>
        <v>#NAME?</v>
      </c>
      <c r="W18" s="16"/>
      <c r="X18" s="21" t="e">
        <f ca="1">+P18-T18</f>
        <v>#NAME?</v>
      </c>
      <c r="Y18" s="16"/>
      <c r="Z18" s="22" t="e">
        <f ca="1">IF(T18=0,0,X18/T18)</f>
        <v>#NAME?</v>
      </c>
    </row>
    <row r="19" spans="1:26" x14ac:dyDescent="0.3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">
      <c r="A20" s="10"/>
      <c r="B20" s="25" t="s">
        <v>295</v>
      </c>
      <c r="C20" s="10"/>
      <c r="D20" s="20" t="e">
        <f ca="1">SUM(_xll.OneStop.ReportPlayer.OSRFunctions.OSRRef(D22))</f>
        <v>#NAME?</v>
      </c>
      <c r="E20" s="20"/>
      <c r="F20" s="32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2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2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2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2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2" t="e">
        <f t="shared" ref="Z20:Z22" ca="1" si="19">IF(T20=0,0,X20/T20)</f>
        <v>#NAME?</v>
      </c>
    </row>
    <row r="21" spans="1:26" s="27" customFormat="1" outlineLevel="1" collapsed="1" x14ac:dyDescent="0.3">
      <c r="A21" s="28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3">
      <c r="A22" s="29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8" t="e">
        <f ca="1">_xll.OneStop.ReportPlayer.OSRFunctions.OSRGet("GL_F_Trans","Value1")</f>
        <v>#NAME?</v>
      </c>
      <c r="E22" s="3"/>
      <c r="F22" s="7" t="e">
        <f t="shared" ca="1" si="12"/>
        <v>#NAME?</v>
      </c>
      <c r="G22" s="3"/>
      <c r="H22" s="8" t="e">
        <f ca="1">_xll.OneStop.ReportPlayer.OSRFunctions.OSRGet("GL_F_Trans","Value1")</f>
        <v>#NAME?</v>
      </c>
      <c r="I22" s="3"/>
      <c r="J22" s="7" t="e">
        <f t="shared" ca="1" si="13"/>
        <v>#NAME?</v>
      </c>
      <c r="K22" s="3"/>
      <c r="L22" s="8" t="e">
        <f t="shared" ca="1" si="14"/>
        <v>#NAME?</v>
      </c>
      <c r="M22" s="3"/>
      <c r="N22" s="7" t="e">
        <f t="shared" ca="1" si="15"/>
        <v>#NAME?</v>
      </c>
      <c r="O22" s="11"/>
      <c r="P22" s="8" t="e">
        <f ca="1">_xll.OneStop.ReportPlayer.OSRFunctions.OSRGet("GL_F_Trans","Value1")</f>
        <v>#NAME?</v>
      </c>
      <c r="Q22" s="3"/>
      <c r="R22" s="7" t="e">
        <f t="shared" ca="1" si="16"/>
        <v>#NAME?</v>
      </c>
      <c r="S22" s="3"/>
      <c r="T22" s="8" t="e">
        <f ca="1">_xll.OneStop.ReportPlayer.OSRFunctions.OSRGet("GL_F_Trans","Value1")</f>
        <v>#NAME?</v>
      </c>
      <c r="U22" s="3"/>
      <c r="V22" s="7" t="e">
        <f t="shared" ca="1" si="17"/>
        <v>#NAME?</v>
      </c>
      <c r="W22" s="3"/>
      <c r="X22" s="8" t="e">
        <f t="shared" ca="1" si="18"/>
        <v>#NAME?</v>
      </c>
      <c r="Y22" s="3"/>
      <c r="Z22" s="7" t="e">
        <f t="shared" ca="1" si="19"/>
        <v>#NAME?</v>
      </c>
    </row>
    <row r="23" spans="1:26" s="62" customFormat="1" x14ac:dyDescent="0.3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3">
      <c r="A24" s="10"/>
      <c r="B24" s="25" t="s">
        <v>293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3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3" t="e">
        <f ca="1">-_xll.OneStop.ReportPlayer.OSRFunctions.OSRGet("GL_F_Trans","Value1")</f>
        <v>#NAME?</v>
      </c>
      <c r="E25" s="3"/>
      <c r="F25" s="19" t="e">
        <f t="shared" ca="1" si="20"/>
        <v>#NAME?</v>
      </c>
      <c r="G25" s="3"/>
      <c r="H25" s="3" t="e">
        <f ca="1">_xll.OneStop.ReportPlayer.OSRFunctions.OSRGet("GL_F_Trans","Value1")</f>
        <v>#NAME?</v>
      </c>
      <c r="I25" s="3"/>
      <c r="J25" s="19" t="e">
        <f t="shared" ca="1" si="21"/>
        <v>#NAME?</v>
      </c>
      <c r="K25" s="3"/>
      <c r="L25" s="3" t="e">
        <f t="shared" ca="1" si="22"/>
        <v>#NAME?</v>
      </c>
      <c r="M25" s="3"/>
      <c r="N25" s="19" t="e">
        <f t="shared" ca="1" si="23"/>
        <v>#NAME?</v>
      </c>
      <c r="O25" s="11"/>
      <c r="P25" s="3" t="e">
        <f ca="1">-_xll.OneStop.ReportPlayer.OSRFunctions.OSRGet("GL_F_Trans","Value1")</f>
        <v>#NAME?</v>
      </c>
      <c r="Q25" s="3"/>
      <c r="R25" s="19" t="e">
        <f t="shared" ca="1" si="24"/>
        <v>#NAME?</v>
      </c>
      <c r="S25" s="3"/>
      <c r="T25" s="3" t="e">
        <f ca="1">_xll.OneStop.ReportPlayer.OSRFunctions.OSRGet("GL_F_Trans","Value1")</f>
        <v>#NAME?</v>
      </c>
      <c r="U25" s="3"/>
      <c r="V25" s="19" t="e">
        <f t="shared" ca="1" si="25"/>
        <v>#NAME?</v>
      </c>
      <c r="W25" s="3"/>
      <c r="X25" s="3" t="e">
        <f t="shared" ca="1" si="26"/>
        <v>#NAME?</v>
      </c>
      <c r="Y25" s="3"/>
      <c r="Z25" s="19" t="e">
        <f t="shared" ca="1" si="27"/>
        <v>#NAME?</v>
      </c>
    </row>
    <row r="26" spans="1:26" x14ac:dyDescent="0.3">
      <c r="A26" s="9"/>
      <c r="B26" s="10"/>
      <c r="C26" s="10"/>
      <c r="D26" s="2"/>
      <c r="E26" s="2"/>
      <c r="F26" s="6"/>
      <c r="G26" s="2"/>
      <c r="H26" s="2"/>
      <c r="I26" s="2"/>
      <c r="J26" s="6"/>
      <c r="K26" s="2"/>
      <c r="L26" s="2"/>
      <c r="M26" s="2"/>
      <c r="N26" s="6"/>
      <c r="O26" s="10"/>
      <c r="P26" s="2"/>
      <c r="Q26" s="2"/>
      <c r="R26" s="6"/>
      <c r="S26" s="2"/>
      <c r="T26" s="2"/>
      <c r="U26" s="2"/>
      <c r="V26" s="6"/>
      <c r="W26" s="2"/>
      <c r="X26" s="2"/>
      <c r="Y26" s="2"/>
      <c r="Z26" s="6"/>
    </row>
    <row r="27" spans="1:26" s="23" customFormat="1" x14ac:dyDescent="0.3">
      <c r="A27" s="10"/>
      <c r="B27" s="26" t="s">
        <v>277</v>
      </c>
      <c r="C27" s="26"/>
      <c r="D27" s="21" t="e">
        <f ca="1">+D18-D20+D24</f>
        <v>#NAME?</v>
      </c>
      <c r="E27" s="13"/>
      <c r="F27" s="22" t="e">
        <f ca="1">IF(D$12=0,0,D27/D$12)</f>
        <v>#NAME?</v>
      </c>
      <c r="G27" s="13"/>
      <c r="H27" s="21" t="e">
        <f ca="1">+H18-H20+H24</f>
        <v>#NAME?</v>
      </c>
      <c r="I27" s="13"/>
      <c r="J27" s="22" t="e">
        <f ca="1">IF(H$12=0,0,H27/H$12)</f>
        <v>#NAME?</v>
      </c>
      <c r="K27" s="16"/>
      <c r="L27" s="21" t="e">
        <f ca="1">+D27-H27</f>
        <v>#NAME?</v>
      </c>
      <c r="M27" s="16"/>
      <c r="N27" s="22" t="e">
        <f ca="1">IF(H27=0,0,L27/H27)</f>
        <v>#NAME?</v>
      </c>
      <c r="O27" s="25"/>
      <c r="P27" s="21" t="e">
        <f ca="1">+P18-P20+P24</f>
        <v>#NAME?</v>
      </c>
      <c r="Q27" s="13"/>
      <c r="R27" s="22" t="e">
        <f ca="1">IF(P$12=0,0,P27/P$12)</f>
        <v>#NAME?</v>
      </c>
      <c r="S27" s="13"/>
      <c r="T27" s="21" t="e">
        <f ca="1">+T18-T20+T24</f>
        <v>#NAME?</v>
      </c>
      <c r="U27" s="13"/>
      <c r="V27" s="22" t="e">
        <f ca="1">IF(T$12=0,0,T27/T$12)</f>
        <v>#NAME?</v>
      </c>
      <c r="W27" s="16"/>
      <c r="X27" s="21" t="e">
        <f ca="1">+P27-T27</f>
        <v>#NAME?</v>
      </c>
      <c r="Y27" s="16"/>
      <c r="Z27" s="22" t="e">
        <f ca="1">IF(T27=0,0,X27/T27)</f>
        <v>#NAME?</v>
      </c>
    </row>
    <row r="28" spans="1:26" x14ac:dyDescent="0.3">
      <c r="A28" s="9"/>
      <c r="B28" s="10"/>
      <c r="C28" s="9"/>
      <c r="D28" s="2"/>
      <c r="E28" s="2"/>
      <c r="F28" s="6"/>
      <c r="G28" s="2"/>
      <c r="H28" s="2"/>
      <c r="I28" s="2"/>
      <c r="J28" s="6"/>
      <c r="K28" s="2"/>
      <c r="L28" s="2"/>
      <c r="M28" s="2"/>
      <c r="N28" s="6"/>
      <c r="P28" s="2"/>
      <c r="Q28" s="2"/>
      <c r="R28" s="6"/>
      <c r="S28" s="2"/>
      <c r="T28" s="2"/>
      <c r="U28" s="2"/>
      <c r="V28" s="6"/>
      <c r="W28" s="2"/>
      <c r="X28" s="2"/>
      <c r="Y28" s="2"/>
      <c r="Z28" s="6"/>
    </row>
    <row r="29" spans="1:26" s="23" customFormat="1" x14ac:dyDescent="0.3">
      <c r="A29" s="52"/>
      <c r="B29" s="10" t="s">
        <v>128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3">
      <c r="A30" s="9"/>
      <c r="B30" s="10"/>
      <c r="C30" s="10"/>
      <c r="D30" s="2"/>
      <c r="E30" s="2"/>
      <c r="F30" s="6"/>
      <c r="G30" s="2"/>
      <c r="H30" s="2"/>
      <c r="I30" s="2"/>
      <c r="J30" s="6"/>
      <c r="K30" s="2"/>
      <c r="L30" s="2"/>
      <c r="M30" s="2"/>
      <c r="N30" s="6"/>
      <c r="O30" s="10"/>
      <c r="P30" s="2"/>
      <c r="Q30" s="2"/>
      <c r="R30" s="6"/>
      <c r="S30" s="2"/>
      <c r="T30" s="2"/>
      <c r="U30" s="2"/>
      <c r="V30" s="6"/>
      <c r="W30" s="2"/>
      <c r="X30" s="2"/>
      <c r="Y30" s="2"/>
      <c r="Z30" s="6"/>
    </row>
    <row r="31" spans="1:26" s="23" customFormat="1" ht="15" thickBot="1" x14ac:dyDescent="0.35">
      <c r="A31" s="10"/>
      <c r="B31" s="26" t="s">
        <v>126</v>
      </c>
      <c r="C31" s="26"/>
      <c r="D31" s="35" t="e">
        <f ca="1">+D27-D29</f>
        <v>#NAME?</v>
      </c>
      <c r="E31" s="13"/>
      <c r="F31" s="30" t="e">
        <f ca="1">IF(D$12=0,0,D31/D$12)</f>
        <v>#NAME?</v>
      </c>
      <c r="G31" s="13"/>
      <c r="H31" s="35" t="e">
        <f ca="1">+H27-H29</f>
        <v>#NAME?</v>
      </c>
      <c r="I31" s="13"/>
      <c r="J31" s="30" t="e">
        <f ca="1">IF(H$12=0,0,H31/H$12)</f>
        <v>#NAME?</v>
      </c>
      <c r="K31" s="16"/>
      <c r="L31" s="35" t="e">
        <f ca="1">D31-H31</f>
        <v>#NAME?</v>
      </c>
      <c r="M31" s="16"/>
      <c r="N31" s="30" t="e">
        <f ca="1">IF(H31=0,0,L31/H31)</f>
        <v>#NAME?</v>
      </c>
      <c r="O31" s="25"/>
      <c r="P31" s="35" t="e">
        <f ca="1">+P27-P29</f>
        <v>#NAME?</v>
      </c>
      <c r="Q31" s="13"/>
      <c r="R31" s="30" t="e">
        <f ca="1">IF(P$12=0,0,P31/P$12)</f>
        <v>#NAME?</v>
      </c>
      <c r="S31" s="13"/>
      <c r="T31" s="35" t="e">
        <f ca="1">+T27-T29</f>
        <v>#NAME?</v>
      </c>
      <c r="U31" s="13"/>
      <c r="V31" s="30" t="e">
        <f ca="1">IF(T$12=0,0,T31/T$12)</f>
        <v>#NAME?</v>
      </c>
      <c r="W31" s="16"/>
      <c r="X31" s="35" t="e">
        <f ca="1">P31-T31</f>
        <v>#NAME?</v>
      </c>
      <c r="Y31" s="16"/>
      <c r="Z31" s="30" t="e">
        <f ca="1">IF(T31=0,0,X31/T31)</f>
        <v>#NAME?</v>
      </c>
    </row>
    <row r="32" spans="1:26" ht="15" thickTop="1" x14ac:dyDescent="0.3">
      <c r="A32" s="9"/>
      <c r="B32" s="9"/>
      <c r="C32" s="9"/>
      <c r="D32" s="2"/>
      <c r="E32" s="2"/>
      <c r="F32" s="6"/>
      <c r="G32" s="2"/>
      <c r="H32" s="2"/>
      <c r="I32" s="2"/>
      <c r="J32" s="6"/>
      <c r="K32" s="2"/>
      <c r="L32" s="2"/>
      <c r="M32" s="2"/>
      <c r="N32" s="6"/>
      <c r="P32" s="2"/>
      <c r="Q32" s="2"/>
      <c r="R32" s="6"/>
      <c r="S32" s="2"/>
      <c r="T32" s="2"/>
      <c r="U32" s="2"/>
      <c r="V32" s="6"/>
      <c r="W32" s="2"/>
      <c r="X32" s="2"/>
      <c r="Y32" s="2"/>
      <c r="Z32" s="6"/>
    </row>
    <row r="33" spans="1:26" s="23" customFormat="1" x14ac:dyDescent="0.3">
      <c r="A33" s="52"/>
      <c r="B33" s="10" t="s">
        <v>184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3">
      <c r="A34" s="52"/>
      <c r="B34" s="10" t="s">
        <v>82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3">
      <c r="A35" s="9"/>
      <c r="B35" s="9"/>
      <c r="C35" s="9"/>
      <c r="D35" s="2"/>
      <c r="E35" s="2"/>
      <c r="F35" s="6"/>
      <c r="G35" s="2"/>
      <c r="H35" s="2"/>
      <c r="I35" s="2"/>
      <c r="J35" s="6"/>
      <c r="K35" s="2"/>
      <c r="L35" s="2"/>
      <c r="M35" s="2"/>
      <c r="N35" s="6"/>
      <c r="P35" s="2"/>
      <c r="Q35" s="2"/>
      <c r="R35" s="6"/>
      <c r="S35" s="2"/>
      <c r="T35" s="2"/>
      <c r="U35" s="2"/>
      <c r="V35" s="6"/>
      <c r="W35" s="2"/>
      <c r="X35" s="2"/>
      <c r="Y35" s="2"/>
      <c r="Z35" s="6"/>
    </row>
    <row r="36" spans="1:26" s="23" customFormat="1" ht="15" thickBot="1" x14ac:dyDescent="0.35">
      <c r="A36" s="10"/>
      <c r="B36" s="26" t="s">
        <v>294</v>
      </c>
      <c r="C36" s="26"/>
      <c r="D36" s="33" t="e">
        <f ca="1">SUM(D31:D35)</f>
        <v>#NAME?</v>
      </c>
      <c r="E36" s="13"/>
      <c r="F36" s="31" t="e">
        <f ca="1">IF(D$12=0,0,D36/D$12)</f>
        <v>#NAME?</v>
      </c>
      <c r="G36" s="13"/>
      <c r="H36" s="33" t="e">
        <f ca="1">SUM(H31:H35)</f>
        <v>#NAME?</v>
      </c>
      <c r="I36" s="13"/>
      <c r="J36" s="31" t="e">
        <f ca="1">IF(H$12=0,0,H36/H$12)</f>
        <v>#NAME?</v>
      </c>
      <c r="K36" s="16"/>
      <c r="L36" s="33" t="e">
        <f ca="1">+D36-H36</f>
        <v>#NAME?</v>
      </c>
      <c r="M36" s="16"/>
      <c r="N36" s="31" t="e">
        <f ca="1">IF(H36=0,0,L36/H36)</f>
        <v>#NAME?</v>
      </c>
      <c r="O36" s="25"/>
      <c r="P36" s="33" t="e">
        <f ca="1">SUM(P31:P35)</f>
        <v>#NAME?</v>
      </c>
      <c r="Q36" s="13"/>
      <c r="R36" s="31" t="e">
        <f ca="1">IF(P$12=0,0,P36/P$12)</f>
        <v>#NAME?</v>
      </c>
      <c r="S36" s="13"/>
      <c r="T36" s="33" t="e">
        <f ca="1">SUM(T31:T35)</f>
        <v>#NAME?</v>
      </c>
      <c r="U36" s="13"/>
      <c r="V36" s="31" t="e">
        <f ca="1">IF(T$12=0,0,T36/T$12)</f>
        <v>#NAME?</v>
      </c>
      <c r="W36" s="16"/>
      <c r="X36" s="33" t="e">
        <f ca="1">+P36-T36</f>
        <v>#NAME?</v>
      </c>
      <c r="Y36" s="16"/>
      <c r="Z36" s="31" t="e">
        <f ca="1">IF(T36=0,0,X36/T36)</f>
        <v>#NAME?</v>
      </c>
    </row>
    <row r="37" spans="1:26" ht="15" thickTop="1" x14ac:dyDescent="0.3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3">
      <c r="A38" s="9"/>
      <c r="B38" s="54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3">
      <c r="A39" s="9"/>
      <c r="B39" s="59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3">
      <c r="A40" s="9"/>
      <c r="B40" s="55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3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theme="5" tint="0.39997558519241921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50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7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50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7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7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7" customWidth="1" outlineLevel="1"/>
  </cols>
  <sheetData>
    <row r="2" spans="1:26" x14ac:dyDescent="0.3">
      <c r="D2" s="57" t="s">
        <v>23</v>
      </c>
    </row>
    <row r="3" spans="1:26" x14ac:dyDescent="0.3">
      <c r="D3" s="57" t="s">
        <v>237</v>
      </c>
      <c r="E3" s="17"/>
      <c r="F3" s="51"/>
      <c r="G3" s="17"/>
      <c r="H3" s="17"/>
      <c r="I3" s="17"/>
      <c r="J3" s="39"/>
      <c r="K3" s="17"/>
      <c r="L3" s="17"/>
      <c r="M3" s="17"/>
      <c r="N3" s="51"/>
      <c r="O3" s="61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3">
      <c r="D4" s="57" t="e">
        <f ca="1">CONCATENATE("Period ",RIGHT(_xll.OneStop.ReportPlayer.OSRFunctions.OSRGet("Period","PeriodId"),2),", ",_xll.OneStop.ReportPlayer.OSRFunctions.OSRGet("Period","Year"))</f>
        <v>#NAME?</v>
      </c>
      <c r="E4" s="17"/>
      <c r="F4" s="51"/>
      <c r="G4" s="17"/>
      <c r="H4" s="17"/>
      <c r="I4" s="17"/>
      <c r="J4" s="39"/>
      <c r="K4" s="17"/>
      <c r="L4" s="17"/>
      <c r="M4" s="17"/>
      <c r="N4" s="51"/>
      <c r="O4" s="61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3">
      <c r="A5" s="23"/>
      <c r="D5" s="65" t="e">
        <f ca="1">_xll.OneStop.ReportPlayer.OSRFunctions.OSRGet("Period","PeriodEnd")</f>
        <v>#NAME?</v>
      </c>
      <c r="E5" s="17"/>
      <c r="F5" s="51"/>
      <c r="G5" s="17"/>
      <c r="H5" s="17"/>
      <c r="I5" s="17"/>
      <c r="J5" s="39"/>
      <c r="K5" s="17"/>
      <c r="L5" s="17"/>
      <c r="M5" s="17"/>
      <c r="N5" s="51"/>
      <c r="O5" s="61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3">
      <c r="A6" s="23"/>
      <c r="B6" s="47"/>
      <c r="C6" s="47"/>
      <c r="D6" s="23" t="s">
        <v>314</v>
      </c>
      <c r="E6" s="17"/>
      <c r="F6" s="51"/>
      <c r="G6" s="17"/>
      <c r="H6" s="17"/>
      <c r="I6" s="17"/>
      <c r="J6" s="39"/>
      <c r="K6" s="17"/>
      <c r="L6" s="17"/>
      <c r="M6" s="17"/>
      <c r="N6" s="51"/>
      <c r="O6" s="60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3">
      <c r="B7" s="63"/>
    </row>
    <row r="8" spans="1:26" x14ac:dyDescent="0.3">
      <c r="B8" s="63"/>
    </row>
    <row r="9" spans="1:26" x14ac:dyDescent="0.3">
      <c r="B9" s="9"/>
      <c r="C9" s="9"/>
      <c r="D9" s="15" t="s">
        <v>292</v>
      </c>
      <c r="E9" s="15"/>
      <c r="F9" s="38"/>
      <c r="G9" s="15"/>
      <c r="H9" s="15"/>
      <c r="I9" s="15"/>
      <c r="J9" s="49"/>
      <c r="K9" s="15"/>
      <c r="L9" s="15"/>
      <c r="M9" s="15"/>
      <c r="N9" s="38"/>
      <c r="P9" s="15" t="s">
        <v>39</v>
      </c>
      <c r="Q9" s="15"/>
      <c r="R9" s="38"/>
      <c r="S9" s="15"/>
      <c r="T9" s="15"/>
      <c r="U9" s="15"/>
      <c r="V9" s="49"/>
      <c r="W9" s="15"/>
      <c r="X9" s="15"/>
      <c r="Y9" s="15"/>
      <c r="Z9" s="38"/>
    </row>
    <row r="10" spans="1:26" x14ac:dyDescent="0.3">
      <c r="A10" s="10"/>
      <c r="B10" s="53"/>
      <c r="C10" s="10"/>
      <c r="D10" s="42" t="s">
        <v>57</v>
      </c>
      <c r="E10" s="34"/>
      <c r="F10" s="40" t="s">
        <v>40</v>
      </c>
      <c r="G10" s="34"/>
      <c r="H10" s="45" t="s">
        <v>238</v>
      </c>
      <c r="I10" s="34"/>
      <c r="J10" s="48" t="s">
        <v>58</v>
      </c>
      <c r="K10" s="10"/>
      <c r="L10" s="42" t="s">
        <v>127</v>
      </c>
      <c r="M10" s="10"/>
      <c r="N10" s="40" t="s">
        <v>258</v>
      </c>
      <c r="O10" s="10"/>
      <c r="P10" s="56" t="s">
        <v>57</v>
      </c>
      <c r="Q10" s="34"/>
      <c r="R10" s="40" t="s">
        <v>40</v>
      </c>
      <c r="S10" s="34"/>
      <c r="T10" s="45" t="s">
        <v>238</v>
      </c>
      <c r="U10" s="34"/>
      <c r="V10" s="48" t="s">
        <v>58</v>
      </c>
      <c r="W10" s="10"/>
      <c r="X10" s="42" t="s">
        <v>127</v>
      </c>
      <c r="Y10" s="10"/>
      <c r="Z10" s="40" t="s">
        <v>258</v>
      </c>
    </row>
    <row r="11" spans="1:26" ht="15.6" x14ac:dyDescent="0.3">
      <c r="A11" s="9"/>
      <c r="B11" s="58"/>
      <c r="C11" s="9"/>
      <c r="D11" s="9"/>
      <c r="E11" s="9"/>
      <c r="F11" s="6"/>
      <c r="G11" s="9"/>
      <c r="H11" s="9"/>
      <c r="I11" s="9"/>
      <c r="J11" s="46"/>
      <c r="K11" s="9"/>
      <c r="L11" s="9"/>
      <c r="M11" s="9"/>
      <c r="N11" s="6"/>
      <c r="P11" s="9"/>
      <c r="Q11" s="9"/>
      <c r="R11" s="6"/>
      <c r="S11" s="9"/>
      <c r="T11" s="9"/>
      <c r="U11" s="9"/>
      <c r="V11" s="46"/>
      <c r="W11" s="9"/>
      <c r="X11" s="9"/>
      <c r="Y11" s="9"/>
      <c r="Z11" s="6"/>
    </row>
    <row r="12" spans="1:26" s="23" customFormat="1" collapsed="1" x14ac:dyDescent="0.3">
      <c r="A12" s="10"/>
      <c r="B12" s="25" t="s">
        <v>140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3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3" t="e">
        <f ca="1">-_xll.OneStop.ReportPlayer.OSRFunctions.OSRGet("GL_F_Trans","Value1")</f>
        <v>#NAME?</v>
      </c>
      <c r="E13" s="3"/>
      <c r="F13" s="19"/>
      <c r="G13" s="3"/>
      <c r="H13" s="3" t="e">
        <f ca="1">_xll.OneStop.ReportPlayer.OSRFunctions.OSRGet("GL_F_Trans","Value1")</f>
        <v>#NAME?</v>
      </c>
      <c r="I13" s="3"/>
      <c r="J13" s="19"/>
      <c r="K13" s="3"/>
      <c r="L13" s="3" t="e">
        <f t="shared" ca="1" si="0"/>
        <v>#NAME?</v>
      </c>
      <c r="M13" s="3"/>
      <c r="N13" s="19" t="e">
        <f t="shared" ca="1" si="1"/>
        <v>#NAME?</v>
      </c>
      <c r="O13" s="11"/>
      <c r="P13" s="3" t="e">
        <f ca="1">-_xll.OneStop.ReportPlayer.OSRFunctions.OSRGet("GL_F_Trans","Value1")</f>
        <v>#NAME?</v>
      </c>
      <c r="Q13" s="3"/>
      <c r="R13" s="19"/>
      <c r="S13" s="3"/>
      <c r="T13" s="3" t="e">
        <f ca="1">_xll.OneStop.ReportPlayer.OSRFunctions.OSRGet("GL_F_Trans","Value1")</f>
        <v>#NAME?</v>
      </c>
      <c r="U13" s="3"/>
      <c r="V13" s="19"/>
      <c r="W13" s="3"/>
      <c r="X13" s="3" t="e">
        <f t="shared" ca="1" si="2"/>
        <v>#NAME?</v>
      </c>
      <c r="Y13" s="3"/>
      <c r="Z13" s="19" t="e">
        <f t="shared" ca="1" si="3"/>
        <v>#NAME?</v>
      </c>
    </row>
    <row r="14" spans="1:26" x14ac:dyDescent="0.3">
      <c r="A14" s="9"/>
      <c r="B14" s="10"/>
      <c r="C14" s="9"/>
      <c r="D14" s="2"/>
      <c r="E14" s="2"/>
      <c r="F14" s="6"/>
      <c r="G14" s="2"/>
      <c r="H14" s="2"/>
      <c r="I14" s="2"/>
      <c r="J14" s="6"/>
      <c r="K14" s="2"/>
      <c r="L14" s="2"/>
      <c r="M14" s="2"/>
      <c r="N14" s="6"/>
      <c r="P14" s="2"/>
      <c r="Q14" s="2"/>
      <c r="R14" s="6"/>
      <c r="S14" s="2"/>
      <c r="T14" s="2"/>
      <c r="U14" s="2"/>
      <c r="V14" s="6"/>
      <c r="W14" s="2"/>
      <c r="X14" s="2"/>
      <c r="Y14" s="2"/>
      <c r="Z14" s="6"/>
    </row>
    <row r="15" spans="1:26" s="23" customFormat="1" collapsed="1" x14ac:dyDescent="0.3">
      <c r="A15" s="10"/>
      <c r="B15" s="25" t="s">
        <v>257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3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3" t="e">
        <f ca="1">_xll.OneStop.ReportPlayer.OSRFunctions.OSRGet("GL_F_Trans","Value1")</f>
        <v>#NAME?</v>
      </c>
      <c r="E16" s="3"/>
      <c r="F16" s="19" t="e">
        <f t="shared" ca="1" si="4"/>
        <v>#NAME?</v>
      </c>
      <c r="G16" s="3"/>
      <c r="H16" s="3" t="e">
        <f ca="1">_xll.OneStop.ReportPlayer.OSRFunctions.OSRGet("GL_F_Trans","Value1")</f>
        <v>#NAME?</v>
      </c>
      <c r="I16" s="3"/>
      <c r="J16" s="19" t="e">
        <f t="shared" ca="1" si="5"/>
        <v>#NAME?</v>
      </c>
      <c r="K16" s="3"/>
      <c r="L16" s="3" t="e">
        <f t="shared" ca="1" si="6"/>
        <v>#NAME?</v>
      </c>
      <c r="M16" s="3"/>
      <c r="N16" s="19" t="e">
        <f t="shared" ca="1" si="7"/>
        <v>#NAME?</v>
      </c>
      <c r="O16" s="11"/>
      <c r="P16" s="3" t="e">
        <f ca="1">_xll.OneStop.ReportPlayer.OSRFunctions.OSRGet("GL_F_Trans","Value1")</f>
        <v>#NAME?</v>
      </c>
      <c r="Q16" s="3"/>
      <c r="R16" s="19" t="e">
        <f t="shared" ca="1" si="8"/>
        <v>#NAME?</v>
      </c>
      <c r="S16" s="3"/>
      <c r="T16" s="3" t="e">
        <f ca="1">_xll.OneStop.ReportPlayer.OSRFunctions.OSRGet("GL_F_Trans","Value1")</f>
        <v>#NAME?</v>
      </c>
      <c r="U16" s="3"/>
      <c r="V16" s="19" t="e">
        <f t="shared" ca="1" si="9"/>
        <v>#NAME?</v>
      </c>
      <c r="W16" s="3"/>
      <c r="X16" s="3" t="e">
        <f t="shared" ca="1" si="10"/>
        <v>#NAME?</v>
      </c>
      <c r="Y16" s="3"/>
      <c r="Z16" s="19" t="e">
        <f t="shared" ca="1" si="11"/>
        <v>#NAME?</v>
      </c>
    </row>
    <row r="17" spans="1:26" x14ac:dyDescent="0.3">
      <c r="A17" s="9"/>
      <c r="B17" s="10"/>
      <c r="C17" s="10"/>
      <c r="D17" s="2"/>
      <c r="E17" s="2"/>
      <c r="F17" s="6"/>
      <c r="G17" s="2"/>
      <c r="H17" s="2"/>
      <c r="I17" s="2"/>
      <c r="J17" s="6"/>
      <c r="K17" s="2"/>
      <c r="L17" s="2"/>
      <c r="M17" s="2"/>
      <c r="N17" s="6"/>
      <c r="O17" s="10"/>
      <c r="P17" s="2"/>
      <c r="Q17" s="2"/>
      <c r="R17" s="6"/>
      <c r="S17" s="2"/>
      <c r="T17" s="2"/>
      <c r="U17" s="2"/>
      <c r="V17" s="6"/>
      <c r="W17" s="2"/>
      <c r="X17" s="2"/>
      <c r="Y17" s="2"/>
      <c r="Z17" s="6"/>
    </row>
    <row r="18" spans="1:26" s="23" customFormat="1" x14ac:dyDescent="0.3">
      <c r="A18" s="10"/>
      <c r="B18" s="26" t="s">
        <v>108</v>
      </c>
      <c r="C18" s="26"/>
      <c r="D18" s="21" t="e">
        <f ca="1">D12-D15</f>
        <v>#NAME?</v>
      </c>
      <c r="E18" s="13"/>
      <c r="F18" s="22" t="e">
        <f ca="1">IF(D$12=0,0,D18/D$12)</f>
        <v>#NAME?</v>
      </c>
      <c r="G18" s="13"/>
      <c r="H18" s="21" t="e">
        <f ca="1">H12-H15</f>
        <v>#NAME?</v>
      </c>
      <c r="I18" s="13"/>
      <c r="J18" s="22" t="e">
        <f ca="1">IF(H$12=0,0,H18/H$12)</f>
        <v>#NAME?</v>
      </c>
      <c r="K18" s="16"/>
      <c r="L18" s="21" t="e">
        <f ca="1">+D18-H18</f>
        <v>#NAME?</v>
      </c>
      <c r="M18" s="16"/>
      <c r="N18" s="22" t="e">
        <f ca="1">IF(H18=0,0,L18/H18)</f>
        <v>#NAME?</v>
      </c>
      <c r="O18" s="25"/>
      <c r="P18" s="21" t="e">
        <f ca="1">P12-P15</f>
        <v>#NAME?</v>
      </c>
      <c r="Q18" s="13"/>
      <c r="R18" s="22" t="e">
        <f ca="1">IF(P$12=0,0,P18/P$12)</f>
        <v>#NAME?</v>
      </c>
      <c r="S18" s="13"/>
      <c r="T18" s="21" t="e">
        <f ca="1">T12-T15</f>
        <v>#NAME?</v>
      </c>
      <c r="U18" s="13"/>
      <c r="V18" s="22" t="e">
        <f ca="1">IF(T$12=0,0,T18/T$12)</f>
        <v>#NAME?</v>
      </c>
      <c r="W18" s="16"/>
      <c r="X18" s="21" t="e">
        <f ca="1">+P18-T18</f>
        <v>#NAME?</v>
      </c>
      <c r="Y18" s="16"/>
      <c r="Z18" s="22" t="e">
        <f ca="1">IF(T18=0,0,X18/T18)</f>
        <v>#NAME?</v>
      </c>
    </row>
    <row r="19" spans="1:26" x14ac:dyDescent="0.3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">
      <c r="A20" s="10"/>
      <c r="B20" s="25" t="s">
        <v>295</v>
      </c>
      <c r="C20" s="10"/>
      <c r="D20" s="20" t="e">
        <f ca="1">SUM(_xll.OneStop.ReportPlayer.OSRFunctions.OSRRef(D22))</f>
        <v>#NAME?</v>
      </c>
      <c r="E20" s="20"/>
      <c r="F20" s="32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2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2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2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2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2" t="e">
        <f t="shared" ref="Z20:Z22" ca="1" si="19">IF(T20=0,0,X20/T20)</f>
        <v>#NAME?</v>
      </c>
    </row>
    <row r="21" spans="1:26" s="27" customFormat="1" outlineLevel="1" collapsed="1" x14ac:dyDescent="0.3">
      <c r="A21" s="28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3">
      <c r="A22" s="29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8" t="e">
        <f ca="1">_xll.OneStop.ReportPlayer.OSRFunctions.OSRGet("GL_F_Trans","Value1")</f>
        <v>#NAME?</v>
      </c>
      <c r="E22" s="3"/>
      <c r="F22" s="7" t="e">
        <f t="shared" ca="1" si="12"/>
        <v>#NAME?</v>
      </c>
      <c r="G22" s="3"/>
      <c r="H22" s="8" t="e">
        <f ca="1">_xll.OneStop.ReportPlayer.OSRFunctions.OSRGet("GL_F_Trans","Value1")</f>
        <v>#NAME?</v>
      </c>
      <c r="I22" s="3"/>
      <c r="J22" s="7" t="e">
        <f t="shared" ca="1" si="13"/>
        <v>#NAME?</v>
      </c>
      <c r="K22" s="3"/>
      <c r="L22" s="8" t="e">
        <f t="shared" ca="1" si="14"/>
        <v>#NAME?</v>
      </c>
      <c r="M22" s="3"/>
      <c r="N22" s="7" t="e">
        <f t="shared" ca="1" si="15"/>
        <v>#NAME?</v>
      </c>
      <c r="O22" s="11"/>
      <c r="P22" s="8" t="e">
        <f ca="1">_xll.OneStop.ReportPlayer.OSRFunctions.OSRGet("GL_F_Trans","Value1")</f>
        <v>#NAME?</v>
      </c>
      <c r="Q22" s="3"/>
      <c r="R22" s="7" t="e">
        <f t="shared" ca="1" si="16"/>
        <v>#NAME?</v>
      </c>
      <c r="S22" s="3"/>
      <c r="T22" s="8" t="e">
        <f ca="1">_xll.OneStop.ReportPlayer.OSRFunctions.OSRGet("GL_F_Trans","Value1")</f>
        <v>#NAME?</v>
      </c>
      <c r="U22" s="3"/>
      <c r="V22" s="7" t="e">
        <f t="shared" ca="1" si="17"/>
        <v>#NAME?</v>
      </c>
      <c r="W22" s="3"/>
      <c r="X22" s="8" t="e">
        <f t="shared" ca="1" si="18"/>
        <v>#NAME?</v>
      </c>
      <c r="Y22" s="3"/>
      <c r="Z22" s="7" t="e">
        <f t="shared" ca="1" si="19"/>
        <v>#NAME?</v>
      </c>
    </row>
    <row r="23" spans="1:26" s="62" customFormat="1" x14ac:dyDescent="0.3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3">
      <c r="A24" s="10"/>
      <c r="B24" s="25" t="s">
        <v>293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3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3" t="e">
        <f ca="1">-_xll.OneStop.ReportPlayer.OSRFunctions.OSRGet("GL_F_Trans","Value1")</f>
        <v>#NAME?</v>
      </c>
      <c r="E25" s="3"/>
      <c r="F25" s="19" t="e">
        <f t="shared" ca="1" si="20"/>
        <v>#NAME?</v>
      </c>
      <c r="G25" s="3"/>
      <c r="H25" s="3" t="e">
        <f ca="1">_xll.OneStop.ReportPlayer.OSRFunctions.OSRGet("GL_F_Trans","Value1")</f>
        <v>#NAME?</v>
      </c>
      <c r="I25" s="3"/>
      <c r="J25" s="19" t="e">
        <f t="shared" ca="1" si="21"/>
        <v>#NAME?</v>
      </c>
      <c r="K25" s="3"/>
      <c r="L25" s="3" t="e">
        <f t="shared" ca="1" si="22"/>
        <v>#NAME?</v>
      </c>
      <c r="M25" s="3"/>
      <c r="N25" s="19" t="e">
        <f t="shared" ca="1" si="23"/>
        <v>#NAME?</v>
      </c>
      <c r="O25" s="11"/>
      <c r="P25" s="3" t="e">
        <f ca="1">-_xll.OneStop.ReportPlayer.OSRFunctions.OSRGet("GL_F_Trans","Value1")</f>
        <v>#NAME?</v>
      </c>
      <c r="Q25" s="3"/>
      <c r="R25" s="19" t="e">
        <f t="shared" ca="1" si="24"/>
        <v>#NAME?</v>
      </c>
      <c r="S25" s="3"/>
      <c r="T25" s="3" t="e">
        <f ca="1">_xll.OneStop.ReportPlayer.OSRFunctions.OSRGet("GL_F_Trans","Value1")</f>
        <v>#NAME?</v>
      </c>
      <c r="U25" s="3"/>
      <c r="V25" s="19" t="e">
        <f t="shared" ca="1" si="25"/>
        <v>#NAME?</v>
      </c>
      <c r="W25" s="3"/>
      <c r="X25" s="3" t="e">
        <f t="shared" ca="1" si="26"/>
        <v>#NAME?</v>
      </c>
      <c r="Y25" s="3"/>
      <c r="Z25" s="19" t="e">
        <f t="shared" ca="1" si="27"/>
        <v>#NAME?</v>
      </c>
    </row>
    <row r="26" spans="1:26" x14ac:dyDescent="0.3">
      <c r="A26" s="9"/>
      <c r="B26" s="10"/>
      <c r="C26" s="10"/>
      <c r="D26" s="2"/>
      <c r="E26" s="2"/>
      <c r="F26" s="6"/>
      <c r="G26" s="2"/>
      <c r="H26" s="2"/>
      <c r="I26" s="2"/>
      <c r="J26" s="6"/>
      <c r="K26" s="2"/>
      <c r="L26" s="2"/>
      <c r="M26" s="2"/>
      <c r="N26" s="6"/>
      <c r="O26" s="10"/>
      <c r="P26" s="2"/>
      <c r="Q26" s="2"/>
      <c r="R26" s="6"/>
      <c r="S26" s="2"/>
      <c r="T26" s="2"/>
      <c r="U26" s="2"/>
      <c r="V26" s="6"/>
      <c r="W26" s="2"/>
      <c r="X26" s="2"/>
      <c r="Y26" s="2"/>
      <c r="Z26" s="6"/>
    </row>
    <row r="27" spans="1:26" s="23" customFormat="1" x14ac:dyDescent="0.3">
      <c r="A27" s="10"/>
      <c r="B27" s="26" t="s">
        <v>277</v>
      </c>
      <c r="C27" s="26"/>
      <c r="D27" s="21" t="e">
        <f ca="1">+D18-D20+D24</f>
        <v>#NAME?</v>
      </c>
      <c r="E27" s="13"/>
      <c r="F27" s="22" t="e">
        <f ca="1">IF(D$12=0,0,D27/D$12)</f>
        <v>#NAME?</v>
      </c>
      <c r="G27" s="13"/>
      <c r="H27" s="21" t="e">
        <f ca="1">+H18-H20+H24</f>
        <v>#NAME?</v>
      </c>
      <c r="I27" s="13"/>
      <c r="J27" s="22" t="e">
        <f ca="1">IF(H$12=0,0,H27/H$12)</f>
        <v>#NAME?</v>
      </c>
      <c r="K27" s="16"/>
      <c r="L27" s="21" t="e">
        <f ca="1">+D27-H27</f>
        <v>#NAME?</v>
      </c>
      <c r="M27" s="16"/>
      <c r="N27" s="22" t="e">
        <f ca="1">IF(H27=0,0,L27/H27)</f>
        <v>#NAME?</v>
      </c>
      <c r="O27" s="25"/>
      <c r="P27" s="21" t="e">
        <f ca="1">+P18-P20+P24</f>
        <v>#NAME?</v>
      </c>
      <c r="Q27" s="13"/>
      <c r="R27" s="22" t="e">
        <f ca="1">IF(P$12=0,0,P27/P$12)</f>
        <v>#NAME?</v>
      </c>
      <c r="S27" s="13"/>
      <c r="T27" s="21" t="e">
        <f ca="1">+T18-T20+T24</f>
        <v>#NAME?</v>
      </c>
      <c r="U27" s="13"/>
      <c r="V27" s="22" t="e">
        <f ca="1">IF(T$12=0,0,T27/T$12)</f>
        <v>#NAME?</v>
      </c>
      <c r="W27" s="16"/>
      <c r="X27" s="21" t="e">
        <f ca="1">+P27-T27</f>
        <v>#NAME?</v>
      </c>
      <c r="Y27" s="16"/>
      <c r="Z27" s="22" t="e">
        <f ca="1">IF(T27=0,0,X27/T27)</f>
        <v>#NAME?</v>
      </c>
    </row>
    <row r="28" spans="1:26" x14ac:dyDescent="0.3">
      <c r="A28" s="9"/>
      <c r="B28" s="10"/>
      <c r="C28" s="9"/>
      <c r="D28" s="2"/>
      <c r="E28" s="2"/>
      <c r="F28" s="6"/>
      <c r="G28" s="2"/>
      <c r="H28" s="2"/>
      <c r="I28" s="2"/>
      <c r="J28" s="6"/>
      <c r="K28" s="2"/>
      <c r="L28" s="2"/>
      <c r="M28" s="2"/>
      <c r="N28" s="6"/>
      <c r="P28" s="2"/>
      <c r="Q28" s="2"/>
      <c r="R28" s="6"/>
      <c r="S28" s="2"/>
      <c r="T28" s="2"/>
      <c r="U28" s="2"/>
      <c r="V28" s="6"/>
      <c r="W28" s="2"/>
      <c r="X28" s="2"/>
      <c r="Y28" s="2"/>
      <c r="Z28" s="6"/>
    </row>
    <row r="29" spans="1:26" s="23" customFormat="1" x14ac:dyDescent="0.3">
      <c r="A29" s="52"/>
      <c r="B29" s="10" t="s">
        <v>128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3">
      <c r="A30" s="9"/>
      <c r="B30" s="10"/>
      <c r="C30" s="10"/>
      <c r="D30" s="2"/>
      <c r="E30" s="2"/>
      <c r="F30" s="6"/>
      <c r="G30" s="2"/>
      <c r="H30" s="2"/>
      <c r="I30" s="2"/>
      <c r="J30" s="6"/>
      <c r="K30" s="2"/>
      <c r="L30" s="2"/>
      <c r="M30" s="2"/>
      <c r="N30" s="6"/>
      <c r="O30" s="10"/>
      <c r="P30" s="2"/>
      <c r="Q30" s="2"/>
      <c r="R30" s="6"/>
      <c r="S30" s="2"/>
      <c r="T30" s="2"/>
      <c r="U30" s="2"/>
      <c r="V30" s="6"/>
      <c r="W30" s="2"/>
      <c r="X30" s="2"/>
      <c r="Y30" s="2"/>
      <c r="Z30" s="6"/>
    </row>
    <row r="31" spans="1:26" s="23" customFormat="1" ht="15" thickBot="1" x14ac:dyDescent="0.35">
      <c r="A31" s="10"/>
      <c r="B31" s="26" t="s">
        <v>126</v>
      </c>
      <c r="C31" s="26"/>
      <c r="D31" s="35" t="e">
        <f ca="1">+D27-D29</f>
        <v>#NAME?</v>
      </c>
      <c r="E31" s="13"/>
      <c r="F31" s="30" t="e">
        <f ca="1">IF(D$12=0,0,D31/D$12)</f>
        <v>#NAME?</v>
      </c>
      <c r="G31" s="13"/>
      <c r="H31" s="35" t="e">
        <f ca="1">+H27-H29</f>
        <v>#NAME?</v>
      </c>
      <c r="I31" s="13"/>
      <c r="J31" s="30" t="e">
        <f ca="1">IF(H$12=0,0,H31/H$12)</f>
        <v>#NAME?</v>
      </c>
      <c r="K31" s="16"/>
      <c r="L31" s="35" t="e">
        <f ca="1">D31-H31</f>
        <v>#NAME?</v>
      </c>
      <c r="M31" s="16"/>
      <c r="N31" s="30" t="e">
        <f ca="1">IF(H31=0,0,L31/H31)</f>
        <v>#NAME?</v>
      </c>
      <c r="O31" s="25"/>
      <c r="P31" s="35" t="e">
        <f ca="1">+P27-P29</f>
        <v>#NAME?</v>
      </c>
      <c r="Q31" s="13"/>
      <c r="R31" s="30" t="e">
        <f ca="1">IF(P$12=0,0,P31/P$12)</f>
        <v>#NAME?</v>
      </c>
      <c r="S31" s="13"/>
      <c r="T31" s="35" t="e">
        <f ca="1">+T27-T29</f>
        <v>#NAME?</v>
      </c>
      <c r="U31" s="13"/>
      <c r="V31" s="30" t="e">
        <f ca="1">IF(T$12=0,0,T31/T$12)</f>
        <v>#NAME?</v>
      </c>
      <c r="W31" s="16"/>
      <c r="X31" s="35" t="e">
        <f ca="1">P31-T31</f>
        <v>#NAME?</v>
      </c>
      <c r="Y31" s="16"/>
      <c r="Z31" s="30" t="e">
        <f ca="1">IF(T31=0,0,X31/T31)</f>
        <v>#NAME?</v>
      </c>
    </row>
    <row r="32" spans="1:26" ht="15" thickTop="1" x14ac:dyDescent="0.3">
      <c r="A32" s="9"/>
      <c r="B32" s="9"/>
      <c r="C32" s="9"/>
      <c r="D32" s="2"/>
      <c r="E32" s="2"/>
      <c r="F32" s="6"/>
      <c r="G32" s="2"/>
      <c r="H32" s="2"/>
      <c r="I32" s="2"/>
      <c r="J32" s="6"/>
      <c r="K32" s="2"/>
      <c r="L32" s="2"/>
      <c r="M32" s="2"/>
      <c r="N32" s="6"/>
      <c r="P32" s="2"/>
      <c r="Q32" s="2"/>
      <c r="R32" s="6"/>
      <c r="S32" s="2"/>
      <c r="T32" s="2"/>
      <c r="U32" s="2"/>
      <c r="V32" s="6"/>
      <c r="W32" s="2"/>
      <c r="X32" s="2"/>
      <c r="Y32" s="2"/>
      <c r="Z32" s="6"/>
    </row>
    <row r="33" spans="1:26" s="23" customFormat="1" x14ac:dyDescent="0.3">
      <c r="A33" s="52"/>
      <c r="B33" s="10" t="s">
        <v>184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3">
      <c r="A34" s="52"/>
      <c r="B34" s="10" t="s">
        <v>82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3">
      <c r="A35" s="9"/>
      <c r="B35" s="9"/>
      <c r="C35" s="9"/>
      <c r="D35" s="2"/>
      <c r="E35" s="2"/>
      <c r="F35" s="6"/>
      <c r="G35" s="2"/>
      <c r="H35" s="2"/>
      <c r="I35" s="2"/>
      <c r="J35" s="6"/>
      <c r="K35" s="2"/>
      <c r="L35" s="2"/>
      <c r="M35" s="2"/>
      <c r="N35" s="6"/>
      <c r="P35" s="2"/>
      <c r="Q35" s="2"/>
      <c r="R35" s="6"/>
      <c r="S35" s="2"/>
      <c r="T35" s="2"/>
      <c r="U35" s="2"/>
      <c r="V35" s="6"/>
      <c r="W35" s="2"/>
      <c r="X35" s="2"/>
      <c r="Y35" s="2"/>
      <c r="Z35" s="6"/>
    </row>
    <row r="36" spans="1:26" s="23" customFormat="1" ht="15" thickBot="1" x14ac:dyDescent="0.35">
      <c r="A36" s="10"/>
      <c r="B36" s="26" t="s">
        <v>294</v>
      </c>
      <c r="C36" s="26"/>
      <c r="D36" s="33" t="e">
        <f ca="1">SUM(D31:D35)</f>
        <v>#NAME?</v>
      </c>
      <c r="E36" s="13"/>
      <c r="F36" s="31" t="e">
        <f ca="1">IF(D$12=0,0,D36/D$12)</f>
        <v>#NAME?</v>
      </c>
      <c r="G36" s="13"/>
      <c r="H36" s="33" t="e">
        <f ca="1">SUM(H31:H35)</f>
        <v>#NAME?</v>
      </c>
      <c r="I36" s="13"/>
      <c r="J36" s="31" t="e">
        <f ca="1">IF(H$12=0,0,H36/H$12)</f>
        <v>#NAME?</v>
      </c>
      <c r="K36" s="16"/>
      <c r="L36" s="33" t="e">
        <f ca="1">+D36-H36</f>
        <v>#NAME?</v>
      </c>
      <c r="M36" s="16"/>
      <c r="N36" s="31" t="e">
        <f ca="1">IF(H36=0,0,L36/H36)</f>
        <v>#NAME?</v>
      </c>
      <c r="O36" s="25"/>
      <c r="P36" s="33" t="e">
        <f ca="1">SUM(P31:P35)</f>
        <v>#NAME?</v>
      </c>
      <c r="Q36" s="13"/>
      <c r="R36" s="31" t="e">
        <f ca="1">IF(P$12=0,0,P36/P$12)</f>
        <v>#NAME?</v>
      </c>
      <c r="S36" s="13"/>
      <c r="T36" s="33" t="e">
        <f ca="1">SUM(T31:T35)</f>
        <v>#NAME?</v>
      </c>
      <c r="U36" s="13"/>
      <c r="V36" s="31" t="e">
        <f ca="1">IF(T$12=0,0,T36/T$12)</f>
        <v>#NAME?</v>
      </c>
      <c r="W36" s="16"/>
      <c r="X36" s="33" t="e">
        <f ca="1">+P36-T36</f>
        <v>#NAME?</v>
      </c>
      <c r="Y36" s="16"/>
      <c r="Z36" s="31" t="e">
        <f ca="1">IF(T36=0,0,X36/T36)</f>
        <v>#NAME?</v>
      </c>
    </row>
    <row r="37" spans="1:26" ht="15" thickTop="1" x14ac:dyDescent="0.3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3">
      <c r="A38" s="9"/>
      <c r="B38" s="54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3">
      <c r="A39" s="9"/>
      <c r="B39" s="59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3">
      <c r="A40" s="9"/>
      <c r="B40" s="55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3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theme="5" tint="0.39997558519241921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50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7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50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7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7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7" customWidth="1" outlineLevel="1"/>
  </cols>
  <sheetData>
    <row r="2" spans="1:26" x14ac:dyDescent="0.3">
      <c r="D2" s="57" t="s">
        <v>23</v>
      </c>
    </row>
    <row r="3" spans="1:26" x14ac:dyDescent="0.3">
      <c r="D3" s="57" t="s">
        <v>237</v>
      </c>
      <c r="E3" s="17"/>
      <c r="F3" s="51"/>
      <c r="G3" s="17"/>
      <c r="H3" s="17"/>
      <c r="I3" s="17"/>
      <c r="J3" s="39"/>
      <c r="K3" s="17"/>
      <c r="L3" s="17"/>
      <c r="M3" s="17"/>
      <c r="N3" s="51"/>
      <c r="O3" s="61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3">
      <c r="D4" s="57" t="e">
        <f ca="1">CONCATENATE("Period ",RIGHT(_xll.OneStop.ReportPlayer.OSRFunctions.OSRGet("Period","PeriodId"),2),", ",_xll.OneStop.ReportPlayer.OSRFunctions.OSRGet("Period","Year"))</f>
        <v>#NAME?</v>
      </c>
      <c r="E4" s="17"/>
      <c r="F4" s="51"/>
      <c r="G4" s="17"/>
      <c r="H4" s="17"/>
      <c r="I4" s="17"/>
      <c r="J4" s="39"/>
      <c r="K4" s="17"/>
      <c r="L4" s="17"/>
      <c r="M4" s="17"/>
      <c r="N4" s="51"/>
      <c r="O4" s="61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3">
      <c r="A5" s="23"/>
      <c r="D5" s="65" t="e">
        <f ca="1">_xll.OneStop.ReportPlayer.OSRFunctions.OSRGet("Period","PeriodEnd")</f>
        <v>#NAME?</v>
      </c>
      <c r="E5" s="17"/>
      <c r="F5" s="51"/>
      <c r="G5" s="17"/>
      <c r="H5" s="17"/>
      <c r="I5" s="17"/>
      <c r="J5" s="39"/>
      <c r="K5" s="17"/>
      <c r="L5" s="17"/>
      <c r="M5" s="17"/>
      <c r="N5" s="51"/>
      <c r="O5" s="61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3">
      <c r="A6" s="23"/>
      <c r="B6" s="47"/>
      <c r="C6" s="47"/>
      <c r="D6" s="23" t="s">
        <v>314</v>
      </c>
      <c r="E6" s="17"/>
      <c r="F6" s="51"/>
      <c r="G6" s="17"/>
      <c r="H6" s="17"/>
      <c r="I6" s="17"/>
      <c r="J6" s="39"/>
      <c r="K6" s="17"/>
      <c r="L6" s="17"/>
      <c r="M6" s="17"/>
      <c r="N6" s="51"/>
      <c r="O6" s="60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3">
      <c r="B7" s="63"/>
    </row>
    <row r="8" spans="1:26" x14ac:dyDescent="0.3">
      <c r="B8" s="63"/>
    </row>
    <row r="9" spans="1:26" x14ac:dyDescent="0.3">
      <c r="B9" s="9"/>
      <c r="C9" s="9"/>
      <c r="D9" s="15" t="s">
        <v>292</v>
      </c>
      <c r="E9" s="15"/>
      <c r="F9" s="38"/>
      <c r="G9" s="15"/>
      <c r="H9" s="15"/>
      <c r="I9" s="15"/>
      <c r="J9" s="49"/>
      <c r="K9" s="15"/>
      <c r="L9" s="15"/>
      <c r="M9" s="15"/>
      <c r="N9" s="38"/>
      <c r="P9" s="15" t="s">
        <v>39</v>
      </c>
      <c r="Q9" s="15"/>
      <c r="R9" s="38"/>
      <c r="S9" s="15"/>
      <c r="T9" s="15"/>
      <c r="U9" s="15"/>
      <c r="V9" s="49"/>
      <c r="W9" s="15"/>
      <c r="X9" s="15"/>
      <c r="Y9" s="15"/>
      <c r="Z9" s="38"/>
    </row>
    <row r="10" spans="1:26" x14ac:dyDescent="0.3">
      <c r="A10" s="10"/>
      <c r="B10" s="53"/>
      <c r="C10" s="10"/>
      <c r="D10" s="42" t="s">
        <v>57</v>
      </c>
      <c r="E10" s="34"/>
      <c r="F10" s="40" t="s">
        <v>40</v>
      </c>
      <c r="G10" s="34"/>
      <c r="H10" s="45" t="s">
        <v>238</v>
      </c>
      <c r="I10" s="34"/>
      <c r="J10" s="48" t="s">
        <v>58</v>
      </c>
      <c r="K10" s="10"/>
      <c r="L10" s="42" t="s">
        <v>127</v>
      </c>
      <c r="M10" s="10"/>
      <c r="N10" s="40" t="s">
        <v>258</v>
      </c>
      <c r="O10" s="10"/>
      <c r="P10" s="56" t="s">
        <v>57</v>
      </c>
      <c r="Q10" s="34"/>
      <c r="R10" s="40" t="s">
        <v>40</v>
      </c>
      <c r="S10" s="34"/>
      <c r="T10" s="45" t="s">
        <v>238</v>
      </c>
      <c r="U10" s="34"/>
      <c r="V10" s="48" t="s">
        <v>58</v>
      </c>
      <c r="W10" s="10"/>
      <c r="X10" s="42" t="s">
        <v>127</v>
      </c>
      <c r="Y10" s="10"/>
      <c r="Z10" s="40" t="s">
        <v>258</v>
      </c>
    </row>
    <row r="11" spans="1:26" ht="15.6" x14ac:dyDescent="0.3">
      <c r="A11" s="9"/>
      <c r="B11" s="58"/>
      <c r="C11" s="9"/>
      <c r="D11" s="9"/>
      <c r="E11" s="9"/>
      <c r="F11" s="6"/>
      <c r="G11" s="9"/>
      <c r="H11" s="9"/>
      <c r="I11" s="9"/>
      <c r="J11" s="46"/>
      <c r="K11" s="9"/>
      <c r="L11" s="9"/>
      <c r="M11" s="9"/>
      <c r="N11" s="6"/>
      <c r="P11" s="9"/>
      <c r="Q11" s="9"/>
      <c r="R11" s="6"/>
      <c r="S11" s="9"/>
      <c r="T11" s="9"/>
      <c r="U11" s="9"/>
      <c r="V11" s="46"/>
      <c r="W11" s="9"/>
      <c r="X11" s="9"/>
      <c r="Y11" s="9"/>
      <c r="Z11" s="6"/>
    </row>
    <row r="12" spans="1:26" s="23" customFormat="1" collapsed="1" x14ac:dyDescent="0.3">
      <c r="A12" s="10"/>
      <c r="B12" s="25" t="s">
        <v>140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3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3" t="e">
        <f ca="1">-_xll.OneStop.ReportPlayer.OSRFunctions.OSRGet("GL_F_Trans","Value1")</f>
        <v>#NAME?</v>
      </c>
      <c r="E13" s="3"/>
      <c r="F13" s="19"/>
      <c r="G13" s="3"/>
      <c r="H13" s="3" t="e">
        <f ca="1">_xll.OneStop.ReportPlayer.OSRFunctions.OSRGet("GL_F_Trans","Value1")</f>
        <v>#NAME?</v>
      </c>
      <c r="I13" s="3"/>
      <c r="J13" s="19"/>
      <c r="K13" s="3"/>
      <c r="L13" s="3" t="e">
        <f t="shared" ca="1" si="0"/>
        <v>#NAME?</v>
      </c>
      <c r="M13" s="3"/>
      <c r="N13" s="19" t="e">
        <f t="shared" ca="1" si="1"/>
        <v>#NAME?</v>
      </c>
      <c r="O13" s="11"/>
      <c r="P13" s="3" t="e">
        <f ca="1">-_xll.OneStop.ReportPlayer.OSRFunctions.OSRGet("GL_F_Trans","Value1")</f>
        <v>#NAME?</v>
      </c>
      <c r="Q13" s="3"/>
      <c r="R13" s="19"/>
      <c r="S13" s="3"/>
      <c r="T13" s="3" t="e">
        <f ca="1">_xll.OneStop.ReportPlayer.OSRFunctions.OSRGet("GL_F_Trans","Value1")</f>
        <v>#NAME?</v>
      </c>
      <c r="U13" s="3"/>
      <c r="V13" s="19"/>
      <c r="W13" s="3"/>
      <c r="X13" s="3" t="e">
        <f t="shared" ca="1" si="2"/>
        <v>#NAME?</v>
      </c>
      <c r="Y13" s="3"/>
      <c r="Z13" s="19" t="e">
        <f t="shared" ca="1" si="3"/>
        <v>#NAME?</v>
      </c>
    </row>
    <row r="14" spans="1:26" x14ac:dyDescent="0.3">
      <c r="A14" s="9"/>
      <c r="B14" s="10"/>
      <c r="C14" s="9"/>
      <c r="D14" s="2"/>
      <c r="E14" s="2"/>
      <c r="F14" s="6"/>
      <c r="G14" s="2"/>
      <c r="H14" s="2"/>
      <c r="I14" s="2"/>
      <c r="J14" s="6"/>
      <c r="K14" s="2"/>
      <c r="L14" s="2"/>
      <c r="M14" s="2"/>
      <c r="N14" s="6"/>
      <c r="P14" s="2"/>
      <c r="Q14" s="2"/>
      <c r="R14" s="6"/>
      <c r="S14" s="2"/>
      <c r="T14" s="2"/>
      <c r="U14" s="2"/>
      <c r="V14" s="6"/>
      <c r="W14" s="2"/>
      <c r="X14" s="2"/>
      <c r="Y14" s="2"/>
      <c r="Z14" s="6"/>
    </row>
    <row r="15" spans="1:26" s="23" customFormat="1" collapsed="1" x14ac:dyDescent="0.3">
      <c r="A15" s="10"/>
      <c r="B15" s="25" t="s">
        <v>257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3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3" t="e">
        <f ca="1">_xll.OneStop.ReportPlayer.OSRFunctions.OSRGet("GL_F_Trans","Value1")</f>
        <v>#NAME?</v>
      </c>
      <c r="E16" s="3"/>
      <c r="F16" s="19" t="e">
        <f t="shared" ca="1" si="4"/>
        <v>#NAME?</v>
      </c>
      <c r="G16" s="3"/>
      <c r="H16" s="3" t="e">
        <f ca="1">_xll.OneStop.ReportPlayer.OSRFunctions.OSRGet("GL_F_Trans","Value1")</f>
        <v>#NAME?</v>
      </c>
      <c r="I16" s="3"/>
      <c r="J16" s="19" t="e">
        <f t="shared" ca="1" si="5"/>
        <v>#NAME?</v>
      </c>
      <c r="K16" s="3"/>
      <c r="L16" s="3" t="e">
        <f t="shared" ca="1" si="6"/>
        <v>#NAME?</v>
      </c>
      <c r="M16" s="3"/>
      <c r="N16" s="19" t="e">
        <f t="shared" ca="1" si="7"/>
        <v>#NAME?</v>
      </c>
      <c r="O16" s="11"/>
      <c r="P16" s="3" t="e">
        <f ca="1">_xll.OneStop.ReportPlayer.OSRFunctions.OSRGet("GL_F_Trans","Value1")</f>
        <v>#NAME?</v>
      </c>
      <c r="Q16" s="3"/>
      <c r="R16" s="19" t="e">
        <f t="shared" ca="1" si="8"/>
        <v>#NAME?</v>
      </c>
      <c r="S16" s="3"/>
      <c r="T16" s="3" t="e">
        <f ca="1">_xll.OneStop.ReportPlayer.OSRFunctions.OSRGet("GL_F_Trans","Value1")</f>
        <v>#NAME?</v>
      </c>
      <c r="U16" s="3"/>
      <c r="V16" s="19" t="e">
        <f t="shared" ca="1" si="9"/>
        <v>#NAME?</v>
      </c>
      <c r="W16" s="3"/>
      <c r="X16" s="3" t="e">
        <f t="shared" ca="1" si="10"/>
        <v>#NAME?</v>
      </c>
      <c r="Y16" s="3"/>
      <c r="Z16" s="19" t="e">
        <f t="shared" ca="1" si="11"/>
        <v>#NAME?</v>
      </c>
    </row>
    <row r="17" spans="1:26" x14ac:dyDescent="0.3">
      <c r="A17" s="9"/>
      <c r="B17" s="10"/>
      <c r="C17" s="10"/>
      <c r="D17" s="2"/>
      <c r="E17" s="2"/>
      <c r="F17" s="6"/>
      <c r="G17" s="2"/>
      <c r="H17" s="2"/>
      <c r="I17" s="2"/>
      <c r="J17" s="6"/>
      <c r="K17" s="2"/>
      <c r="L17" s="2"/>
      <c r="M17" s="2"/>
      <c r="N17" s="6"/>
      <c r="O17" s="10"/>
      <c r="P17" s="2"/>
      <c r="Q17" s="2"/>
      <c r="R17" s="6"/>
      <c r="S17" s="2"/>
      <c r="T17" s="2"/>
      <c r="U17" s="2"/>
      <c r="V17" s="6"/>
      <c r="W17" s="2"/>
      <c r="X17" s="2"/>
      <c r="Y17" s="2"/>
      <c r="Z17" s="6"/>
    </row>
    <row r="18" spans="1:26" s="23" customFormat="1" x14ac:dyDescent="0.3">
      <c r="A18" s="10"/>
      <c r="B18" s="26" t="s">
        <v>108</v>
      </c>
      <c r="C18" s="26"/>
      <c r="D18" s="21" t="e">
        <f ca="1">D12-D15</f>
        <v>#NAME?</v>
      </c>
      <c r="E18" s="13"/>
      <c r="F18" s="22" t="e">
        <f ca="1">IF(D$12=0,0,D18/D$12)</f>
        <v>#NAME?</v>
      </c>
      <c r="G18" s="13"/>
      <c r="H18" s="21" t="e">
        <f ca="1">H12-H15</f>
        <v>#NAME?</v>
      </c>
      <c r="I18" s="13"/>
      <c r="J18" s="22" t="e">
        <f ca="1">IF(H$12=0,0,H18/H$12)</f>
        <v>#NAME?</v>
      </c>
      <c r="K18" s="16"/>
      <c r="L18" s="21" t="e">
        <f ca="1">+D18-H18</f>
        <v>#NAME?</v>
      </c>
      <c r="M18" s="16"/>
      <c r="N18" s="22" t="e">
        <f ca="1">IF(H18=0,0,L18/H18)</f>
        <v>#NAME?</v>
      </c>
      <c r="O18" s="25"/>
      <c r="P18" s="21" t="e">
        <f ca="1">P12-P15</f>
        <v>#NAME?</v>
      </c>
      <c r="Q18" s="13"/>
      <c r="R18" s="22" t="e">
        <f ca="1">IF(P$12=0,0,P18/P$12)</f>
        <v>#NAME?</v>
      </c>
      <c r="S18" s="13"/>
      <c r="T18" s="21" t="e">
        <f ca="1">T12-T15</f>
        <v>#NAME?</v>
      </c>
      <c r="U18" s="13"/>
      <c r="V18" s="22" t="e">
        <f ca="1">IF(T$12=0,0,T18/T$12)</f>
        <v>#NAME?</v>
      </c>
      <c r="W18" s="16"/>
      <c r="X18" s="21" t="e">
        <f ca="1">+P18-T18</f>
        <v>#NAME?</v>
      </c>
      <c r="Y18" s="16"/>
      <c r="Z18" s="22" t="e">
        <f ca="1">IF(T18=0,0,X18/T18)</f>
        <v>#NAME?</v>
      </c>
    </row>
    <row r="19" spans="1:26" x14ac:dyDescent="0.3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">
      <c r="A20" s="10"/>
      <c r="B20" s="25" t="s">
        <v>295</v>
      </c>
      <c r="C20" s="10"/>
      <c r="D20" s="20" t="e">
        <f ca="1">SUM(_xll.OneStop.ReportPlayer.OSRFunctions.OSRRef(D22))</f>
        <v>#NAME?</v>
      </c>
      <c r="E20" s="20"/>
      <c r="F20" s="32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2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2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2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2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2" t="e">
        <f t="shared" ref="Z20:Z22" ca="1" si="19">IF(T20=0,0,X20/T20)</f>
        <v>#NAME?</v>
      </c>
    </row>
    <row r="21" spans="1:26" s="27" customFormat="1" outlineLevel="1" collapsed="1" x14ac:dyDescent="0.3">
      <c r="A21" s="28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3">
      <c r="A22" s="29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8" t="e">
        <f ca="1">_xll.OneStop.ReportPlayer.OSRFunctions.OSRGet("GL_F_Trans","Value1")</f>
        <v>#NAME?</v>
      </c>
      <c r="E22" s="3"/>
      <c r="F22" s="7" t="e">
        <f t="shared" ca="1" si="12"/>
        <v>#NAME?</v>
      </c>
      <c r="G22" s="3"/>
      <c r="H22" s="8" t="e">
        <f ca="1">_xll.OneStop.ReportPlayer.OSRFunctions.OSRGet("GL_F_Trans","Value1")</f>
        <v>#NAME?</v>
      </c>
      <c r="I22" s="3"/>
      <c r="J22" s="7" t="e">
        <f t="shared" ca="1" si="13"/>
        <v>#NAME?</v>
      </c>
      <c r="K22" s="3"/>
      <c r="L22" s="8" t="e">
        <f t="shared" ca="1" si="14"/>
        <v>#NAME?</v>
      </c>
      <c r="M22" s="3"/>
      <c r="N22" s="7" t="e">
        <f t="shared" ca="1" si="15"/>
        <v>#NAME?</v>
      </c>
      <c r="O22" s="11"/>
      <c r="P22" s="8" t="e">
        <f ca="1">_xll.OneStop.ReportPlayer.OSRFunctions.OSRGet("GL_F_Trans","Value1")</f>
        <v>#NAME?</v>
      </c>
      <c r="Q22" s="3"/>
      <c r="R22" s="7" t="e">
        <f t="shared" ca="1" si="16"/>
        <v>#NAME?</v>
      </c>
      <c r="S22" s="3"/>
      <c r="T22" s="8" t="e">
        <f ca="1">_xll.OneStop.ReportPlayer.OSRFunctions.OSRGet("GL_F_Trans","Value1")</f>
        <v>#NAME?</v>
      </c>
      <c r="U22" s="3"/>
      <c r="V22" s="7" t="e">
        <f t="shared" ca="1" si="17"/>
        <v>#NAME?</v>
      </c>
      <c r="W22" s="3"/>
      <c r="X22" s="8" t="e">
        <f t="shared" ca="1" si="18"/>
        <v>#NAME?</v>
      </c>
      <c r="Y22" s="3"/>
      <c r="Z22" s="7" t="e">
        <f t="shared" ca="1" si="19"/>
        <v>#NAME?</v>
      </c>
    </row>
    <row r="23" spans="1:26" s="62" customFormat="1" x14ac:dyDescent="0.3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3">
      <c r="A24" s="10"/>
      <c r="B24" s="25" t="s">
        <v>293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3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3" t="e">
        <f ca="1">-_xll.OneStop.ReportPlayer.OSRFunctions.OSRGet("GL_F_Trans","Value1")</f>
        <v>#NAME?</v>
      </c>
      <c r="E25" s="3"/>
      <c r="F25" s="19" t="e">
        <f t="shared" ca="1" si="20"/>
        <v>#NAME?</v>
      </c>
      <c r="G25" s="3"/>
      <c r="H25" s="3" t="e">
        <f ca="1">_xll.OneStop.ReportPlayer.OSRFunctions.OSRGet("GL_F_Trans","Value1")</f>
        <v>#NAME?</v>
      </c>
      <c r="I25" s="3"/>
      <c r="J25" s="19" t="e">
        <f t="shared" ca="1" si="21"/>
        <v>#NAME?</v>
      </c>
      <c r="K25" s="3"/>
      <c r="L25" s="3" t="e">
        <f t="shared" ca="1" si="22"/>
        <v>#NAME?</v>
      </c>
      <c r="M25" s="3"/>
      <c r="N25" s="19" t="e">
        <f t="shared" ca="1" si="23"/>
        <v>#NAME?</v>
      </c>
      <c r="O25" s="11"/>
      <c r="P25" s="3" t="e">
        <f ca="1">-_xll.OneStop.ReportPlayer.OSRFunctions.OSRGet("GL_F_Trans","Value1")</f>
        <v>#NAME?</v>
      </c>
      <c r="Q25" s="3"/>
      <c r="R25" s="19" t="e">
        <f t="shared" ca="1" si="24"/>
        <v>#NAME?</v>
      </c>
      <c r="S25" s="3"/>
      <c r="T25" s="3" t="e">
        <f ca="1">_xll.OneStop.ReportPlayer.OSRFunctions.OSRGet("GL_F_Trans","Value1")</f>
        <v>#NAME?</v>
      </c>
      <c r="U25" s="3"/>
      <c r="V25" s="19" t="e">
        <f t="shared" ca="1" si="25"/>
        <v>#NAME?</v>
      </c>
      <c r="W25" s="3"/>
      <c r="X25" s="3" t="e">
        <f t="shared" ca="1" si="26"/>
        <v>#NAME?</v>
      </c>
      <c r="Y25" s="3"/>
      <c r="Z25" s="19" t="e">
        <f t="shared" ca="1" si="27"/>
        <v>#NAME?</v>
      </c>
    </row>
    <row r="26" spans="1:26" x14ac:dyDescent="0.3">
      <c r="A26" s="9"/>
      <c r="B26" s="10"/>
      <c r="C26" s="10"/>
      <c r="D26" s="2"/>
      <c r="E26" s="2"/>
      <c r="F26" s="6"/>
      <c r="G26" s="2"/>
      <c r="H26" s="2"/>
      <c r="I26" s="2"/>
      <c r="J26" s="6"/>
      <c r="K26" s="2"/>
      <c r="L26" s="2"/>
      <c r="M26" s="2"/>
      <c r="N26" s="6"/>
      <c r="O26" s="10"/>
      <c r="P26" s="2"/>
      <c r="Q26" s="2"/>
      <c r="R26" s="6"/>
      <c r="S26" s="2"/>
      <c r="T26" s="2"/>
      <c r="U26" s="2"/>
      <c r="V26" s="6"/>
      <c r="W26" s="2"/>
      <c r="X26" s="2"/>
      <c r="Y26" s="2"/>
      <c r="Z26" s="6"/>
    </row>
    <row r="27" spans="1:26" s="23" customFormat="1" x14ac:dyDescent="0.3">
      <c r="A27" s="10"/>
      <c r="B27" s="26" t="s">
        <v>277</v>
      </c>
      <c r="C27" s="26"/>
      <c r="D27" s="21" t="e">
        <f ca="1">+D18-D20+D24</f>
        <v>#NAME?</v>
      </c>
      <c r="E27" s="13"/>
      <c r="F27" s="22" t="e">
        <f ca="1">IF(D$12=0,0,D27/D$12)</f>
        <v>#NAME?</v>
      </c>
      <c r="G27" s="13"/>
      <c r="H27" s="21" t="e">
        <f ca="1">+H18-H20+H24</f>
        <v>#NAME?</v>
      </c>
      <c r="I27" s="13"/>
      <c r="J27" s="22" t="e">
        <f ca="1">IF(H$12=0,0,H27/H$12)</f>
        <v>#NAME?</v>
      </c>
      <c r="K27" s="16"/>
      <c r="L27" s="21" t="e">
        <f ca="1">+D27-H27</f>
        <v>#NAME?</v>
      </c>
      <c r="M27" s="16"/>
      <c r="N27" s="22" t="e">
        <f ca="1">IF(H27=0,0,L27/H27)</f>
        <v>#NAME?</v>
      </c>
      <c r="O27" s="25"/>
      <c r="P27" s="21" t="e">
        <f ca="1">+P18-P20+P24</f>
        <v>#NAME?</v>
      </c>
      <c r="Q27" s="13"/>
      <c r="R27" s="22" t="e">
        <f ca="1">IF(P$12=0,0,P27/P$12)</f>
        <v>#NAME?</v>
      </c>
      <c r="S27" s="13"/>
      <c r="T27" s="21" t="e">
        <f ca="1">+T18-T20+T24</f>
        <v>#NAME?</v>
      </c>
      <c r="U27" s="13"/>
      <c r="V27" s="22" t="e">
        <f ca="1">IF(T$12=0,0,T27/T$12)</f>
        <v>#NAME?</v>
      </c>
      <c r="W27" s="16"/>
      <c r="X27" s="21" t="e">
        <f ca="1">+P27-T27</f>
        <v>#NAME?</v>
      </c>
      <c r="Y27" s="16"/>
      <c r="Z27" s="22" t="e">
        <f ca="1">IF(T27=0,0,X27/T27)</f>
        <v>#NAME?</v>
      </c>
    </row>
    <row r="28" spans="1:26" x14ac:dyDescent="0.3">
      <c r="A28" s="9"/>
      <c r="B28" s="10"/>
      <c r="C28" s="9"/>
      <c r="D28" s="2"/>
      <c r="E28" s="2"/>
      <c r="F28" s="6"/>
      <c r="G28" s="2"/>
      <c r="H28" s="2"/>
      <c r="I28" s="2"/>
      <c r="J28" s="6"/>
      <c r="K28" s="2"/>
      <c r="L28" s="2"/>
      <c r="M28" s="2"/>
      <c r="N28" s="6"/>
      <c r="P28" s="2"/>
      <c r="Q28" s="2"/>
      <c r="R28" s="6"/>
      <c r="S28" s="2"/>
      <c r="T28" s="2"/>
      <c r="U28" s="2"/>
      <c r="V28" s="6"/>
      <c r="W28" s="2"/>
      <c r="X28" s="2"/>
      <c r="Y28" s="2"/>
      <c r="Z28" s="6"/>
    </row>
    <row r="29" spans="1:26" s="23" customFormat="1" x14ac:dyDescent="0.3">
      <c r="A29" s="52"/>
      <c r="B29" s="10" t="s">
        <v>128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3">
      <c r="A30" s="9"/>
      <c r="B30" s="10"/>
      <c r="C30" s="10"/>
      <c r="D30" s="2"/>
      <c r="E30" s="2"/>
      <c r="F30" s="6"/>
      <c r="G30" s="2"/>
      <c r="H30" s="2"/>
      <c r="I30" s="2"/>
      <c r="J30" s="6"/>
      <c r="K30" s="2"/>
      <c r="L30" s="2"/>
      <c r="M30" s="2"/>
      <c r="N30" s="6"/>
      <c r="O30" s="10"/>
      <c r="P30" s="2"/>
      <c r="Q30" s="2"/>
      <c r="R30" s="6"/>
      <c r="S30" s="2"/>
      <c r="T30" s="2"/>
      <c r="U30" s="2"/>
      <c r="V30" s="6"/>
      <c r="W30" s="2"/>
      <c r="X30" s="2"/>
      <c r="Y30" s="2"/>
      <c r="Z30" s="6"/>
    </row>
    <row r="31" spans="1:26" s="23" customFormat="1" ht="15" thickBot="1" x14ac:dyDescent="0.35">
      <c r="A31" s="10"/>
      <c r="B31" s="26" t="s">
        <v>126</v>
      </c>
      <c r="C31" s="26"/>
      <c r="D31" s="35" t="e">
        <f ca="1">+D27-D29</f>
        <v>#NAME?</v>
      </c>
      <c r="E31" s="13"/>
      <c r="F31" s="30" t="e">
        <f ca="1">IF(D$12=0,0,D31/D$12)</f>
        <v>#NAME?</v>
      </c>
      <c r="G31" s="13"/>
      <c r="H31" s="35" t="e">
        <f ca="1">+H27-H29</f>
        <v>#NAME?</v>
      </c>
      <c r="I31" s="13"/>
      <c r="J31" s="30" t="e">
        <f ca="1">IF(H$12=0,0,H31/H$12)</f>
        <v>#NAME?</v>
      </c>
      <c r="K31" s="16"/>
      <c r="L31" s="35" t="e">
        <f ca="1">D31-H31</f>
        <v>#NAME?</v>
      </c>
      <c r="M31" s="16"/>
      <c r="N31" s="30" t="e">
        <f ca="1">IF(H31=0,0,L31/H31)</f>
        <v>#NAME?</v>
      </c>
      <c r="O31" s="25"/>
      <c r="P31" s="35" t="e">
        <f ca="1">+P27-P29</f>
        <v>#NAME?</v>
      </c>
      <c r="Q31" s="13"/>
      <c r="R31" s="30" t="e">
        <f ca="1">IF(P$12=0,0,P31/P$12)</f>
        <v>#NAME?</v>
      </c>
      <c r="S31" s="13"/>
      <c r="T31" s="35" t="e">
        <f ca="1">+T27-T29</f>
        <v>#NAME?</v>
      </c>
      <c r="U31" s="13"/>
      <c r="V31" s="30" t="e">
        <f ca="1">IF(T$12=0,0,T31/T$12)</f>
        <v>#NAME?</v>
      </c>
      <c r="W31" s="16"/>
      <c r="X31" s="35" t="e">
        <f ca="1">P31-T31</f>
        <v>#NAME?</v>
      </c>
      <c r="Y31" s="16"/>
      <c r="Z31" s="30" t="e">
        <f ca="1">IF(T31=0,0,X31/T31)</f>
        <v>#NAME?</v>
      </c>
    </row>
    <row r="32" spans="1:26" ht="15" thickTop="1" x14ac:dyDescent="0.3">
      <c r="A32" s="9"/>
      <c r="B32" s="9"/>
      <c r="C32" s="9"/>
      <c r="D32" s="2"/>
      <c r="E32" s="2"/>
      <c r="F32" s="6"/>
      <c r="G32" s="2"/>
      <c r="H32" s="2"/>
      <c r="I32" s="2"/>
      <c r="J32" s="6"/>
      <c r="K32" s="2"/>
      <c r="L32" s="2"/>
      <c r="M32" s="2"/>
      <c r="N32" s="6"/>
      <c r="P32" s="2"/>
      <c r="Q32" s="2"/>
      <c r="R32" s="6"/>
      <c r="S32" s="2"/>
      <c r="T32" s="2"/>
      <c r="U32" s="2"/>
      <c r="V32" s="6"/>
      <c r="W32" s="2"/>
      <c r="X32" s="2"/>
      <c r="Y32" s="2"/>
      <c r="Z32" s="6"/>
    </row>
    <row r="33" spans="1:26" s="23" customFormat="1" x14ac:dyDescent="0.3">
      <c r="A33" s="52"/>
      <c r="B33" s="10" t="s">
        <v>184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3">
      <c r="A34" s="52"/>
      <c r="B34" s="10" t="s">
        <v>82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3">
      <c r="A35" s="9"/>
      <c r="B35" s="9"/>
      <c r="C35" s="9"/>
      <c r="D35" s="2"/>
      <c r="E35" s="2"/>
      <c r="F35" s="6"/>
      <c r="G35" s="2"/>
      <c r="H35" s="2"/>
      <c r="I35" s="2"/>
      <c r="J35" s="6"/>
      <c r="K35" s="2"/>
      <c r="L35" s="2"/>
      <c r="M35" s="2"/>
      <c r="N35" s="6"/>
      <c r="P35" s="2"/>
      <c r="Q35" s="2"/>
      <c r="R35" s="6"/>
      <c r="S35" s="2"/>
      <c r="T35" s="2"/>
      <c r="U35" s="2"/>
      <c r="V35" s="6"/>
      <c r="W35" s="2"/>
      <c r="X35" s="2"/>
      <c r="Y35" s="2"/>
      <c r="Z35" s="6"/>
    </row>
    <row r="36" spans="1:26" s="23" customFormat="1" ht="15" thickBot="1" x14ac:dyDescent="0.35">
      <c r="A36" s="10"/>
      <c r="B36" s="26" t="s">
        <v>294</v>
      </c>
      <c r="C36" s="26"/>
      <c r="D36" s="33" t="e">
        <f ca="1">SUM(D31:D35)</f>
        <v>#NAME?</v>
      </c>
      <c r="E36" s="13"/>
      <c r="F36" s="31" t="e">
        <f ca="1">IF(D$12=0,0,D36/D$12)</f>
        <v>#NAME?</v>
      </c>
      <c r="G36" s="13"/>
      <c r="H36" s="33" t="e">
        <f ca="1">SUM(H31:H35)</f>
        <v>#NAME?</v>
      </c>
      <c r="I36" s="13"/>
      <c r="J36" s="31" t="e">
        <f ca="1">IF(H$12=0,0,H36/H$12)</f>
        <v>#NAME?</v>
      </c>
      <c r="K36" s="16"/>
      <c r="L36" s="33" t="e">
        <f ca="1">+D36-H36</f>
        <v>#NAME?</v>
      </c>
      <c r="M36" s="16"/>
      <c r="N36" s="31" t="e">
        <f ca="1">IF(H36=0,0,L36/H36)</f>
        <v>#NAME?</v>
      </c>
      <c r="O36" s="25"/>
      <c r="P36" s="33" t="e">
        <f ca="1">SUM(P31:P35)</f>
        <v>#NAME?</v>
      </c>
      <c r="Q36" s="13"/>
      <c r="R36" s="31" t="e">
        <f ca="1">IF(P$12=0,0,P36/P$12)</f>
        <v>#NAME?</v>
      </c>
      <c r="S36" s="13"/>
      <c r="T36" s="33" t="e">
        <f ca="1">SUM(T31:T35)</f>
        <v>#NAME?</v>
      </c>
      <c r="U36" s="13"/>
      <c r="V36" s="31" t="e">
        <f ca="1">IF(T$12=0,0,T36/T$12)</f>
        <v>#NAME?</v>
      </c>
      <c r="W36" s="16"/>
      <c r="X36" s="33" t="e">
        <f ca="1">+P36-T36</f>
        <v>#NAME?</v>
      </c>
      <c r="Y36" s="16"/>
      <c r="Z36" s="31" t="e">
        <f ca="1">IF(T36=0,0,X36/T36)</f>
        <v>#NAME?</v>
      </c>
    </row>
    <row r="37" spans="1:26" ht="15" thickTop="1" x14ac:dyDescent="0.3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3">
      <c r="A38" s="9"/>
      <c r="B38" s="54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3">
      <c r="A39" s="9"/>
      <c r="B39" s="59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3">
      <c r="A40" s="9"/>
      <c r="B40" s="55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3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50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7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50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7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7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7" customWidth="1" outlineLevel="1"/>
  </cols>
  <sheetData>
    <row r="2" spans="1:26" x14ac:dyDescent="0.3">
      <c r="D2" s="57" t="s">
        <v>23</v>
      </c>
    </row>
    <row r="3" spans="1:26" x14ac:dyDescent="0.3">
      <c r="D3" s="57" t="s">
        <v>237</v>
      </c>
      <c r="E3" s="17"/>
      <c r="F3" s="51"/>
      <c r="G3" s="17"/>
      <c r="H3" s="17"/>
      <c r="I3" s="17"/>
      <c r="J3" s="39"/>
      <c r="K3" s="17"/>
      <c r="L3" s="17"/>
      <c r="M3" s="17"/>
      <c r="N3" s="51"/>
      <c r="O3" s="61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3">
      <c r="D4" s="57" t="e">
        <f ca="1">CONCATENATE("Period ",RIGHT(_xll.OneStop.ReportPlayer.OSRFunctions.OSRGet("Period","PeriodId"),2),", ",_xll.OneStop.ReportPlayer.OSRFunctions.OSRGet("Period","Year"))</f>
        <v>#NAME?</v>
      </c>
      <c r="E4" s="17"/>
      <c r="F4" s="51"/>
      <c r="G4" s="17"/>
      <c r="H4" s="17"/>
      <c r="I4" s="17"/>
      <c r="J4" s="39"/>
      <c r="K4" s="17"/>
      <c r="L4" s="17"/>
      <c r="M4" s="17"/>
      <c r="N4" s="51"/>
      <c r="O4" s="61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3">
      <c r="A5" s="23"/>
      <c r="D5" s="65" t="e">
        <f ca="1">_xll.OneStop.ReportPlayer.OSRFunctions.OSRGet("Period","PeriodEnd")</f>
        <v>#NAME?</v>
      </c>
      <c r="E5" s="17"/>
      <c r="F5" s="51"/>
      <c r="G5" s="17"/>
      <c r="H5" s="17"/>
      <c r="I5" s="17"/>
      <c r="J5" s="39"/>
      <c r="K5" s="17"/>
      <c r="L5" s="17"/>
      <c r="M5" s="17"/>
      <c r="N5" s="51"/>
      <c r="O5" s="61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3">
      <c r="A6" s="23"/>
      <c r="B6" s="47"/>
      <c r="C6" s="47"/>
      <c r="D6" s="23" t="s">
        <v>199</v>
      </c>
      <c r="E6" s="17"/>
      <c r="F6" s="51"/>
      <c r="G6" s="17"/>
      <c r="H6" s="17"/>
      <c r="I6" s="17"/>
      <c r="J6" s="39"/>
      <c r="K6" s="17"/>
      <c r="L6" s="17"/>
      <c r="M6" s="17"/>
      <c r="N6" s="51"/>
      <c r="O6" s="60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3">
      <c r="B7" s="63"/>
    </row>
    <row r="8" spans="1:26" x14ac:dyDescent="0.3">
      <c r="B8" s="63"/>
    </row>
    <row r="9" spans="1:26" x14ac:dyDescent="0.3">
      <c r="B9" s="9"/>
      <c r="C9" s="9"/>
      <c r="D9" s="15" t="s">
        <v>292</v>
      </c>
      <c r="E9" s="15"/>
      <c r="F9" s="38"/>
      <c r="G9" s="15"/>
      <c r="H9" s="15"/>
      <c r="I9" s="15"/>
      <c r="J9" s="49"/>
      <c r="K9" s="15"/>
      <c r="L9" s="15"/>
      <c r="M9" s="15"/>
      <c r="N9" s="38"/>
      <c r="P9" s="15" t="s">
        <v>39</v>
      </c>
      <c r="Q9" s="15"/>
      <c r="R9" s="38"/>
      <c r="S9" s="15"/>
      <c r="T9" s="15"/>
      <c r="U9" s="15"/>
      <c r="V9" s="49"/>
      <c r="W9" s="15"/>
      <c r="X9" s="15"/>
      <c r="Y9" s="15"/>
      <c r="Z9" s="38"/>
    </row>
    <row r="10" spans="1:26" x14ac:dyDescent="0.3">
      <c r="A10" s="10"/>
      <c r="B10" s="53"/>
      <c r="C10" s="10"/>
      <c r="D10" s="42" t="s">
        <v>57</v>
      </c>
      <c r="E10" s="34"/>
      <c r="F10" s="40" t="s">
        <v>40</v>
      </c>
      <c r="G10" s="34"/>
      <c r="H10" s="45" t="s">
        <v>238</v>
      </c>
      <c r="I10" s="34"/>
      <c r="J10" s="48" t="s">
        <v>58</v>
      </c>
      <c r="K10" s="10"/>
      <c r="L10" s="42" t="s">
        <v>127</v>
      </c>
      <c r="M10" s="10"/>
      <c r="N10" s="40" t="s">
        <v>258</v>
      </c>
      <c r="O10" s="10"/>
      <c r="P10" s="56" t="s">
        <v>57</v>
      </c>
      <c r="Q10" s="34"/>
      <c r="R10" s="40" t="s">
        <v>40</v>
      </c>
      <c r="S10" s="34"/>
      <c r="T10" s="45" t="s">
        <v>238</v>
      </c>
      <c r="U10" s="34"/>
      <c r="V10" s="48" t="s">
        <v>58</v>
      </c>
      <c r="W10" s="10"/>
      <c r="X10" s="42" t="s">
        <v>127</v>
      </c>
      <c r="Y10" s="10"/>
      <c r="Z10" s="40" t="s">
        <v>258</v>
      </c>
    </row>
    <row r="11" spans="1:26" ht="15.6" x14ac:dyDescent="0.3">
      <c r="A11" s="9"/>
      <c r="B11" s="58"/>
      <c r="C11" s="9"/>
      <c r="D11" s="9"/>
      <c r="E11" s="9"/>
      <c r="F11" s="6"/>
      <c r="G11" s="9"/>
      <c r="H11" s="9"/>
      <c r="I11" s="9"/>
      <c r="J11" s="46"/>
      <c r="K11" s="9"/>
      <c r="L11" s="9"/>
      <c r="M11" s="9"/>
      <c r="N11" s="6"/>
      <c r="P11" s="9"/>
      <c r="Q11" s="9"/>
      <c r="R11" s="6"/>
      <c r="S11" s="9"/>
      <c r="T11" s="9"/>
      <c r="U11" s="9"/>
      <c r="V11" s="46"/>
      <c r="W11" s="9"/>
      <c r="X11" s="9"/>
      <c r="Y11" s="9"/>
      <c r="Z11" s="6"/>
    </row>
    <row r="12" spans="1:26" s="23" customFormat="1" collapsed="1" x14ac:dyDescent="0.3">
      <c r="A12" s="10"/>
      <c r="B12" s="25" t="s">
        <v>140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3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3" t="e">
        <f ca="1">-_xll.OneStop.ReportPlayer.OSRFunctions.OSRGet("GL_F_Trans","Value1")</f>
        <v>#NAME?</v>
      </c>
      <c r="E13" s="3"/>
      <c r="F13" s="19"/>
      <c r="G13" s="3"/>
      <c r="H13" s="3" t="e">
        <f ca="1">_xll.OneStop.ReportPlayer.OSRFunctions.OSRGet("GL_F_Trans","Value1")</f>
        <v>#NAME?</v>
      </c>
      <c r="I13" s="3"/>
      <c r="J13" s="19"/>
      <c r="K13" s="3"/>
      <c r="L13" s="3" t="e">
        <f t="shared" ca="1" si="0"/>
        <v>#NAME?</v>
      </c>
      <c r="M13" s="3"/>
      <c r="N13" s="19" t="e">
        <f t="shared" ca="1" si="1"/>
        <v>#NAME?</v>
      </c>
      <c r="O13" s="11"/>
      <c r="P13" s="3" t="e">
        <f ca="1">-_xll.OneStop.ReportPlayer.OSRFunctions.OSRGet("GL_F_Trans","Value1")</f>
        <v>#NAME?</v>
      </c>
      <c r="Q13" s="3"/>
      <c r="R13" s="19"/>
      <c r="S13" s="3"/>
      <c r="T13" s="3" t="e">
        <f ca="1">_xll.OneStop.ReportPlayer.OSRFunctions.OSRGet("GL_F_Trans","Value1")</f>
        <v>#NAME?</v>
      </c>
      <c r="U13" s="3"/>
      <c r="V13" s="19"/>
      <c r="W13" s="3"/>
      <c r="X13" s="3" t="e">
        <f t="shared" ca="1" si="2"/>
        <v>#NAME?</v>
      </c>
      <c r="Y13" s="3"/>
      <c r="Z13" s="19" t="e">
        <f t="shared" ca="1" si="3"/>
        <v>#NAME?</v>
      </c>
    </row>
    <row r="14" spans="1:26" x14ac:dyDescent="0.3">
      <c r="A14" s="9"/>
      <c r="B14" s="10"/>
      <c r="C14" s="9"/>
      <c r="D14" s="2"/>
      <c r="E14" s="2"/>
      <c r="F14" s="6"/>
      <c r="G14" s="2"/>
      <c r="H14" s="2"/>
      <c r="I14" s="2"/>
      <c r="J14" s="6"/>
      <c r="K14" s="2"/>
      <c r="L14" s="2"/>
      <c r="M14" s="2"/>
      <c r="N14" s="6"/>
      <c r="P14" s="2"/>
      <c r="Q14" s="2"/>
      <c r="R14" s="6"/>
      <c r="S14" s="2"/>
      <c r="T14" s="2"/>
      <c r="U14" s="2"/>
      <c r="V14" s="6"/>
      <c r="W14" s="2"/>
      <c r="X14" s="2"/>
      <c r="Y14" s="2"/>
      <c r="Z14" s="6"/>
    </row>
    <row r="15" spans="1:26" s="23" customFormat="1" collapsed="1" x14ac:dyDescent="0.3">
      <c r="A15" s="10"/>
      <c r="B15" s="25" t="s">
        <v>257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3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3" t="e">
        <f ca="1">_xll.OneStop.ReportPlayer.OSRFunctions.OSRGet("GL_F_Trans","Value1")</f>
        <v>#NAME?</v>
      </c>
      <c r="E16" s="3"/>
      <c r="F16" s="19" t="e">
        <f t="shared" ca="1" si="4"/>
        <v>#NAME?</v>
      </c>
      <c r="G16" s="3"/>
      <c r="H16" s="3" t="e">
        <f ca="1">_xll.OneStop.ReportPlayer.OSRFunctions.OSRGet("GL_F_Trans","Value1")</f>
        <v>#NAME?</v>
      </c>
      <c r="I16" s="3"/>
      <c r="J16" s="19" t="e">
        <f t="shared" ca="1" si="5"/>
        <v>#NAME?</v>
      </c>
      <c r="K16" s="3"/>
      <c r="L16" s="3" t="e">
        <f t="shared" ca="1" si="6"/>
        <v>#NAME?</v>
      </c>
      <c r="M16" s="3"/>
      <c r="N16" s="19" t="e">
        <f t="shared" ca="1" si="7"/>
        <v>#NAME?</v>
      </c>
      <c r="O16" s="11"/>
      <c r="P16" s="3" t="e">
        <f ca="1">_xll.OneStop.ReportPlayer.OSRFunctions.OSRGet("GL_F_Trans","Value1")</f>
        <v>#NAME?</v>
      </c>
      <c r="Q16" s="3"/>
      <c r="R16" s="19" t="e">
        <f t="shared" ca="1" si="8"/>
        <v>#NAME?</v>
      </c>
      <c r="S16" s="3"/>
      <c r="T16" s="3" t="e">
        <f ca="1">_xll.OneStop.ReportPlayer.OSRFunctions.OSRGet("GL_F_Trans","Value1")</f>
        <v>#NAME?</v>
      </c>
      <c r="U16" s="3"/>
      <c r="V16" s="19" t="e">
        <f t="shared" ca="1" si="9"/>
        <v>#NAME?</v>
      </c>
      <c r="W16" s="3"/>
      <c r="X16" s="3" t="e">
        <f t="shared" ca="1" si="10"/>
        <v>#NAME?</v>
      </c>
      <c r="Y16" s="3"/>
      <c r="Z16" s="19" t="e">
        <f t="shared" ca="1" si="11"/>
        <v>#NAME?</v>
      </c>
    </row>
    <row r="17" spans="1:26" x14ac:dyDescent="0.3">
      <c r="A17" s="9"/>
      <c r="B17" s="10"/>
      <c r="C17" s="10"/>
      <c r="D17" s="2"/>
      <c r="E17" s="2"/>
      <c r="F17" s="6"/>
      <c r="G17" s="2"/>
      <c r="H17" s="2"/>
      <c r="I17" s="2"/>
      <c r="J17" s="6"/>
      <c r="K17" s="2"/>
      <c r="L17" s="2"/>
      <c r="M17" s="2"/>
      <c r="N17" s="6"/>
      <c r="O17" s="10"/>
      <c r="P17" s="2"/>
      <c r="Q17" s="2"/>
      <c r="R17" s="6"/>
      <c r="S17" s="2"/>
      <c r="T17" s="2"/>
      <c r="U17" s="2"/>
      <c r="V17" s="6"/>
      <c r="W17" s="2"/>
      <c r="X17" s="2"/>
      <c r="Y17" s="2"/>
      <c r="Z17" s="6"/>
    </row>
    <row r="18" spans="1:26" s="23" customFormat="1" x14ac:dyDescent="0.3">
      <c r="A18" s="10"/>
      <c r="B18" s="26" t="s">
        <v>108</v>
      </c>
      <c r="C18" s="26"/>
      <c r="D18" s="21" t="e">
        <f ca="1">D12-D15</f>
        <v>#NAME?</v>
      </c>
      <c r="E18" s="13"/>
      <c r="F18" s="22" t="e">
        <f ca="1">IF(D$12=0,0,D18/D$12)</f>
        <v>#NAME?</v>
      </c>
      <c r="G18" s="13"/>
      <c r="H18" s="21" t="e">
        <f ca="1">H12-H15</f>
        <v>#NAME?</v>
      </c>
      <c r="I18" s="13"/>
      <c r="J18" s="22" t="e">
        <f ca="1">IF(H$12=0,0,H18/H$12)</f>
        <v>#NAME?</v>
      </c>
      <c r="K18" s="16"/>
      <c r="L18" s="21" t="e">
        <f ca="1">+D18-H18</f>
        <v>#NAME?</v>
      </c>
      <c r="M18" s="16"/>
      <c r="N18" s="22" t="e">
        <f ca="1">IF(H18=0,0,L18/H18)</f>
        <v>#NAME?</v>
      </c>
      <c r="O18" s="25"/>
      <c r="P18" s="21" t="e">
        <f ca="1">P12-P15</f>
        <v>#NAME?</v>
      </c>
      <c r="Q18" s="13"/>
      <c r="R18" s="22" t="e">
        <f ca="1">IF(P$12=0,0,P18/P$12)</f>
        <v>#NAME?</v>
      </c>
      <c r="S18" s="13"/>
      <c r="T18" s="21" t="e">
        <f ca="1">T12-T15</f>
        <v>#NAME?</v>
      </c>
      <c r="U18" s="13"/>
      <c r="V18" s="22" t="e">
        <f ca="1">IF(T$12=0,0,T18/T$12)</f>
        <v>#NAME?</v>
      </c>
      <c r="W18" s="16"/>
      <c r="X18" s="21" t="e">
        <f ca="1">+P18-T18</f>
        <v>#NAME?</v>
      </c>
      <c r="Y18" s="16"/>
      <c r="Z18" s="22" t="e">
        <f ca="1">IF(T18=0,0,X18/T18)</f>
        <v>#NAME?</v>
      </c>
    </row>
    <row r="19" spans="1:26" x14ac:dyDescent="0.3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">
      <c r="A20" s="10"/>
      <c r="B20" s="25" t="s">
        <v>295</v>
      </c>
      <c r="C20" s="10"/>
      <c r="D20" s="20" t="e">
        <f ca="1">SUM(_xll.OneStop.ReportPlayer.OSRFunctions.OSRRef(D22))</f>
        <v>#NAME?</v>
      </c>
      <c r="E20" s="20"/>
      <c r="F20" s="32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2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2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2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2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2" t="e">
        <f t="shared" ref="Z20:Z22" ca="1" si="19">IF(T20=0,0,X20/T20)</f>
        <v>#NAME?</v>
      </c>
    </row>
    <row r="21" spans="1:26" s="27" customFormat="1" outlineLevel="1" collapsed="1" x14ac:dyDescent="0.3">
      <c r="A21" s="28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3">
      <c r="A22" s="29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8" t="e">
        <f ca="1">_xll.OneStop.ReportPlayer.OSRFunctions.OSRGet("GL_F_Trans","Value1")</f>
        <v>#NAME?</v>
      </c>
      <c r="E22" s="3"/>
      <c r="F22" s="7" t="e">
        <f t="shared" ca="1" si="12"/>
        <v>#NAME?</v>
      </c>
      <c r="G22" s="3"/>
      <c r="H22" s="8" t="e">
        <f ca="1">_xll.OneStop.ReportPlayer.OSRFunctions.OSRGet("GL_F_Trans","Value1")</f>
        <v>#NAME?</v>
      </c>
      <c r="I22" s="3"/>
      <c r="J22" s="7" t="e">
        <f t="shared" ca="1" si="13"/>
        <v>#NAME?</v>
      </c>
      <c r="K22" s="3"/>
      <c r="L22" s="8" t="e">
        <f t="shared" ca="1" si="14"/>
        <v>#NAME?</v>
      </c>
      <c r="M22" s="3"/>
      <c r="N22" s="7" t="e">
        <f t="shared" ca="1" si="15"/>
        <v>#NAME?</v>
      </c>
      <c r="O22" s="11"/>
      <c r="P22" s="8" t="e">
        <f ca="1">_xll.OneStop.ReportPlayer.OSRFunctions.OSRGet("GL_F_Trans","Value1")</f>
        <v>#NAME?</v>
      </c>
      <c r="Q22" s="3"/>
      <c r="R22" s="7" t="e">
        <f t="shared" ca="1" si="16"/>
        <v>#NAME?</v>
      </c>
      <c r="S22" s="3"/>
      <c r="T22" s="8" t="e">
        <f ca="1">_xll.OneStop.ReportPlayer.OSRFunctions.OSRGet("GL_F_Trans","Value1")</f>
        <v>#NAME?</v>
      </c>
      <c r="U22" s="3"/>
      <c r="V22" s="7" t="e">
        <f t="shared" ca="1" si="17"/>
        <v>#NAME?</v>
      </c>
      <c r="W22" s="3"/>
      <c r="X22" s="8" t="e">
        <f t="shared" ca="1" si="18"/>
        <v>#NAME?</v>
      </c>
      <c r="Y22" s="3"/>
      <c r="Z22" s="7" t="e">
        <f t="shared" ca="1" si="19"/>
        <v>#NAME?</v>
      </c>
    </row>
    <row r="23" spans="1:26" s="62" customFormat="1" x14ac:dyDescent="0.3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3">
      <c r="A24" s="10"/>
      <c r="B24" s="25" t="s">
        <v>293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3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3" t="e">
        <f ca="1">-_xll.OneStop.ReportPlayer.OSRFunctions.OSRGet("GL_F_Trans","Value1")</f>
        <v>#NAME?</v>
      </c>
      <c r="E25" s="3"/>
      <c r="F25" s="19" t="e">
        <f t="shared" ca="1" si="20"/>
        <v>#NAME?</v>
      </c>
      <c r="G25" s="3"/>
      <c r="H25" s="3" t="e">
        <f ca="1">_xll.OneStop.ReportPlayer.OSRFunctions.OSRGet("GL_F_Trans","Value1")</f>
        <v>#NAME?</v>
      </c>
      <c r="I25" s="3"/>
      <c r="J25" s="19" t="e">
        <f t="shared" ca="1" si="21"/>
        <v>#NAME?</v>
      </c>
      <c r="K25" s="3"/>
      <c r="L25" s="3" t="e">
        <f t="shared" ca="1" si="22"/>
        <v>#NAME?</v>
      </c>
      <c r="M25" s="3"/>
      <c r="N25" s="19" t="e">
        <f t="shared" ca="1" si="23"/>
        <v>#NAME?</v>
      </c>
      <c r="O25" s="11"/>
      <c r="P25" s="3" t="e">
        <f ca="1">-_xll.OneStop.ReportPlayer.OSRFunctions.OSRGet("GL_F_Trans","Value1")</f>
        <v>#NAME?</v>
      </c>
      <c r="Q25" s="3"/>
      <c r="R25" s="19" t="e">
        <f t="shared" ca="1" si="24"/>
        <v>#NAME?</v>
      </c>
      <c r="S25" s="3"/>
      <c r="T25" s="3" t="e">
        <f ca="1">_xll.OneStop.ReportPlayer.OSRFunctions.OSRGet("GL_F_Trans","Value1")</f>
        <v>#NAME?</v>
      </c>
      <c r="U25" s="3"/>
      <c r="V25" s="19" t="e">
        <f t="shared" ca="1" si="25"/>
        <v>#NAME?</v>
      </c>
      <c r="W25" s="3"/>
      <c r="X25" s="3" t="e">
        <f t="shared" ca="1" si="26"/>
        <v>#NAME?</v>
      </c>
      <c r="Y25" s="3"/>
      <c r="Z25" s="19" t="e">
        <f t="shared" ca="1" si="27"/>
        <v>#NAME?</v>
      </c>
    </row>
    <row r="26" spans="1:26" x14ac:dyDescent="0.3">
      <c r="A26" s="9"/>
      <c r="B26" s="10"/>
      <c r="C26" s="10"/>
      <c r="D26" s="2"/>
      <c r="E26" s="2"/>
      <c r="F26" s="6"/>
      <c r="G26" s="2"/>
      <c r="H26" s="2"/>
      <c r="I26" s="2"/>
      <c r="J26" s="6"/>
      <c r="K26" s="2"/>
      <c r="L26" s="2"/>
      <c r="M26" s="2"/>
      <c r="N26" s="6"/>
      <c r="O26" s="10"/>
      <c r="P26" s="2"/>
      <c r="Q26" s="2"/>
      <c r="R26" s="6"/>
      <c r="S26" s="2"/>
      <c r="T26" s="2"/>
      <c r="U26" s="2"/>
      <c r="V26" s="6"/>
      <c r="W26" s="2"/>
      <c r="X26" s="2"/>
      <c r="Y26" s="2"/>
      <c r="Z26" s="6"/>
    </row>
    <row r="27" spans="1:26" s="23" customFormat="1" x14ac:dyDescent="0.3">
      <c r="A27" s="10"/>
      <c r="B27" s="26" t="s">
        <v>277</v>
      </c>
      <c r="C27" s="26"/>
      <c r="D27" s="21" t="e">
        <f ca="1">+D18-D20+D24</f>
        <v>#NAME?</v>
      </c>
      <c r="E27" s="13"/>
      <c r="F27" s="22" t="e">
        <f ca="1">IF(D$12=0,0,D27/D$12)</f>
        <v>#NAME?</v>
      </c>
      <c r="G27" s="13"/>
      <c r="H27" s="21" t="e">
        <f ca="1">+H18-H20+H24</f>
        <v>#NAME?</v>
      </c>
      <c r="I27" s="13"/>
      <c r="J27" s="22" t="e">
        <f ca="1">IF(H$12=0,0,H27/H$12)</f>
        <v>#NAME?</v>
      </c>
      <c r="K27" s="16"/>
      <c r="L27" s="21" t="e">
        <f ca="1">+D27-H27</f>
        <v>#NAME?</v>
      </c>
      <c r="M27" s="16"/>
      <c r="N27" s="22" t="e">
        <f ca="1">IF(H27=0,0,L27/H27)</f>
        <v>#NAME?</v>
      </c>
      <c r="O27" s="25"/>
      <c r="P27" s="21" t="e">
        <f ca="1">+P18-P20+P24</f>
        <v>#NAME?</v>
      </c>
      <c r="Q27" s="13"/>
      <c r="R27" s="22" t="e">
        <f ca="1">IF(P$12=0,0,P27/P$12)</f>
        <v>#NAME?</v>
      </c>
      <c r="S27" s="13"/>
      <c r="T27" s="21" t="e">
        <f ca="1">+T18-T20+T24</f>
        <v>#NAME?</v>
      </c>
      <c r="U27" s="13"/>
      <c r="V27" s="22" t="e">
        <f ca="1">IF(T$12=0,0,T27/T$12)</f>
        <v>#NAME?</v>
      </c>
      <c r="W27" s="16"/>
      <c r="X27" s="21" t="e">
        <f ca="1">+P27-T27</f>
        <v>#NAME?</v>
      </c>
      <c r="Y27" s="16"/>
      <c r="Z27" s="22" t="e">
        <f ca="1">IF(T27=0,0,X27/T27)</f>
        <v>#NAME?</v>
      </c>
    </row>
    <row r="28" spans="1:26" x14ac:dyDescent="0.3">
      <c r="A28" s="9"/>
      <c r="B28" s="10"/>
      <c r="C28" s="9"/>
      <c r="D28" s="2"/>
      <c r="E28" s="2"/>
      <c r="F28" s="6"/>
      <c r="G28" s="2"/>
      <c r="H28" s="2"/>
      <c r="I28" s="2"/>
      <c r="J28" s="6"/>
      <c r="K28" s="2"/>
      <c r="L28" s="2"/>
      <c r="M28" s="2"/>
      <c r="N28" s="6"/>
      <c r="P28" s="2"/>
      <c r="Q28" s="2"/>
      <c r="R28" s="6"/>
      <c r="S28" s="2"/>
      <c r="T28" s="2"/>
      <c r="U28" s="2"/>
      <c r="V28" s="6"/>
      <c r="W28" s="2"/>
      <c r="X28" s="2"/>
      <c r="Y28" s="2"/>
      <c r="Z28" s="6"/>
    </row>
    <row r="29" spans="1:26" s="23" customFormat="1" x14ac:dyDescent="0.3">
      <c r="A29" s="52"/>
      <c r="B29" s="10" t="s">
        <v>128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3">
      <c r="A30" s="9"/>
      <c r="B30" s="10"/>
      <c r="C30" s="10"/>
      <c r="D30" s="2"/>
      <c r="E30" s="2"/>
      <c r="F30" s="6"/>
      <c r="G30" s="2"/>
      <c r="H30" s="2"/>
      <c r="I30" s="2"/>
      <c r="J30" s="6"/>
      <c r="K30" s="2"/>
      <c r="L30" s="2"/>
      <c r="M30" s="2"/>
      <c r="N30" s="6"/>
      <c r="O30" s="10"/>
      <c r="P30" s="2"/>
      <c r="Q30" s="2"/>
      <c r="R30" s="6"/>
      <c r="S30" s="2"/>
      <c r="T30" s="2"/>
      <c r="U30" s="2"/>
      <c r="V30" s="6"/>
      <c r="W30" s="2"/>
      <c r="X30" s="2"/>
      <c r="Y30" s="2"/>
      <c r="Z30" s="6"/>
    </row>
    <row r="31" spans="1:26" s="23" customFormat="1" ht="15" thickBot="1" x14ac:dyDescent="0.35">
      <c r="A31" s="10"/>
      <c r="B31" s="26" t="s">
        <v>126</v>
      </c>
      <c r="C31" s="26"/>
      <c r="D31" s="35" t="e">
        <f ca="1">+D27-D29</f>
        <v>#NAME?</v>
      </c>
      <c r="E31" s="13"/>
      <c r="F31" s="30" t="e">
        <f ca="1">IF(D$12=0,0,D31/D$12)</f>
        <v>#NAME?</v>
      </c>
      <c r="G31" s="13"/>
      <c r="H31" s="35" t="e">
        <f ca="1">+H27-H29</f>
        <v>#NAME?</v>
      </c>
      <c r="I31" s="13"/>
      <c r="J31" s="30" t="e">
        <f ca="1">IF(H$12=0,0,H31/H$12)</f>
        <v>#NAME?</v>
      </c>
      <c r="K31" s="16"/>
      <c r="L31" s="35" t="e">
        <f ca="1">D31-H31</f>
        <v>#NAME?</v>
      </c>
      <c r="M31" s="16"/>
      <c r="N31" s="30" t="e">
        <f ca="1">IF(H31=0,0,L31/H31)</f>
        <v>#NAME?</v>
      </c>
      <c r="O31" s="25"/>
      <c r="P31" s="35" t="e">
        <f ca="1">+P27-P29</f>
        <v>#NAME?</v>
      </c>
      <c r="Q31" s="13"/>
      <c r="R31" s="30" t="e">
        <f ca="1">IF(P$12=0,0,P31/P$12)</f>
        <v>#NAME?</v>
      </c>
      <c r="S31" s="13"/>
      <c r="T31" s="35" t="e">
        <f ca="1">+T27-T29</f>
        <v>#NAME?</v>
      </c>
      <c r="U31" s="13"/>
      <c r="V31" s="30" t="e">
        <f ca="1">IF(T$12=0,0,T31/T$12)</f>
        <v>#NAME?</v>
      </c>
      <c r="W31" s="16"/>
      <c r="X31" s="35" t="e">
        <f ca="1">P31-T31</f>
        <v>#NAME?</v>
      </c>
      <c r="Y31" s="16"/>
      <c r="Z31" s="30" t="e">
        <f ca="1">IF(T31=0,0,X31/T31)</f>
        <v>#NAME?</v>
      </c>
    </row>
    <row r="32" spans="1:26" ht="15" thickTop="1" x14ac:dyDescent="0.3">
      <c r="A32" s="9"/>
      <c r="B32" s="9"/>
      <c r="C32" s="9"/>
      <c r="D32" s="2"/>
      <c r="E32" s="2"/>
      <c r="F32" s="6"/>
      <c r="G32" s="2"/>
      <c r="H32" s="2"/>
      <c r="I32" s="2"/>
      <c r="J32" s="6"/>
      <c r="K32" s="2"/>
      <c r="L32" s="2"/>
      <c r="M32" s="2"/>
      <c r="N32" s="6"/>
      <c r="P32" s="2"/>
      <c r="Q32" s="2"/>
      <c r="R32" s="6"/>
      <c r="S32" s="2"/>
      <c r="T32" s="2"/>
      <c r="U32" s="2"/>
      <c r="V32" s="6"/>
      <c r="W32" s="2"/>
      <c r="X32" s="2"/>
      <c r="Y32" s="2"/>
      <c r="Z32" s="6"/>
    </row>
    <row r="33" spans="1:26" s="23" customFormat="1" x14ac:dyDescent="0.3">
      <c r="A33" s="52"/>
      <c r="B33" s="10" t="s">
        <v>184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3">
      <c r="A34" s="52"/>
      <c r="B34" s="10" t="s">
        <v>82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3">
      <c r="A35" s="9"/>
      <c r="B35" s="9"/>
      <c r="C35" s="9"/>
      <c r="D35" s="2"/>
      <c r="E35" s="2"/>
      <c r="F35" s="6"/>
      <c r="G35" s="2"/>
      <c r="H35" s="2"/>
      <c r="I35" s="2"/>
      <c r="J35" s="6"/>
      <c r="K35" s="2"/>
      <c r="L35" s="2"/>
      <c r="M35" s="2"/>
      <c r="N35" s="6"/>
      <c r="P35" s="2"/>
      <c r="Q35" s="2"/>
      <c r="R35" s="6"/>
      <c r="S35" s="2"/>
      <c r="T35" s="2"/>
      <c r="U35" s="2"/>
      <c r="V35" s="6"/>
      <c r="W35" s="2"/>
      <c r="X35" s="2"/>
      <c r="Y35" s="2"/>
      <c r="Z35" s="6"/>
    </row>
    <row r="36" spans="1:26" s="23" customFormat="1" ht="15" thickBot="1" x14ac:dyDescent="0.35">
      <c r="A36" s="10"/>
      <c r="B36" s="26" t="s">
        <v>294</v>
      </c>
      <c r="C36" s="26"/>
      <c r="D36" s="33" t="e">
        <f ca="1">SUM(D31:D35)</f>
        <v>#NAME?</v>
      </c>
      <c r="E36" s="13"/>
      <c r="F36" s="31" t="e">
        <f ca="1">IF(D$12=0,0,D36/D$12)</f>
        <v>#NAME?</v>
      </c>
      <c r="G36" s="13"/>
      <c r="H36" s="33" t="e">
        <f ca="1">SUM(H31:H35)</f>
        <v>#NAME?</v>
      </c>
      <c r="I36" s="13"/>
      <c r="J36" s="31" t="e">
        <f ca="1">IF(H$12=0,0,H36/H$12)</f>
        <v>#NAME?</v>
      </c>
      <c r="K36" s="16"/>
      <c r="L36" s="33" t="e">
        <f ca="1">+D36-H36</f>
        <v>#NAME?</v>
      </c>
      <c r="M36" s="16"/>
      <c r="N36" s="31" t="e">
        <f ca="1">IF(H36=0,0,L36/H36)</f>
        <v>#NAME?</v>
      </c>
      <c r="O36" s="25"/>
      <c r="P36" s="33" t="e">
        <f ca="1">SUM(P31:P35)</f>
        <v>#NAME?</v>
      </c>
      <c r="Q36" s="13"/>
      <c r="R36" s="31" t="e">
        <f ca="1">IF(P$12=0,0,P36/P$12)</f>
        <v>#NAME?</v>
      </c>
      <c r="S36" s="13"/>
      <c r="T36" s="33" t="e">
        <f ca="1">SUM(T31:T35)</f>
        <v>#NAME?</v>
      </c>
      <c r="U36" s="13"/>
      <c r="V36" s="31" t="e">
        <f ca="1">IF(T$12=0,0,T36/T$12)</f>
        <v>#NAME?</v>
      </c>
      <c r="W36" s="16"/>
      <c r="X36" s="33" t="e">
        <f ca="1">+P36-T36</f>
        <v>#NAME?</v>
      </c>
      <c r="Y36" s="16"/>
      <c r="Z36" s="31" t="e">
        <f ca="1">IF(T36=0,0,X36/T36)</f>
        <v>#NAME?</v>
      </c>
    </row>
    <row r="37" spans="1:26" ht="15" thickTop="1" x14ac:dyDescent="0.3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3">
      <c r="A38" s="9"/>
      <c r="B38" s="54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3">
      <c r="A39" s="9"/>
      <c r="B39" s="59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3">
      <c r="A40" s="9"/>
      <c r="B40" s="55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3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50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7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50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7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7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7" customWidth="1" outlineLevel="1"/>
  </cols>
  <sheetData>
    <row r="2" spans="1:26" x14ac:dyDescent="0.3">
      <c r="D2" s="57" t="s">
        <v>23</v>
      </c>
    </row>
    <row r="3" spans="1:26" x14ac:dyDescent="0.3">
      <c r="D3" s="57" t="s">
        <v>237</v>
      </c>
      <c r="E3" s="17"/>
      <c r="F3" s="51"/>
      <c r="G3" s="17"/>
      <c r="H3" s="17"/>
      <c r="I3" s="17"/>
      <c r="J3" s="39"/>
      <c r="K3" s="17"/>
      <c r="L3" s="17"/>
      <c r="M3" s="17"/>
      <c r="N3" s="51"/>
      <c r="O3" s="61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3">
      <c r="D4" s="57" t="e">
        <f ca="1">CONCATENATE("Period ",RIGHT(_xll.OneStop.ReportPlayer.OSRFunctions.OSRGet("Period","PeriodId"),2),", ",_xll.OneStop.ReportPlayer.OSRFunctions.OSRGet("Period","Year"))</f>
        <v>#NAME?</v>
      </c>
      <c r="E4" s="17"/>
      <c r="F4" s="51"/>
      <c r="G4" s="17"/>
      <c r="H4" s="17"/>
      <c r="I4" s="17"/>
      <c r="J4" s="39"/>
      <c r="K4" s="17"/>
      <c r="L4" s="17"/>
      <c r="M4" s="17"/>
      <c r="N4" s="51"/>
      <c r="O4" s="61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3">
      <c r="A5" s="23"/>
      <c r="D5" s="65" t="e">
        <f ca="1">_xll.OneStop.ReportPlayer.OSRFunctions.OSRGet("Period","PeriodEnd")</f>
        <v>#NAME?</v>
      </c>
      <c r="E5" s="17"/>
      <c r="F5" s="51"/>
      <c r="G5" s="17"/>
      <c r="H5" s="17"/>
      <c r="I5" s="17"/>
      <c r="J5" s="39"/>
      <c r="K5" s="17"/>
      <c r="L5" s="17"/>
      <c r="M5" s="17"/>
      <c r="N5" s="51"/>
      <c r="O5" s="61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3">
      <c r="A6" s="23"/>
      <c r="B6" s="47"/>
      <c r="C6" s="47"/>
      <c r="D6" s="23" t="s">
        <v>199</v>
      </c>
      <c r="E6" s="17"/>
      <c r="F6" s="51"/>
      <c r="G6" s="17"/>
      <c r="H6" s="17"/>
      <c r="I6" s="17"/>
      <c r="J6" s="39"/>
      <c r="K6" s="17"/>
      <c r="L6" s="17"/>
      <c r="M6" s="17"/>
      <c r="N6" s="51"/>
      <c r="O6" s="60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3">
      <c r="B7" s="63"/>
    </row>
    <row r="8" spans="1:26" x14ac:dyDescent="0.3">
      <c r="B8" s="63"/>
    </row>
    <row r="9" spans="1:26" x14ac:dyDescent="0.3">
      <c r="B9" s="9"/>
      <c r="C9" s="9"/>
      <c r="D9" s="15" t="s">
        <v>292</v>
      </c>
      <c r="E9" s="15"/>
      <c r="F9" s="38"/>
      <c r="G9" s="15"/>
      <c r="H9" s="15"/>
      <c r="I9" s="15"/>
      <c r="J9" s="49"/>
      <c r="K9" s="15"/>
      <c r="L9" s="15"/>
      <c r="M9" s="15"/>
      <c r="N9" s="38"/>
      <c r="P9" s="15" t="s">
        <v>39</v>
      </c>
      <c r="Q9" s="15"/>
      <c r="R9" s="38"/>
      <c r="S9" s="15"/>
      <c r="T9" s="15"/>
      <c r="U9" s="15"/>
      <c r="V9" s="49"/>
      <c r="W9" s="15"/>
      <c r="X9" s="15"/>
      <c r="Y9" s="15"/>
      <c r="Z9" s="38"/>
    </row>
    <row r="10" spans="1:26" x14ac:dyDescent="0.3">
      <c r="A10" s="10"/>
      <c r="B10" s="53"/>
      <c r="C10" s="10"/>
      <c r="D10" s="42" t="s">
        <v>57</v>
      </c>
      <c r="E10" s="34"/>
      <c r="F10" s="40" t="s">
        <v>40</v>
      </c>
      <c r="G10" s="34"/>
      <c r="H10" s="45" t="s">
        <v>238</v>
      </c>
      <c r="I10" s="34"/>
      <c r="J10" s="48" t="s">
        <v>58</v>
      </c>
      <c r="K10" s="10"/>
      <c r="L10" s="42" t="s">
        <v>127</v>
      </c>
      <c r="M10" s="10"/>
      <c r="N10" s="40" t="s">
        <v>258</v>
      </c>
      <c r="O10" s="10"/>
      <c r="P10" s="56" t="s">
        <v>57</v>
      </c>
      <c r="Q10" s="34"/>
      <c r="R10" s="40" t="s">
        <v>40</v>
      </c>
      <c r="S10" s="34"/>
      <c r="T10" s="45" t="s">
        <v>238</v>
      </c>
      <c r="U10" s="34"/>
      <c r="V10" s="48" t="s">
        <v>58</v>
      </c>
      <c r="W10" s="10"/>
      <c r="X10" s="42" t="s">
        <v>127</v>
      </c>
      <c r="Y10" s="10"/>
      <c r="Z10" s="40" t="s">
        <v>258</v>
      </c>
    </row>
    <row r="11" spans="1:26" ht="15.6" x14ac:dyDescent="0.3">
      <c r="A11" s="9"/>
      <c r="B11" s="58"/>
      <c r="C11" s="9"/>
      <c r="D11" s="9"/>
      <c r="E11" s="9"/>
      <c r="F11" s="6"/>
      <c r="G11" s="9"/>
      <c r="H11" s="9"/>
      <c r="I11" s="9"/>
      <c r="J11" s="46"/>
      <c r="K11" s="9"/>
      <c r="L11" s="9"/>
      <c r="M11" s="9"/>
      <c r="N11" s="6"/>
      <c r="P11" s="9"/>
      <c r="Q11" s="9"/>
      <c r="R11" s="6"/>
      <c r="S11" s="9"/>
      <c r="T11" s="9"/>
      <c r="U11" s="9"/>
      <c r="V11" s="46"/>
      <c r="W11" s="9"/>
      <c r="X11" s="9"/>
      <c r="Y11" s="9"/>
      <c r="Z11" s="6"/>
    </row>
    <row r="12" spans="1:26" s="23" customFormat="1" collapsed="1" x14ac:dyDescent="0.3">
      <c r="A12" s="10"/>
      <c r="B12" s="25" t="s">
        <v>140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3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3" t="e">
        <f ca="1">-_xll.OneStop.ReportPlayer.OSRFunctions.OSRGet("GL_F_Trans","Value1")</f>
        <v>#NAME?</v>
      </c>
      <c r="E13" s="3"/>
      <c r="F13" s="19"/>
      <c r="G13" s="3"/>
      <c r="H13" s="3" t="e">
        <f ca="1">_xll.OneStop.ReportPlayer.OSRFunctions.OSRGet("GL_F_Trans","Value1")</f>
        <v>#NAME?</v>
      </c>
      <c r="I13" s="3"/>
      <c r="J13" s="19"/>
      <c r="K13" s="3"/>
      <c r="L13" s="3" t="e">
        <f t="shared" ca="1" si="0"/>
        <v>#NAME?</v>
      </c>
      <c r="M13" s="3"/>
      <c r="N13" s="19" t="e">
        <f t="shared" ca="1" si="1"/>
        <v>#NAME?</v>
      </c>
      <c r="O13" s="11"/>
      <c r="P13" s="3" t="e">
        <f ca="1">-_xll.OneStop.ReportPlayer.OSRFunctions.OSRGet("GL_F_Trans","Value1")</f>
        <v>#NAME?</v>
      </c>
      <c r="Q13" s="3"/>
      <c r="R13" s="19"/>
      <c r="S13" s="3"/>
      <c r="T13" s="3" t="e">
        <f ca="1">_xll.OneStop.ReportPlayer.OSRFunctions.OSRGet("GL_F_Trans","Value1")</f>
        <v>#NAME?</v>
      </c>
      <c r="U13" s="3"/>
      <c r="V13" s="19"/>
      <c r="W13" s="3"/>
      <c r="X13" s="3" t="e">
        <f t="shared" ca="1" si="2"/>
        <v>#NAME?</v>
      </c>
      <c r="Y13" s="3"/>
      <c r="Z13" s="19" t="e">
        <f t="shared" ca="1" si="3"/>
        <v>#NAME?</v>
      </c>
    </row>
    <row r="14" spans="1:26" x14ac:dyDescent="0.3">
      <c r="A14" s="9"/>
      <c r="B14" s="10"/>
      <c r="C14" s="9"/>
      <c r="D14" s="2"/>
      <c r="E14" s="2"/>
      <c r="F14" s="6"/>
      <c r="G14" s="2"/>
      <c r="H14" s="2"/>
      <c r="I14" s="2"/>
      <c r="J14" s="6"/>
      <c r="K14" s="2"/>
      <c r="L14" s="2"/>
      <c r="M14" s="2"/>
      <c r="N14" s="6"/>
      <c r="P14" s="2"/>
      <c r="Q14" s="2"/>
      <c r="R14" s="6"/>
      <c r="S14" s="2"/>
      <c r="T14" s="2"/>
      <c r="U14" s="2"/>
      <c r="V14" s="6"/>
      <c r="W14" s="2"/>
      <c r="X14" s="2"/>
      <c r="Y14" s="2"/>
      <c r="Z14" s="6"/>
    </row>
    <row r="15" spans="1:26" s="23" customFormat="1" collapsed="1" x14ac:dyDescent="0.3">
      <c r="A15" s="10"/>
      <c r="B15" s="25" t="s">
        <v>257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3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3" t="e">
        <f ca="1">_xll.OneStop.ReportPlayer.OSRFunctions.OSRGet("GL_F_Trans","Value1")</f>
        <v>#NAME?</v>
      </c>
      <c r="E16" s="3"/>
      <c r="F16" s="19" t="e">
        <f t="shared" ca="1" si="4"/>
        <v>#NAME?</v>
      </c>
      <c r="G16" s="3"/>
      <c r="H16" s="3" t="e">
        <f ca="1">_xll.OneStop.ReportPlayer.OSRFunctions.OSRGet("GL_F_Trans","Value1")</f>
        <v>#NAME?</v>
      </c>
      <c r="I16" s="3"/>
      <c r="J16" s="19" t="e">
        <f t="shared" ca="1" si="5"/>
        <v>#NAME?</v>
      </c>
      <c r="K16" s="3"/>
      <c r="L16" s="3" t="e">
        <f t="shared" ca="1" si="6"/>
        <v>#NAME?</v>
      </c>
      <c r="M16" s="3"/>
      <c r="N16" s="19" t="e">
        <f t="shared" ca="1" si="7"/>
        <v>#NAME?</v>
      </c>
      <c r="O16" s="11"/>
      <c r="P16" s="3" t="e">
        <f ca="1">_xll.OneStop.ReportPlayer.OSRFunctions.OSRGet("GL_F_Trans","Value1")</f>
        <v>#NAME?</v>
      </c>
      <c r="Q16" s="3"/>
      <c r="R16" s="19" t="e">
        <f t="shared" ca="1" si="8"/>
        <v>#NAME?</v>
      </c>
      <c r="S16" s="3"/>
      <c r="T16" s="3" t="e">
        <f ca="1">_xll.OneStop.ReportPlayer.OSRFunctions.OSRGet("GL_F_Trans","Value1")</f>
        <v>#NAME?</v>
      </c>
      <c r="U16" s="3"/>
      <c r="V16" s="19" t="e">
        <f t="shared" ca="1" si="9"/>
        <v>#NAME?</v>
      </c>
      <c r="W16" s="3"/>
      <c r="X16" s="3" t="e">
        <f t="shared" ca="1" si="10"/>
        <v>#NAME?</v>
      </c>
      <c r="Y16" s="3"/>
      <c r="Z16" s="19" t="e">
        <f t="shared" ca="1" si="11"/>
        <v>#NAME?</v>
      </c>
    </row>
    <row r="17" spans="1:26" x14ac:dyDescent="0.3">
      <c r="A17" s="9"/>
      <c r="B17" s="10"/>
      <c r="C17" s="10"/>
      <c r="D17" s="2"/>
      <c r="E17" s="2"/>
      <c r="F17" s="6"/>
      <c r="G17" s="2"/>
      <c r="H17" s="2"/>
      <c r="I17" s="2"/>
      <c r="J17" s="6"/>
      <c r="K17" s="2"/>
      <c r="L17" s="2"/>
      <c r="M17" s="2"/>
      <c r="N17" s="6"/>
      <c r="O17" s="10"/>
      <c r="P17" s="2"/>
      <c r="Q17" s="2"/>
      <c r="R17" s="6"/>
      <c r="S17" s="2"/>
      <c r="T17" s="2"/>
      <c r="U17" s="2"/>
      <c r="V17" s="6"/>
      <c r="W17" s="2"/>
      <c r="X17" s="2"/>
      <c r="Y17" s="2"/>
      <c r="Z17" s="6"/>
    </row>
    <row r="18" spans="1:26" s="23" customFormat="1" x14ac:dyDescent="0.3">
      <c r="A18" s="10"/>
      <c r="B18" s="26" t="s">
        <v>108</v>
      </c>
      <c r="C18" s="26"/>
      <c r="D18" s="21" t="e">
        <f ca="1">D12-D15</f>
        <v>#NAME?</v>
      </c>
      <c r="E18" s="13"/>
      <c r="F18" s="22" t="e">
        <f ca="1">IF(D$12=0,0,D18/D$12)</f>
        <v>#NAME?</v>
      </c>
      <c r="G18" s="13"/>
      <c r="H18" s="21" t="e">
        <f ca="1">H12-H15</f>
        <v>#NAME?</v>
      </c>
      <c r="I18" s="13"/>
      <c r="J18" s="22" t="e">
        <f ca="1">IF(H$12=0,0,H18/H$12)</f>
        <v>#NAME?</v>
      </c>
      <c r="K18" s="16"/>
      <c r="L18" s="21" t="e">
        <f ca="1">+D18-H18</f>
        <v>#NAME?</v>
      </c>
      <c r="M18" s="16"/>
      <c r="N18" s="22" t="e">
        <f ca="1">IF(H18=0,0,L18/H18)</f>
        <v>#NAME?</v>
      </c>
      <c r="O18" s="25"/>
      <c r="P18" s="21" t="e">
        <f ca="1">P12-P15</f>
        <v>#NAME?</v>
      </c>
      <c r="Q18" s="13"/>
      <c r="R18" s="22" t="e">
        <f ca="1">IF(P$12=0,0,P18/P$12)</f>
        <v>#NAME?</v>
      </c>
      <c r="S18" s="13"/>
      <c r="T18" s="21" t="e">
        <f ca="1">T12-T15</f>
        <v>#NAME?</v>
      </c>
      <c r="U18" s="13"/>
      <c r="V18" s="22" t="e">
        <f ca="1">IF(T$12=0,0,T18/T$12)</f>
        <v>#NAME?</v>
      </c>
      <c r="W18" s="16"/>
      <c r="X18" s="21" t="e">
        <f ca="1">+P18-T18</f>
        <v>#NAME?</v>
      </c>
      <c r="Y18" s="16"/>
      <c r="Z18" s="22" t="e">
        <f ca="1">IF(T18=0,0,X18/T18)</f>
        <v>#NAME?</v>
      </c>
    </row>
    <row r="19" spans="1:26" x14ac:dyDescent="0.3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">
      <c r="A20" s="10"/>
      <c r="B20" s="25" t="s">
        <v>295</v>
      </c>
      <c r="C20" s="10"/>
      <c r="D20" s="20" t="e">
        <f ca="1">SUM(_xll.OneStop.ReportPlayer.OSRFunctions.OSRRef(D22))</f>
        <v>#NAME?</v>
      </c>
      <c r="E20" s="20"/>
      <c r="F20" s="32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2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2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2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2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2" t="e">
        <f t="shared" ref="Z20:Z22" ca="1" si="19">IF(T20=0,0,X20/T20)</f>
        <v>#NAME?</v>
      </c>
    </row>
    <row r="21" spans="1:26" s="27" customFormat="1" outlineLevel="1" collapsed="1" x14ac:dyDescent="0.3">
      <c r="A21" s="28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3">
      <c r="A22" s="29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8" t="e">
        <f ca="1">_xll.OneStop.ReportPlayer.OSRFunctions.OSRGet("GL_F_Trans","Value1")</f>
        <v>#NAME?</v>
      </c>
      <c r="E22" s="3"/>
      <c r="F22" s="7" t="e">
        <f t="shared" ca="1" si="12"/>
        <v>#NAME?</v>
      </c>
      <c r="G22" s="3"/>
      <c r="H22" s="8" t="e">
        <f ca="1">_xll.OneStop.ReportPlayer.OSRFunctions.OSRGet("GL_F_Trans","Value1")</f>
        <v>#NAME?</v>
      </c>
      <c r="I22" s="3"/>
      <c r="J22" s="7" t="e">
        <f t="shared" ca="1" si="13"/>
        <v>#NAME?</v>
      </c>
      <c r="K22" s="3"/>
      <c r="L22" s="8" t="e">
        <f t="shared" ca="1" si="14"/>
        <v>#NAME?</v>
      </c>
      <c r="M22" s="3"/>
      <c r="N22" s="7" t="e">
        <f t="shared" ca="1" si="15"/>
        <v>#NAME?</v>
      </c>
      <c r="O22" s="11"/>
      <c r="P22" s="8" t="e">
        <f ca="1">_xll.OneStop.ReportPlayer.OSRFunctions.OSRGet("GL_F_Trans","Value1")</f>
        <v>#NAME?</v>
      </c>
      <c r="Q22" s="3"/>
      <c r="R22" s="7" t="e">
        <f t="shared" ca="1" si="16"/>
        <v>#NAME?</v>
      </c>
      <c r="S22" s="3"/>
      <c r="T22" s="8" t="e">
        <f ca="1">_xll.OneStop.ReportPlayer.OSRFunctions.OSRGet("GL_F_Trans","Value1")</f>
        <v>#NAME?</v>
      </c>
      <c r="U22" s="3"/>
      <c r="V22" s="7" t="e">
        <f t="shared" ca="1" si="17"/>
        <v>#NAME?</v>
      </c>
      <c r="W22" s="3"/>
      <c r="X22" s="8" t="e">
        <f t="shared" ca="1" si="18"/>
        <v>#NAME?</v>
      </c>
      <c r="Y22" s="3"/>
      <c r="Z22" s="7" t="e">
        <f t="shared" ca="1" si="19"/>
        <v>#NAME?</v>
      </c>
    </row>
    <row r="23" spans="1:26" s="62" customFormat="1" x14ac:dyDescent="0.3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3">
      <c r="A24" s="10"/>
      <c r="B24" s="25" t="s">
        <v>293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3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3" t="e">
        <f ca="1">-_xll.OneStop.ReportPlayer.OSRFunctions.OSRGet("GL_F_Trans","Value1")</f>
        <v>#NAME?</v>
      </c>
      <c r="E25" s="3"/>
      <c r="F25" s="19" t="e">
        <f t="shared" ca="1" si="20"/>
        <v>#NAME?</v>
      </c>
      <c r="G25" s="3"/>
      <c r="H25" s="3" t="e">
        <f ca="1">_xll.OneStop.ReportPlayer.OSRFunctions.OSRGet("GL_F_Trans","Value1")</f>
        <v>#NAME?</v>
      </c>
      <c r="I25" s="3"/>
      <c r="J25" s="19" t="e">
        <f t="shared" ca="1" si="21"/>
        <v>#NAME?</v>
      </c>
      <c r="K25" s="3"/>
      <c r="L25" s="3" t="e">
        <f t="shared" ca="1" si="22"/>
        <v>#NAME?</v>
      </c>
      <c r="M25" s="3"/>
      <c r="N25" s="19" t="e">
        <f t="shared" ca="1" si="23"/>
        <v>#NAME?</v>
      </c>
      <c r="O25" s="11"/>
      <c r="P25" s="3" t="e">
        <f ca="1">-_xll.OneStop.ReportPlayer.OSRFunctions.OSRGet("GL_F_Trans","Value1")</f>
        <v>#NAME?</v>
      </c>
      <c r="Q25" s="3"/>
      <c r="R25" s="19" t="e">
        <f t="shared" ca="1" si="24"/>
        <v>#NAME?</v>
      </c>
      <c r="S25" s="3"/>
      <c r="T25" s="3" t="e">
        <f ca="1">_xll.OneStop.ReportPlayer.OSRFunctions.OSRGet("GL_F_Trans","Value1")</f>
        <v>#NAME?</v>
      </c>
      <c r="U25" s="3"/>
      <c r="V25" s="19" t="e">
        <f t="shared" ca="1" si="25"/>
        <v>#NAME?</v>
      </c>
      <c r="W25" s="3"/>
      <c r="X25" s="3" t="e">
        <f t="shared" ca="1" si="26"/>
        <v>#NAME?</v>
      </c>
      <c r="Y25" s="3"/>
      <c r="Z25" s="19" t="e">
        <f t="shared" ca="1" si="27"/>
        <v>#NAME?</v>
      </c>
    </row>
    <row r="26" spans="1:26" x14ac:dyDescent="0.3">
      <c r="A26" s="9"/>
      <c r="B26" s="10"/>
      <c r="C26" s="10"/>
      <c r="D26" s="2"/>
      <c r="E26" s="2"/>
      <c r="F26" s="6"/>
      <c r="G26" s="2"/>
      <c r="H26" s="2"/>
      <c r="I26" s="2"/>
      <c r="J26" s="6"/>
      <c r="K26" s="2"/>
      <c r="L26" s="2"/>
      <c r="M26" s="2"/>
      <c r="N26" s="6"/>
      <c r="O26" s="10"/>
      <c r="P26" s="2"/>
      <c r="Q26" s="2"/>
      <c r="R26" s="6"/>
      <c r="S26" s="2"/>
      <c r="T26" s="2"/>
      <c r="U26" s="2"/>
      <c r="V26" s="6"/>
      <c r="W26" s="2"/>
      <c r="X26" s="2"/>
      <c r="Y26" s="2"/>
      <c r="Z26" s="6"/>
    </row>
    <row r="27" spans="1:26" s="23" customFormat="1" x14ac:dyDescent="0.3">
      <c r="A27" s="10"/>
      <c r="B27" s="26" t="s">
        <v>277</v>
      </c>
      <c r="C27" s="26"/>
      <c r="D27" s="21" t="e">
        <f ca="1">+D18-D20+D24</f>
        <v>#NAME?</v>
      </c>
      <c r="E27" s="13"/>
      <c r="F27" s="22" t="e">
        <f ca="1">IF(D$12=0,0,D27/D$12)</f>
        <v>#NAME?</v>
      </c>
      <c r="G27" s="13"/>
      <c r="H27" s="21" t="e">
        <f ca="1">+H18-H20+H24</f>
        <v>#NAME?</v>
      </c>
      <c r="I27" s="13"/>
      <c r="J27" s="22" t="e">
        <f ca="1">IF(H$12=0,0,H27/H$12)</f>
        <v>#NAME?</v>
      </c>
      <c r="K27" s="16"/>
      <c r="L27" s="21" t="e">
        <f ca="1">+D27-H27</f>
        <v>#NAME?</v>
      </c>
      <c r="M27" s="16"/>
      <c r="N27" s="22" t="e">
        <f ca="1">IF(H27=0,0,L27/H27)</f>
        <v>#NAME?</v>
      </c>
      <c r="O27" s="25"/>
      <c r="P27" s="21" t="e">
        <f ca="1">+P18-P20+P24</f>
        <v>#NAME?</v>
      </c>
      <c r="Q27" s="13"/>
      <c r="R27" s="22" t="e">
        <f ca="1">IF(P$12=0,0,P27/P$12)</f>
        <v>#NAME?</v>
      </c>
      <c r="S27" s="13"/>
      <c r="T27" s="21" t="e">
        <f ca="1">+T18-T20+T24</f>
        <v>#NAME?</v>
      </c>
      <c r="U27" s="13"/>
      <c r="V27" s="22" t="e">
        <f ca="1">IF(T$12=0,0,T27/T$12)</f>
        <v>#NAME?</v>
      </c>
      <c r="W27" s="16"/>
      <c r="X27" s="21" t="e">
        <f ca="1">+P27-T27</f>
        <v>#NAME?</v>
      </c>
      <c r="Y27" s="16"/>
      <c r="Z27" s="22" t="e">
        <f ca="1">IF(T27=0,0,X27/T27)</f>
        <v>#NAME?</v>
      </c>
    </row>
    <row r="28" spans="1:26" x14ac:dyDescent="0.3">
      <c r="A28" s="9"/>
      <c r="B28" s="10"/>
      <c r="C28" s="9"/>
      <c r="D28" s="2"/>
      <c r="E28" s="2"/>
      <c r="F28" s="6"/>
      <c r="G28" s="2"/>
      <c r="H28" s="2"/>
      <c r="I28" s="2"/>
      <c r="J28" s="6"/>
      <c r="K28" s="2"/>
      <c r="L28" s="2"/>
      <c r="M28" s="2"/>
      <c r="N28" s="6"/>
      <c r="P28" s="2"/>
      <c r="Q28" s="2"/>
      <c r="R28" s="6"/>
      <c r="S28" s="2"/>
      <c r="T28" s="2"/>
      <c r="U28" s="2"/>
      <c r="V28" s="6"/>
      <c r="W28" s="2"/>
      <c r="X28" s="2"/>
      <c r="Y28" s="2"/>
      <c r="Z28" s="6"/>
    </row>
    <row r="29" spans="1:26" s="23" customFormat="1" x14ac:dyDescent="0.3">
      <c r="A29" s="52"/>
      <c r="B29" s="10" t="s">
        <v>128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3">
      <c r="A30" s="9"/>
      <c r="B30" s="10"/>
      <c r="C30" s="10"/>
      <c r="D30" s="2"/>
      <c r="E30" s="2"/>
      <c r="F30" s="6"/>
      <c r="G30" s="2"/>
      <c r="H30" s="2"/>
      <c r="I30" s="2"/>
      <c r="J30" s="6"/>
      <c r="K30" s="2"/>
      <c r="L30" s="2"/>
      <c r="M30" s="2"/>
      <c r="N30" s="6"/>
      <c r="O30" s="10"/>
      <c r="P30" s="2"/>
      <c r="Q30" s="2"/>
      <c r="R30" s="6"/>
      <c r="S30" s="2"/>
      <c r="T30" s="2"/>
      <c r="U30" s="2"/>
      <c r="V30" s="6"/>
      <c r="W30" s="2"/>
      <c r="X30" s="2"/>
      <c r="Y30" s="2"/>
      <c r="Z30" s="6"/>
    </row>
    <row r="31" spans="1:26" s="23" customFormat="1" ht="15" thickBot="1" x14ac:dyDescent="0.35">
      <c r="A31" s="10"/>
      <c r="B31" s="26" t="s">
        <v>126</v>
      </c>
      <c r="C31" s="26"/>
      <c r="D31" s="35" t="e">
        <f ca="1">+D27-D29</f>
        <v>#NAME?</v>
      </c>
      <c r="E31" s="13"/>
      <c r="F31" s="30" t="e">
        <f ca="1">IF(D$12=0,0,D31/D$12)</f>
        <v>#NAME?</v>
      </c>
      <c r="G31" s="13"/>
      <c r="H31" s="35" t="e">
        <f ca="1">+H27-H29</f>
        <v>#NAME?</v>
      </c>
      <c r="I31" s="13"/>
      <c r="J31" s="30" t="e">
        <f ca="1">IF(H$12=0,0,H31/H$12)</f>
        <v>#NAME?</v>
      </c>
      <c r="K31" s="16"/>
      <c r="L31" s="35" t="e">
        <f ca="1">D31-H31</f>
        <v>#NAME?</v>
      </c>
      <c r="M31" s="16"/>
      <c r="N31" s="30" t="e">
        <f ca="1">IF(H31=0,0,L31/H31)</f>
        <v>#NAME?</v>
      </c>
      <c r="O31" s="25"/>
      <c r="P31" s="35" t="e">
        <f ca="1">+P27-P29</f>
        <v>#NAME?</v>
      </c>
      <c r="Q31" s="13"/>
      <c r="R31" s="30" t="e">
        <f ca="1">IF(P$12=0,0,P31/P$12)</f>
        <v>#NAME?</v>
      </c>
      <c r="S31" s="13"/>
      <c r="T31" s="35" t="e">
        <f ca="1">+T27-T29</f>
        <v>#NAME?</v>
      </c>
      <c r="U31" s="13"/>
      <c r="V31" s="30" t="e">
        <f ca="1">IF(T$12=0,0,T31/T$12)</f>
        <v>#NAME?</v>
      </c>
      <c r="W31" s="16"/>
      <c r="X31" s="35" t="e">
        <f ca="1">P31-T31</f>
        <v>#NAME?</v>
      </c>
      <c r="Y31" s="16"/>
      <c r="Z31" s="30" t="e">
        <f ca="1">IF(T31=0,0,X31/T31)</f>
        <v>#NAME?</v>
      </c>
    </row>
    <row r="32" spans="1:26" ht="15" thickTop="1" x14ac:dyDescent="0.3">
      <c r="A32" s="9"/>
      <c r="B32" s="9"/>
      <c r="C32" s="9"/>
      <c r="D32" s="2"/>
      <c r="E32" s="2"/>
      <c r="F32" s="6"/>
      <c r="G32" s="2"/>
      <c r="H32" s="2"/>
      <c r="I32" s="2"/>
      <c r="J32" s="6"/>
      <c r="K32" s="2"/>
      <c r="L32" s="2"/>
      <c r="M32" s="2"/>
      <c r="N32" s="6"/>
      <c r="P32" s="2"/>
      <c r="Q32" s="2"/>
      <c r="R32" s="6"/>
      <c r="S32" s="2"/>
      <c r="T32" s="2"/>
      <c r="U32" s="2"/>
      <c r="V32" s="6"/>
      <c r="W32" s="2"/>
      <c r="X32" s="2"/>
      <c r="Y32" s="2"/>
      <c r="Z32" s="6"/>
    </row>
    <row r="33" spans="1:26" s="23" customFormat="1" x14ac:dyDescent="0.3">
      <c r="A33" s="52"/>
      <c r="B33" s="10" t="s">
        <v>184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3">
      <c r="A34" s="52"/>
      <c r="B34" s="10" t="s">
        <v>82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3">
      <c r="A35" s="9"/>
      <c r="B35" s="9"/>
      <c r="C35" s="9"/>
      <c r="D35" s="2"/>
      <c r="E35" s="2"/>
      <c r="F35" s="6"/>
      <c r="G35" s="2"/>
      <c r="H35" s="2"/>
      <c r="I35" s="2"/>
      <c r="J35" s="6"/>
      <c r="K35" s="2"/>
      <c r="L35" s="2"/>
      <c r="M35" s="2"/>
      <c r="N35" s="6"/>
      <c r="P35" s="2"/>
      <c r="Q35" s="2"/>
      <c r="R35" s="6"/>
      <c r="S35" s="2"/>
      <c r="T35" s="2"/>
      <c r="U35" s="2"/>
      <c r="V35" s="6"/>
      <c r="W35" s="2"/>
      <c r="X35" s="2"/>
      <c r="Y35" s="2"/>
      <c r="Z35" s="6"/>
    </row>
    <row r="36" spans="1:26" s="23" customFormat="1" ht="15" thickBot="1" x14ac:dyDescent="0.35">
      <c r="A36" s="10"/>
      <c r="B36" s="26" t="s">
        <v>294</v>
      </c>
      <c r="C36" s="26"/>
      <c r="D36" s="33" t="e">
        <f ca="1">SUM(D31:D35)</f>
        <v>#NAME?</v>
      </c>
      <c r="E36" s="13"/>
      <c r="F36" s="31" t="e">
        <f ca="1">IF(D$12=0,0,D36/D$12)</f>
        <v>#NAME?</v>
      </c>
      <c r="G36" s="13"/>
      <c r="H36" s="33" t="e">
        <f ca="1">SUM(H31:H35)</f>
        <v>#NAME?</v>
      </c>
      <c r="I36" s="13"/>
      <c r="J36" s="31" t="e">
        <f ca="1">IF(H$12=0,0,H36/H$12)</f>
        <v>#NAME?</v>
      </c>
      <c r="K36" s="16"/>
      <c r="L36" s="33" t="e">
        <f ca="1">+D36-H36</f>
        <v>#NAME?</v>
      </c>
      <c r="M36" s="16"/>
      <c r="N36" s="31" t="e">
        <f ca="1">IF(H36=0,0,L36/H36)</f>
        <v>#NAME?</v>
      </c>
      <c r="O36" s="25"/>
      <c r="P36" s="33" t="e">
        <f ca="1">SUM(P31:P35)</f>
        <v>#NAME?</v>
      </c>
      <c r="Q36" s="13"/>
      <c r="R36" s="31" t="e">
        <f ca="1">IF(P$12=0,0,P36/P$12)</f>
        <v>#NAME?</v>
      </c>
      <c r="S36" s="13"/>
      <c r="T36" s="33" t="e">
        <f ca="1">SUM(T31:T35)</f>
        <v>#NAME?</v>
      </c>
      <c r="U36" s="13"/>
      <c r="V36" s="31" t="e">
        <f ca="1">IF(T$12=0,0,T36/T$12)</f>
        <v>#NAME?</v>
      </c>
      <c r="W36" s="16"/>
      <c r="X36" s="33" t="e">
        <f ca="1">+P36-T36</f>
        <v>#NAME?</v>
      </c>
      <c r="Y36" s="16"/>
      <c r="Z36" s="31" t="e">
        <f ca="1">IF(T36=0,0,X36/T36)</f>
        <v>#NAME?</v>
      </c>
    </row>
    <row r="37" spans="1:26" ht="15" thickTop="1" x14ac:dyDescent="0.3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3">
      <c r="A38" s="9"/>
      <c r="B38" s="54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3">
      <c r="A39" s="9"/>
      <c r="B39" s="59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3">
      <c r="A40" s="9"/>
      <c r="B40" s="55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3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50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7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50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7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7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7" customWidth="1" outlineLevel="1"/>
  </cols>
  <sheetData>
    <row r="2" spans="1:26" x14ac:dyDescent="0.3">
      <c r="D2" s="57" t="s">
        <v>23</v>
      </c>
    </row>
    <row r="3" spans="1:26" x14ac:dyDescent="0.3">
      <c r="D3" s="57" t="s">
        <v>237</v>
      </c>
      <c r="E3" s="17"/>
      <c r="F3" s="51"/>
      <c r="G3" s="17"/>
      <c r="H3" s="17"/>
      <c r="I3" s="17"/>
      <c r="J3" s="39"/>
      <c r="K3" s="17"/>
      <c r="L3" s="17"/>
      <c r="M3" s="17"/>
      <c r="N3" s="51"/>
      <c r="O3" s="61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3">
      <c r="D4" s="57" t="e">
        <f ca="1">CONCATENATE("Period ",RIGHT(_xll.OneStop.ReportPlayer.OSRFunctions.OSRGet("Period","PeriodId"),2),", ",_xll.OneStop.ReportPlayer.OSRFunctions.OSRGet("Period","Year"))</f>
        <v>#NAME?</v>
      </c>
      <c r="E4" s="17"/>
      <c r="F4" s="51"/>
      <c r="G4" s="17"/>
      <c r="H4" s="17"/>
      <c r="I4" s="17"/>
      <c r="J4" s="39"/>
      <c r="K4" s="17"/>
      <c r="L4" s="17"/>
      <c r="M4" s="17"/>
      <c r="N4" s="51"/>
      <c r="O4" s="61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3">
      <c r="A5" s="23"/>
      <c r="D5" s="65" t="e">
        <f ca="1">_xll.OneStop.ReportPlayer.OSRFunctions.OSRGet("Period","PeriodEnd")</f>
        <v>#NAME?</v>
      </c>
      <c r="E5" s="17"/>
      <c r="F5" s="51"/>
      <c r="G5" s="17"/>
      <c r="H5" s="17"/>
      <c r="I5" s="17"/>
      <c r="J5" s="39"/>
      <c r="K5" s="17"/>
      <c r="L5" s="17"/>
      <c r="M5" s="17"/>
      <c r="N5" s="51"/>
      <c r="O5" s="61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3">
      <c r="A6" s="23"/>
      <c r="B6" s="47"/>
      <c r="C6" s="47"/>
      <c r="D6" s="23" t="s">
        <v>81</v>
      </c>
      <c r="E6" s="17"/>
      <c r="F6" s="51"/>
      <c r="G6" s="17"/>
      <c r="H6" s="17"/>
      <c r="I6" s="17"/>
      <c r="J6" s="39"/>
      <c r="K6" s="17"/>
      <c r="L6" s="17"/>
      <c r="M6" s="17"/>
      <c r="N6" s="51"/>
      <c r="O6" s="60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3">
      <c r="B7" s="63"/>
    </row>
    <row r="8" spans="1:26" x14ac:dyDescent="0.3">
      <c r="B8" s="63"/>
    </row>
    <row r="9" spans="1:26" x14ac:dyDescent="0.3">
      <c r="B9" s="9"/>
      <c r="C9" s="9"/>
      <c r="D9" s="15" t="s">
        <v>292</v>
      </c>
      <c r="E9" s="15"/>
      <c r="F9" s="38"/>
      <c r="G9" s="15"/>
      <c r="H9" s="15"/>
      <c r="I9" s="15"/>
      <c r="J9" s="49"/>
      <c r="K9" s="15"/>
      <c r="L9" s="15"/>
      <c r="M9" s="15"/>
      <c r="N9" s="38"/>
      <c r="P9" s="15" t="s">
        <v>39</v>
      </c>
      <c r="Q9" s="15"/>
      <c r="R9" s="38"/>
      <c r="S9" s="15"/>
      <c r="T9" s="15"/>
      <c r="U9" s="15"/>
      <c r="V9" s="49"/>
      <c r="W9" s="15"/>
      <c r="X9" s="15"/>
      <c r="Y9" s="15"/>
      <c r="Z9" s="38"/>
    </row>
    <row r="10" spans="1:26" x14ac:dyDescent="0.3">
      <c r="A10" s="10"/>
      <c r="B10" s="53"/>
      <c r="C10" s="10"/>
      <c r="D10" s="42" t="s">
        <v>57</v>
      </c>
      <c r="E10" s="34"/>
      <c r="F10" s="40" t="s">
        <v>40</v>
      </c>
      <c r="G10" s="34"/>
      <c r="H10" s="45" t="s">
        <v>238</v>
      </c>
      <c r="I10" s="34"/>
      <c r="J10" s="48" t="s">
        <v>58</v>
      </c>
      <c r="K10" s="10"/>
      <c r="L10" s="42" t="s">
        <v>127</v>
      </c>
      <c r="M10" s="10"/>
      <c r="N10" s="40" t="s">
        <v>258</v>
      </c>
      <c r="O10" s="10"/>
      <c r="P10" s="56" t="s">
        <v>57</v>
      </c>
      <c r="Q10" s="34"/>
      <c r="R10" s="40" t="s">
        <v>40</v>
      </c>
      <c r="S10" s="34"/>
      <c r="T10" s="45" t="s">
        <v>238</v>
      </c>
      <c r="U10" s="34"/>
      <c r="V10" s="48" t="s">
        <v>58</v>
      </c>
      <c r="W10" s="10"/>
      <c r="X10" s="42" t="s">
        <v>127</v>
      </c>
      <c r="Y10" s="10"/>
      <c r="Z10" s="40" t="s">
        <v>258</v>
      </c>
    </row>
    <row r="11" spans="1:26" ht="15.6" x14ac:dyDescent="0.3">
      <c r="A11" s="9"/>
      <c r="B11" s="58"/>
      <c r="C11" s="9"/>
      <c r="D11" s="9"/>
      <c r="E11" s="9"/>
      <c r="F11" s="6"/>
      <c r="G11" s="9"/>
      <c r="H11" s="9"/>
      <c r="I11" s="9"/>
      <c r="J11" s="46"/>
      <c r="K11" s="9"/>
      <c r="L11" s="9"/>
      <c r="M11" s="9"/>
      <c r="N11" s="6"/>
      <c r="P11" s="9"/>
      <c r="Q11" s="9"/>
      <c r="R11" s="6"/>
      <c r="S11" s="9"/>
      <c r="T11" s="9"/>
      <c r="U11" s="9"/>
      <c r="V11" s="46"/>
      <c r="W11" s="9"/>
      <c r="X11" s="9"/>
      <c r="Y11" s="9"/>
      <c r="Z11" s="6"/>
    </row>
    <row r="12" spans="1:26" s="23" customFormat="1" collapsed="1" x14ac:dyDescent="0.3">
      <c r="A12" s="10"/>
      <c r="B12" s="25" t="s">
        <v>140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3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3" t="e">
        <f ca="1">-_xll.OneStop.ReportPlayer.OSRFunctions.OSRGet("GL_F_Trans","Value1")</f>
        <v>#NAME?</v>
      </c>
      <c r="E13" s="3"/>
      <c r="F13" s="19"/>
      <c r="G13" s="3"/>
      <c r="H13" s="3" t="e">
        <f ca="1">_xll.OneStop.ReportPlayer.OSRFunctions.OSRGet("GL_F_Trans","Value1")</f>
        <v>#NAME?</v>
      </c>
      <c r="I13" s="3"/>
      <c r="J13" s="19"/>
      <c r="K13" s="3"/>
      <c r="L13" s="3" t="e">
        <f t="shared" ca="1" si="0"/>
        <v>#NAME?</v>
      </c>
      <c r="M13" s="3"/>
      <c r="N13" s="19" t="e">
        <f t="shared" ca="1" si="1"/>
        <v>#NAME?</v>
      </c>
      <c r="O13" s="11"/>
      <c r="P13" s="3" t="e">
        <f ca="1">-_xll.OneStop.ReportPlayer.OSRFunctions.OSRGet("GL_F_Trans","Value1")</f>
        <v>#NAME?</v>
      </c>
      <c r="Q13" s="3"/>
      <c r="R13" s="19"/>
      <c r="S13" s="3"/>
      <c r="T13" s="3" t="e">
        <f ca="1">_xll.OneStop.ReportPlayer.OSRFunctions.OSRGet("GL_F_Trans","Value1")</f>
        <v>#NAME?</v>
      </c>
      <c r="U13" s="3"/>
      <c r="V13" s="19"/>
      <c r="W13" s="3"/>
      <c r="X13" s="3" t="e">
        <f t="shared" ca="1" si="2"/>
        <v>#NAME?</v>
      </c>
      <c r="Y13" s="3"/>
      <c r="Z13" s="19" t="e">
        <f t="shared" ca="1" si="3"/>
        <v>#NAME?</v>
      </c>
    </row>
    <row r="14" spans="1:26" x14ac:dyDescent="0.3">
      <c r="A14" s="9"/>
      <c r="B14" s="10"/>
      <c r="C14" s="9"/>
      <c r="D14" s="2"/>
      <c r="E14" s="2"/>
      <c r="F14" s="6"/>
      <c r="G14" s="2"/>
      <c r="H14" s="2"/>
      <c r="I14" s="2"/>
      <c r="J14" s="6"/>
      <c r="K14" s="2"/>
      <c r="L14" s="2"/>
      <c r="M14" s="2"/>
      <c r="N14" s="6"/>
      <c r="P14" s="2"/>
      <c r="Q14" s="2"/>
      <c r="R14" s="6"/>
      <c r="S14" s="2"/>
      <c r="T14" s="2"/>
      <c r="U14" s="2"/>
      <c r="V14" s="6"/>
      <c r="W14" s="2"/>
      <c r="X14" s="2"/>
      <c r="Y14" s="2"/>
      <c r="Z14" s="6"/>
    </row>
    <row r="15" spans="1:26" s="23" customFormat="1" collapsed="1" x14ac:dyDescent="0.3">
      <c r="A15" s="10"/>
      <c r="B15" s="25" t="s">
        <v>257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3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3" t="e">
        <f ca="1">_xll.OneStop.ReportPlayer.OSRFunctions.OSRGet("GL_F_Trans","Value1")</f>
        <v>#NAME?</v>
      </c>
      <c r="E16" s="3"/>
      <c r="F16" s="19" t="e">
        <f t="shared" ca="1" si="4"/>
        <v>#NAME?</v>
      </c>
      <c r="G16" s="3"/>
      <c r="H16" s="3" t="e">
        <f ca="1">_xll.OneStop.ReportPlayer.OSRFunctions.OSRGet("GL_F_Trans","Value1")</f>
        <v>#NAME?</v>
      </c>
      <c r="I16" s="3"/>
      <c r="J16" s="19" t="e">
        <f t="shared" ca="1" si="5"/>
        <v>#NAME?</v>
      </c>
      <c r="K16" s="3"/>
      <c r="L16" s="3" t="e">
        <f t="shared" ca="1" si="6"/>
        <v>#NAME?</v>
      </c>
      <c r="M16" s="3"/>
      <c r="N16" s="19" t="e">
        <f t="shared" ca="1" si="7"/>
        <v>#NAME?</v>
      </c>
      <c r="O16" s="11"/>
      <c r="P16" s="3" t="e">
        <f ca="1">_xll.OneStop.ReportPlayer.OSRFunctions.OSRGet("GL_F_Trans","Value1")</f>
        <v>#NAME?</v>
      </c>
      <c r="Q16" s="3"/>
      <c r="R16" s="19" t="e">
        <f t="shared" ca="1" si="8"/>
        <v>#NAME?</v>
      </c>
      <c r="S16" s="3"/>
      <c r="T16" s="3" t="e">
        <f ca="1">_xll.OneStop.ReportPlayer.OSRFunctions.OSRGet("GL_F_Trans","Value1")</f>
        <v>#NAME?</v>
      </c>
      <c r="U16" s="3"/>
      <c r="V16" s="19" t="e">
        <f t="shared" ca="1" si="9"/>
        <v>#NAME?</v>
      </c>
      <c r="W16" s="3"/>
      <c r="X16" s="3" t="e">
        <f t="shared" ca="1" si="10"/>
        <v>#NAME?</v>
      </c>
      <c r="Y16" s="3"/>
      <c r="Z16" s="19" t="e">
        <f t="shared" ca="1" si="11"/>
        <v>#NAME?</v>
      </c>
    </row>
    <row r="17" spans="1:26" x14ac:dyDescent="0.3">
      <c r="A17" s="9"/>
      <c r="B17" s="10"/>
      <c r="C17" s="10"/>
      <c r="D17" s="2"/>
      <c r="E17" s="2"/>
      <c r="F17" s="6"/>
      <c r="G17" s="2"/>
      <c r="H17" s="2"/>
      <c r="I17" s="2"/>
      <c r="J17" s="6"/>
      <c r="K17" s="2"/>
      <c r="L17" s="2"/>
      <c r="M17" s="2"/>
      <c r="N17" s="6"/>
      <c r="O17" s="10"/>
      <c r="P17" s="2"/>
      <c r="Q17" s="2"/>
      <c r="R17" s="6"/>
      <c r="S17" s="2"/>
      <c r="T17" s="2"/>
      <c r="U17" s="2"/>
      <c r="V17" s="6"/>
      <c r="W17" s="2"/>
      <c r="X17" s="2"/>
      <c r="Y17" s="2"/>
      <c r="Z17" s="6"/>
    </row>
    <row r="18" spans="1:26" s="23" customFormat="1" x14ac:dyDescent="0.3">
      <c r="A18" s="10"/>
      <c r="B18" s="26" t="s">
        <v>108</v>
      </c>
      <c r="C18" s="26"/>
      <c r="D18" s="21" t="e">
        <f ca="1">D12-D15</f>
        <v>#NAME?</v>
      </c>
      <c r="E18" s="13"/>
      <c r="F18" s="22" t="e">
        <f ca="1">IF(D$12=0,0,D18/D$12)</f>
        <v>#NAME?</v>
      </c>
      <c r="G18" s="13"/>
      <c r="H18" s="21" t="e">
        <f ca="1">H12-H15</f>
        <v>#NAME?</v>
      </c>
      <c r="I18" s="13"/>
      <c r="J18" s="22" t="e">
        <f ca="1">IF(H$12=0,0,H18/H$12)</f>
        <v>#NAME?</v>
      </c>
      <c r="K18" s="16"/>
      <c r="L18" s="21" t="e">
        <f ca="1">+D18-H18</f>
        <v>#NAME?</v>
      </c>
      <c r="M18" s="16"/>
      <c r="N18" s="22" t="e">
        <f ca="1">IF(H18=0,0,L18/H18)</f>
        <v>#NAME?</v>
      </c>
      <c r="O18" s="25"/>
      <c r="P18" s="21" t="e">
        <f ca="1">P12-P15</f>
        <v>#NAME?</v>
      </c>
      <c r="Q18" s="13"/>
      <c r="R18" s="22" t="e">
        <f ca="1">IF(P$12=0,0,P18/P$12)</f>
        <v>#NAME?</v>
      </c>
      <c r="S18" s="13"/>
      <c r="T18" s="21" t="e">
        <f ca="1">T12-T15</f>
        <v>#NAME?</v>
      </c>
      <c r="U18" s="13"/>
      <c r="V18" s="22" t="e">
        <f ca="1">IF(T$12=0,0,T18/T$12)</f>
        <v>#NAME?</v>
      </c>
      <c r="W18" s="16"/>
      <c r="X18" s="21" t="e">
        <f ca="1">+P18-T18</f>
        <v>#NAME?</v>
      </c>
      <c r="Y18" s="16"/>
      <c r="Z18" s="22" t="e">
        <f ca="1">IF(T18=0,0,X18/T18)</f>
        <v>#NAME?</v>
      </c>
    </row>
    <row r="19" spans="1:26" x14ac:dyDescent="0.3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">
      <c r="A20" s="10"/>
      <c r="B20" s="25" t="s">
        <v>295</v>
      </c>
      <c r="C20" s="10"/>
      <c r="D20" s="20" t="e">
        <f ca="1">SUM(_xll.OneStop.ReportPlayer.OSRFunctions.OSRRef(D22))</f>
        <v>#NAME?</v>
      </c>
      <c r="E20" s="20"/>
      <c r="F20" s="32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2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2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2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2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2" t="e">
        <f t="shared" ref="Z20:Z22" ca="1" si="19">IF(T20=0,0,X20/T20)</f>
        <v>#NAME?</v>
      </c>
    </row>
    <row r="21" spans="1:26" s="27" customFormat="1" outlineLevel="1" collapsed="1" x14ac:dyDescent="0.3">
      <c r="A21" s="28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3">
      <c r="A22" s="29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8" t="e">
        <f ca="1">_xll.OneStop.ReportPlayer.OSRFunctions.OSRGet("GL_F_Trans","Value1")</f>
        <v>#NAME?</v>
      </c>
      <c r="E22" s="3"/>
      <c r="F22" s="7" t="e">
        <f t="shared" ca="1" si="12"/>
        <v>#NAME?</v>
      </c>
      <c r="G22" s="3"/>
      <c r="H22" s="8" t="e">
        <f ca="1">_xll.OneStop.ReportPlayer.OSRFunctions.OSRGet("GL_F_Trans","Value1")</f>
        <v>#NAME?</v>
      </c>
      <c r="I22" s="3"/>
      <c r="J22" s="7" t="e">
        <f t="shared" ca="1" si="13"/>
        <v>#NAME?</v>
      </c>
      <c r="K22" s="3"/>
      <c r="L22" s="8" t="e">
        <f t="shared" ca="1" si="14"/>
        <v>#NAME?</v>
      </c>
      <c r="M22" s="3"/>
      <c r="N22" s="7" t="e">
        <f t="shared" ca="1" si="15"/>
        <v>#NAME?</v>
      </c>
      <c r="O22" s="11"/>
      <c r="P22" s="8" t="e">
        <f ca="1">_xll.OneStop.ReportPlayer.OSRFunctions.OSRGet("GL_F_Trans","Value1")</f>
        <v>#NAME?</v>
      </c>
      <c r="Q22" s="3"/>
      <c r="R22" s="7" t="e">
        <f t="shared" ca="1" si="16"/>
        <v>#NAME?</v>
      </c>
      <c r="S22" s="3"/>
      <c r="T22" s="8" t="e">
        <f ca="1">_xll.OneStop.ReportPlayer.OSRFunctions.OSRGet("GL_F_Trans","Value1")</f>
        <v>#NAME?</v>
      </c>
      <c r="U22" s="3"/>
      <c r="V22" s="7" t="e">
        <f t="shared" ca="1" si="17"/>
        <v>#NAME?</v>
      </c>
      <c r="W22" s="3"/>
      <c r="X22" s="8" t="e">
        <f t="shared" ca="1" si="18"/>
        <v>#NAME?</v>
      </c>
      <c r="Y22" s="3"/>
      <c r="Z22" s="7" t="e">
        <f t="shared" ca="1" si="19"/>
        <v>#NAME?</v>
      </c>
    </row>
    <row r="23" spans="1:26" s="62" customFormat="1" x14ac:dyDescent="0.3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3">
      <c r="A24" s="10"/>
      <c r="B24" s="25" t="s">
        <v>293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3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3" t="e">
        <f ca="1">-_xll.OneStop.ReportPlayer.OSRFunctions.OSRGet("GL_F_Trans","Value1")</f>
        <v>#NAME?</v>
      </c>
      <c r="E25" s="3"/>
      <c r="F25" s="19" t="e">
        <f t="shared" ca="1" si="20"/>
        <v>#NAME?</v>
      </c>
      <c r="G25" s="3"/>
      <c r="H25" s="3" t="e">
        <f ca="1">_xll.OneStop.ReportPlayer.OSRFunctions.OSRGet("GL_F_Trans","Value1")</f>
        <v>#NAME?</v>
      </c>
      <c r="I25" s="3"/>
      <c r="J25" s="19" t="e">
        <f t="shared" ca="1" si="21"/>
        <v>#NAME?</v>
      </c>
      <c r="K25" s="3"/>
      <c r="L25" s="3" t="e">
        <f t="shared" ca="1" si="22"/>
        <v>#NAME?</v>
      </c>
      <c r="M25" s="3"/>
      <c r="N25" s="19" t="e">
        <f t="shared" ca="1" si="23"/>
        <v>#NAME?</v>
      </c>
      <c r="O25" s="11"/>
      <c r="P25" s="3" t="e">
        <f ca="1">-_xll.OneStop.ReportPlayer.OSRFunctions.OSRGet("GL_F_Trans","Value1")</f>
        <v>#NAME?</v>
      </c>
      <c r="Q25" s="3"/>
      <c r="R25" s="19" t="e">
        <f t="shared" ca="1" si="24"/>
        <v>#NAME?</v>
      </c>
      <c r="S25" s="3"/>
      <c r="T25" s="3" t="e">
        <f ca="1">_xll.OneStop.ReportPlayer.OSRFunctions.OSRGet("GL_F_Trans","Value1")</f>
        <v>#NAME?</v>
      </c>
      <c r="U25" s="3"/>
      <c r="V25" s="19" t="e">
        <f t="shared" ca="1" si="25"/>
        <v>#NAME?</v>
      </c>
      <c r="W25" s="3"/>
      <c r="X25" s="3" t="e">
        <f t="shared" ca="1" si="26"/>
        <v>#NAME?</v>
      </c>
      <c r="Y25" s="3"/>
      <c r="Z25" s="19" t="e">
        <f t="shared" ca="1" si="27"/>
        <v>#NAME?</v>
      </c>
    </row>
    <row r="26" spans="1:26" x14ac:dyDescent="0.3">
      <c r="A26" s="9"/>
      <c r="B26" s="10"/>
      <c r="C26" s="10"/>
      <c r="D26" s="2"/>
      <c r="E26" s="2"/>
      <c r="F26" s="6"/>
      <c r="G26" s="2"/>
      <c r="H26" s="2"/>
      <c r="I26" s="2"/>
      <c r="J26" s="6"/>
      <c r="K26" s="2"/>
      <c r="L26" s="2"/>
      <c r="M26" s="2"/>
      <c r="N26" s="6"/>
      <c r="O26" s="10"/>
      <c r="P26" s="2"/>
      <c r="Q26" s="2"/>
      <c r="R26" s="6"/>
      <c r="S26" s="2"/>
      <c r="T26" s="2"/>
      <c r="U26" s="2"/>
      <c r="V26" s="6"/>
      <c r="W26" s="2"/>
      <c r="X26" s="2"/>
      <c r="Y26" s="2"/>
      <c r="Z26" s="6"/>
    </row>
    <row r="27" spans="1:26" s="23" customFormat="1" x14ac:dyDescent="0.3">
      <c r="A27" s="10"/>
      <c r="B27" s="26" t="s">
        <v>277</v>
      </c>
      <c r="C27" s="26"/>
      <c r="D27" s="21" t="e">
        <f ca="1">+D18-D20+D24</f>
        <v>#NAME?</v>
      </c>
      <c r="E27" s="13"/>
      <c r="F27" s="22" t="e">
        <f ca="1">IF(D$12=0,0,D27/D$12)</f>
        <v>#NAME?</v>
      </c>
      <c r="G27" s="13"/>
      <c r="H27" s="21" t="e">
        <f ca="1">+H18-H20+H24</f>
        <v>#NAME?</v>
      </c>
      <c r="I27" s="13"/>
      <c r="J27" s="22" t="e">
        <f ca="1">IF(H$12=0,0,H27/H$12)</f>
        <v>#NAME?</v>
      </c>
      <c r="K27" s="16"/>
      <c r="L27" s="21" t="e">
        <f ca="1">+D27-H27</f>
        <v>#NAME?</v>
      </c>
      <c r="M27" s="16"/>
      <c r="N27" s="22" t="e">
        <f ca="1">IF(H27=0,0,L27/H27)</f>
        <v>#NAME?</v>
      </c>
      <c r="O27" s="25"/>
      <c r="P27" s="21" t="e">
        <f ca="1">+P18-P20+P24</f>
        <v>#NAME?</v>
      </c>
      <c r="Q27" s="13"/>
      <c r="R27" s="22" t="e">
        <f ca="1">IF(P$12=0,0,P27/P$12)</f>
        <v>#NAME?</v>
      </c>
      <c r="S27" s="13"/>
      <c r="T27" s="21" t="e">
        <f ca="1">+T18-T20+T24</f>
        <v>#NAME?</v>
      </c>
      <c r="U27" s="13"/>
      <c r="V27" s="22" t="e">
        <f ca="1">IF(T$12=0,0,T27/T$12)</f>
        <v>#NAME?</v>
      </c>
      <c r="W27" s="16"/>
      <c r="X27" s="21" t="e">
        <f ca="1">+P27-T27</f>
        <v>#NAME?</v>
      </c>
      <c r="Y27" s="16"/>
      <c r="Z27" s="22" t="e">
        <f ca="1">IF(T27=0,0,X27/T27)</f>
        <v>#NAME?</v>
      </c>
    </row>
    <row r="28" spans="1:26" x14ac:dyDescent="0.3">
      <c r="A28" s="9"/>
      <c r="B28" s="10"/>
      <c r="C28" s="9"/>
      <c r="D28" s="2"/>
      <c r="E28" s="2"/>
      <c r="F28" s="6"/>
      <c r="G28" s="2"/>
      <c r="H28" s="2"/>
      <c r="I28" s="2"/>
      <c r="J28" s="6"/>
      <c r="K28" s="2"/>
      <c r="L28" s="2"/>
      <c r="M28" s="2"/>
      <c r="N28" s="6"/>
      <c r="P28" s="2"/>
      <c r="Q28" s="2"/>
      <c r="R28" s="6"/>
      <c r="S28" s="2"/>
      <c r="T28" s="2"/>
      <c r="U28" s="2"/>
      <c r="V28" s="6"/>
      <c r="W28" s="2"/>
      <c r="X28" s="2"/>
      <c r="Y28" s="2"/>
      <c r="Z28" s="6"/>
    </row>
    <row r="29" spans="1:26" s="23" customFormat="1" x14ac:dyDescent="0.3">
      <c r="A29" s="52"/>
      <c r="B29" s="10" t="s">
        <v>128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3">
      <c r="A30" s="9"/>
      <c r="B30" s="10"/>
      <c r="C30" s="10"/>
      <c r="D30" s="2"/>
      <c r="E30" s="2"/>
      <c r="F30" s="6"/>
      <c r="G30" s="2"/>
      <c r="H30" s="2"/>
      <c r="I30" s="2"/>
      <c r="J30" s="6"/>
      <c r="K30" s="2"/>
      <c r="L30" s="2"/>
      <c r="M30" s="2"/>
      <c r="N30" s="6"/>
      <c r="O30" s="10"/>
      <c r="P30" s="2"/>
      <c r="Q30" s="2"/>
      <c r="R30" s="6"/>
      <c r="S30" s="2"/>
      <c r="T30" s="2"/>
      <c r="U30" s="2"/>
      <c r="V30" s="6"/>
      <c r="W30" s="2"/>
      <c r="X30" s="2"/>
      <c r="Y30" s="2"/>
      <c r="Z30" s="6"/>
    </row>
    <row r="31" spans="1:26" s="23" customFormat="1" ht="15" thickBot="1" x14ac:dyDescent="0.35">
      <c r="A31" s="10"/>
      <c r="B31" s="26" t="s">
        <v>126</v>
      </c>
      <c r="C31" s="26"/>
      <c r="D31" s="35" t="e">
        <f ca="1">+D27-D29</f>
        <v>#NAME?</v>
      </c>
      <c r="E31" s="13"/>
      <c r="F31" s="30" t="e">
        <f ca="1">IF(D$12=0,0,D31/D$12)</f>
        <v>#NAME?</v>
      </c>
      <c r="G31" s="13"/>
      <c r="H31" s="35" t="e">
        <f ca="1">+H27-H29</f>
        <v>#NAME?</v>
      </c>
      <c r="I31" s="13"/>
      <c r="J31" s="30" t="e">
        <f ca="1">IF(H$12=0,0,H31/H$12)</f>
        <v>#NAME?</v>
      </c>
      <c r="K31" s="16"/>
      <c r="L31" s="35" t="e">
        <f ca="1">D31-H31</f>
        <v>#NAME?</v>
      </c>
      <c r="M31" s="16"/>
      <c r="N31" s="30" t="e">
        <f ca="1">IF(H31=0,0,L31/H31)</f>
        <v>#NAME?</v>
      </c>
      <c r="O31" s="25"/>
      <c r="P31" s="35" t="e">
        <f ca="1">+P27-P29</f>
        <v>#NAME?</v>
      </c>
      <c r="Q31" s="13"/>
      <c r="R31" s="30" t="e">
        <f ca="1">IF(P$12=0,0,P31/P$12)</f>
        <v>#NAME?</v>
      </c>
      <c r="S31" s="13"/>
      <c r="T31" s="35" t="e">
        <f ca="1">+T27-T29</f>
        <v>#NAME?</v>
      </c>
      <c r="U31" s="13"/>
      <c r="V31" s="30" t="e">
        <f ca="1">IF(T$12=0,0,T31/T$12)</f>
        <v>#NAME?</v>
      </c>
      <c r="W31" s="16"/>
      <c r="X31" s="35" t="e">
        <f ca="1">P31-T31</f>
        <v>#NAME?</v>
      </c>
      <c r="Y31" s="16"/>
      <c r="Z31" s="30" t="e">
        <f ca="1">IF(T31=0,0,X31/T31)</f>
        <v>#NAME?</v>
      </c>
    </row>
    <row r="32" spans="1:26" ht="15" thickTop="1" x14ac:dyDescent="0.3">
      <c r="A32" s="9"/>
      <c r="B32" s="9"/>
      <c r="C32" s="9"/>
      <c r="D32" s="2"/>
      <c r="E32" s="2"/>
      <c r="F32" s="6"/>
      <c r="G32" s="2"/>
      <c r="H32" s="2"/>
      <c r="I32" s="2"/>
      <c r="J32" s="6"/>
      <c r="K32" s="2"/>
      <c r="L32" s="2"/>
      <c r="M32" s="2"/>
      <c r="N32" s="6"/>
      <c r="P32" s="2"/>
      <c r="Q32" s="2"/>
      <c r="R32" s="6"/>
      <c r="S32" s="2"/>
      <c r="T32" s="2"/>
      <c r="U32" s="2"/>
      <c r="V32" s="6"/>
      <c r="W32" s="2"/>
      <c r="X32" s="2"/>
      <c r="Y32" s="2"/>
      <c r="Z32" s="6"/>
    </row>
    <row r="33" spans="1:26" s="23" customFormat="1" x14ac:dyDescent="0.3">
      <c r="A33" s="52"/>
      <c r="B33" s="10" t="s">
        <v>184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3">
      <c r="A34" s="52"/>
      <c r="B34" s="10" t="s">
        <v>82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3">
      <c r="A35" s="9"/>
      <c r="B35" s="9"/>
      <c r="C35" s="9"/>
      <c r="D35" s="2"/>
      <c r="E35" s="2"/>
      <c r="F35" s="6"/>
      <c r="G35" s="2"/>
      <c r="H35" s="2"/>
      <c r="I35" s="2"/>
      <c r="J35" s="6"/>
      <c r="K35" s="2"/>
      <c r="L35" s="2"/>
      <c r="M35" s="2"/>
      <c r="N35" s="6"/>
      <c r="P35" s="2"/>
      <c r="Q35" s="2"/>
      <c r="R35" s="6"/>
      <c r="S35" s="2"/>
      <c r="T35" s="2"/>
      <c r="U35" s="2"/>
      <c r="V35" s="6"/>
      <c r="W35" s="2"/>
      <c r="X35" s="2"/>
      <c r="Y35" s="2"/>
      <c r="Z35" s="6"/>
    </row>
    <row r="36" spans="1:26" s="23" customFormat="1" ht="15" thickBot="1" x14ac:dyDescent="0.35">
      <c r="A36" s="10"/>
      <c r="B36" s="26" t="s">
        <v>294</v>
      </c>
      <c r="C36" s="26"/>
      <c r="D36" s="33" t="e">
        <f ca="1">SUM(D31:D35)</f>
        <v>#NAME?</v>
      </c>
      <c r="E36" s="13"/>
      <c r="F36" s="31" t="e">
        <f ca="1">IF(D$12=0,0,D36/D$12)</f>
        <v>#NAME?</v>
      </c>
      <c r="G36" s="13"/>
      <c r="H36" s="33" t="e">
        <f ca="1">SUM(H31:H35)</f>
        <v>#NAME?</v>
      </c>
      <c r="I36" s="13"/>
      <c r="J36" s="31" t="e">
        <f ca="1">IF(H$12=0,0,H36/H$12)</f>
        <v>#NAME?</v>
      </c>
      <c r="K36" s="16"/>
      <c r="L36" s="33" t="e">
        <f ca="1">+D36-H36</f>
        <v>#NAME?</v>
      </c>
      <c r="M36" s="16"/>
      <c r="N36" s="31" t="e">
        <f ca="1">IF(H36=0,0,L36/H36)</f>
        <v>#NAME?</v>
      </c>
      <c r="O36" s="25"/>
      <c r="P36" s="33" t="e">
        <f ca="1">SUM(P31:P35)</f>
        <v>#NAME?</v>
      </c>
      <c r="Q36" s="13"/>
      <c r="R36" s="31" t="e">
        <f ca="1">IF(P$12=0,0,P36/P$12)</f>
        <v>#NAME?</v>
      </c>
      <c r="S36" s="13"/>
      <c r="T36" s="33" t="e">
        <f ca="1">SUM(T31:T35)</f>
        <v>#NAME?</v>
      </c>
      <c r="U36" s="13"/>
      <c r="V36" s="31" t="e">
        <f ca="1">IF(T$12=0,0,T36/T$12)</f>
        <v>#NAME?</v>
      </c>
      <c r="W36" s="16"/>
      <c r="X36" s="33" t="e">
        <f ca="1">+P36-T36</f>
        <v>#NAME?</v>
      </c>
      <c r="Y36" s="16"/>
      <c r="Z36" s="31" t="e">
        <f ca="1">IF(T36=0,0,X36/T36)</f>
        <v>#NAME?</v>
      </c>
    </row>
    <row r="37" spans="1:26" ht="15" thickTop="1" x14ac:dyDescent="0.3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3">
      <c r="A38" s="9"/>
      <c r="B38" s="54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3">
      <c r="A39" s="9"/>
      <c r="B39" s="59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3">
      <c r="A40" s="9"/>
      <c r="B40" s="55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3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50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7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50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7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7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7" customWidth="1" outlineLevel="1"/>
  </cols>
  <sheetData>
    <row r="2" spans="1:26" x14ac:dyDescent="0.3">
      <c r="D2" s="57" t="s">
        <v>23</v>
      </c>
    </row>
    <row r="3" spans="1:26" x14ac:dyDescent="0.3">
      <c r="D3" s="57" t="s">
        <v>237</v>
      </c>
      <c r="E3" s="17"/>
      <c r="F3" s="51"/>
      <c r="G3" s="17"/>
      <c r="H3" s="17"/>
      <c r="I3" s="17"/>
      <c r="J3" s="39"/>
      <c r="K3" s="17"/>
      <c r="L3" s="17"/>
      <c r="M3" s="17"/>
      <c r="N3" s="51"/>
      <c r="O3" s="61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3">
      <c r="D4" s="57" t="e">
        <f ca="1">CONCATENATE("Period ",RIGHT(_xll.OneStop.ReportPlayer.OSRFunctions.OSRGet("Period","PeriodId"),2),", ",_xll.OneStop.ReportPlayer.OSRFunctions.OSRGet("Period","Year"))</f>
        <v>#NAME?</v>
      </c>
      <c r="E4" s="17"/>
      <c r="F4" s="51"/>
      <c r="G4" s="17"/>
      <c r="H4" s="17"/>
      <c r="I4" s="17"/>
      <c r="J4" s="39"/>
      <c r="K4" s="17"/>
      <c r="L4" s="17"/>
      <c r="M4" s="17"/>
      <c r="N4" s="51"/>
      <c r="O4" s="61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3">
      <c r="A5" s="23"/>
      <c r="D5" s="65" t="e">
        <f ca="1">_xll.OneStop.ReportPlayer.OSRFunctions.OSRGet("Period","PeriodEnd")</f>
        <v>#NAME?</v>
      </c>
      <c r="E5" s="17"/>
      <c r="F5" s="51"/>
      <c r="G5" s="17"/>
      <c r="H5" s="17"/>
      <c r="I5" s="17"/>
      <c r="J5" s="39"/>
      <c r="K5" s="17"/>
      <c r="L5" s="17"/>
      <c r="M5" s="17"/>
      <c r="N5" s="51"/>
      <c r="O5" s="61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3">
      <c r="A6" s="23"/>
      <c r="B6" s="47"/>
      <c r="C6" s="47"/>
      <c r="D6" s="23" t="s">
        <v>81</v>
      </c>
      <c r="E6" s="17"/>
      <c r="F6" s="51"/>
      <c r="G6" s="17"/>
      <c r="H6" s="17"/>
      <c r="I6" s="17"/>
      <c r="J6" s="39"/>
      <c r="K6" s="17"/>
      <c r="L6" s="17"/>
      <c r="M6" s="17"/>
      <c r="N6" s="51"/>
      <c r="O6" s="60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3">
      <c r="B7" s="63"/>
    </row>
    <row r="8" spans="1:26" x14ac:dyDescent="0.3">
      <c r="B8" s="63"/>
    </row>
    <row r="9" spans="1:26" x14ac:dyDescent="0.3">
      <c r="B9" s="9"/>
      <c r="C9" s="9"/>
      <c r="D9" s="15" t="s">
        <v>292</v>
      </c>
      <c r="E9" s="15"/>
      <c r="F9" s="38"/>
      <c r="G9" s="15"/>
      <c r="H9" s="15"/>
      <c r="I9" s="15"/>
      <c r="J9" s="49"/>
      <c r="K9" s="15"/>
      <c r="L9" s="15"/>
      <c r="M9" s="15"/>
      <c r="N9" s="38"/>
      <c r="P9" s="15" t="s">
        <v>39</v>
      </c>
      <c r="Q9" s="15"/>
      <c r="R9" s="38"/>
      <c r="S9" s="15"/>
      <c r="T9" s="15"/>
      <c r="U9" s="15"/>
      <c r="V9" s="49"/>
      <c r="W9" s="15"/>
      <c r="X9" s="15"/>
      <c r="Y9" s="15"/>
      <c r="Z9" s="38"/>
    </row>
    <row r="10" spans="1:26" x14ac:dyDescent="0.3">
      <c r="A10" s="10"/>
      <c r="B10" s="53"/>
      <c r="C10" s="10"/>
      <c r="D10" s="42" t="s">
        <v>57</v>
      </c>
      <c r="E10" s="34"/>
      <c r="F10" s="40" t="s">
        <v>40</v>
      </c>
      <c r="G10" s="34"/>
      <c r="H10" s="45" t="s">
        <v>238</v>
      </c>
      <c r="I10" s="34"/>
      <c r="J10" s="48" t="s">
        <v>58</v>
      </c>
      <c r="K10" s="10"/>
      <c r="L10" s="42" t="s">
        <v>127</v>
      </c>
      <c r="M10" s="10"/>
      <c r="N10" s="40" t="s">
        <v>258</v>
      </c>
      <c r="O10" s="10"/>
      <c r="P10" s="56" t="s">
        <v>57</v>
      </c>
      <c r="Q10" s="34"/>
      <c r="R10" s="40" t="s">
        <v>40</v>
      </c>
      <c r="S10" s="34"/>
      <c r="T10" s="45" t="s">
        <v>238</v>
      </c>
      <c r="U10" s="34"/>
      <c r="V10" s="48" t="s">
        <v>58</v>
      </c>
      <c r="W10" s="10"/>
      <c r="X10" s="42" t="s">
        <v>127</v>
      </c>
      <c r="Y10" s="10"/>
      <c r="Z10" s="40" t="s">
        <v>258</v>
      </c>
    </row>
    <row r="11" spans="1:26" ht="15.6" x14ac:dyDescent="0.3">
      <c r="A11" s="9"/>
      <c r="B11" s="58"/>
      <c r="C11" s="9"/>
      <c r="D11" s="9"/>
      <c r="E11" s="9"/>
      <c r="F11" s="6"/>
      <c r="G11" s="9"/>
      <c r="H11" s="9"/>
      <c r="I11" s="9"/>
      <c r="J11" s="46"/>
      <c r="K11" s="9"/>
      <c r="L11" s="9"/>
      <c r="M11" s="9"/>
      <c r="N11" s="6"/>
      <c r="P11" s="9"/>
      <c r="Q11" s="9"/>
      <c r="R11" s="6"/>
      <c r="S11" s="9"/>
      <c r="T11" s="9"/>
      <c r="U11" s="9"/>
      <c r="V11" s="46"/>
      <c r="W11" s="9"/>
      <c r="X11" s="9"/>
      <c r="Y11" s="9"/>
      <c r="Z11" s="6"/>
    </row>
    <row r="12" spans="1:26" s="23" customFormat="1" collapsed="1" x14ac:dyDescent="0.3">
      <c r="A12" s="10"/>
      <c r="B12" s="25" t="s">
        <v>140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3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3" t="e">
        <f ca="1">-_xll.OneStop.ReportPlayer.OSRFunctions.OSRGet("GL_F_Trans","Value1")</f>
        <v>#NAME?</v>
      </c>
      <c r="E13" s="3"/>
      <c r="F13" s="19"/>
      <c r="G13" s="3"/>
      <c r="H13" s="3" t="e">
        <f ca="1">_xll.OneStop.ReportPlayer.OSRFunctions.OSRGet("GL_F_Trans","Value1")</f>
        <v>#NAME?</v>
      </c>
      <c r="I13" s="3"/>
      <c r="J13" s="19"/>
      <c r="K13" s="3"/>
      <c r="L13" s="3" t="e">
        <f t="shared" ca="1" si="0"/>
        <v>#NAME?</v>
      </c>
      <c r="M13" s="3"/>
      <c r="N13" s="19" t="e">
        <f t="shared" ca="1" si="1"/>
        <v>#NAME?</v>
      </c>
      <c r="O13" s="11"/>
      <c r="P13" s="3" t="e">
        <f ca="1">-_xll.OneStop.ReportPlayer.OSRFunctions.OSRGet("GL_F_Trans","Value1")</f>
        <v>#NAME?</v>
      </c>
      <c r="Q13" s="3"/>
      <c r="R13" s="19"/>
      <c r="S13" s="3"/>
      <c r="T13" s="3" t="e">
        <f ca="1">_xll.OneStop.ReportPlayer.OSRFunctions.OSRGet("GL_F_Trans","Value1")</f>
        <v>#NAME?</v>
      </c>
      <c r="U13" s="3"/>
      <c r="V13" s="19"/>
      <c r="W13" s="3"/>
      <c r="X13" s="3" t="e">
        <f t="shared" ca="1" si="2"/>
        <v>#NAME?</v>
      </c>
      <c r="Y13" s="3"/>
      <c r="Z13" s="19" t="e">
        <f t="shared" ca="1" si="3"/>
        <v>#NAME?</v>
      </c>
    </row>
    <row r="14" spans="1:26" x14ac:dyDescent="0.3">
      <c r="A14" s="9"/>
      <c r="B14" s="10"/>
      <c r="C14" s="9"/>
      <c r="D14" s="2"/>
      <c r="E14" s="2"/>
      <c r="F14" s="6"/>
      <c r="G14" s="2"/>
      <c r="H14" s="2"/>
      <c r="I14" s="2"/>
      <c r="J14" s="6"/>
      <c r="K14" s="2"/>
      <c r="L14" s="2"/>
      <c r="M14" s="2"/>
      <c r="N14" s="6"/>
      <c r="P14" s="2"/>
      <c r="Q14" s="2"/>
      <c r="R14" s="6"/>
      <c r="S14" s="2"/>
      <c r="T14" s="2"/>
      <c r="U14" s="2"/>
      <c r="V14" s="6"/>
      <c r="W14" s="2"/>
      <c r="X14" s="2"/>
      <c r="Y14" s="2"/>
      <c r="Z14" s="6"/>
    </row>
    <row r="15" spans="1:26" s="23" customFormat="1" collapsed="1" x14ac:dyDescent="0.3">
      <c r="A15" s="10"/>
      <c r="B15" s="25" t="s">
        <v>257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3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3" t="e">
        <f ca="1">_xll.OneStop.ReportPlayer.OSRFunctions.OSRGet("GL_F_Trans","Value1")</f>
        <v>#NAME?</v>
      </c>
      <c r="E16" s="3"/>
      <c r="F16" s="19" t="e">
        <f t="shared" ca="1" si="4"/>
        <v>#NAME?</v>
      </c>
      <c r="G16" s="3"/>
      <c r="H16" s="3" t="e">
        <f ca="1">_xll.OneStop.ReportPlayer.OSRFunctions.OSRGet("GL_F_Trans","Value1")</f>
        <v>#NAME?</v>
      </c>
      <c r="I16" s="3"/>
      <c r="J16" s="19" t="e">
        <f t="shared" ca="1" si="5"/>
        <v>#NAME?</v>
      </c>
      <c r="K16" s="3"/>
      <c r="L16" s="3" t="e">
        <f t="shared" ca="1" si="6"/>
        <v>#NAME?</v>
      </c>
      <c r="M16" s="3"/>
      <c r="N16" s="19" t="e">
        <f t="shared" ca="1" si="7"/>
        <v>#NAME?</v>
      </c>
      <c r="O16" s="11"/>
      <c r="P16" s="3" t="e">
        <f ca="1">_xll.OneStop.ReportPlayer.OSRFunctions.OSRGet("GL_F_Trans","Value1")</f>
        <v>#NAME?</v>
      </c>
      <c r="Q16" s="3"/>
      <c r="R16" s="19" t="e">
        <f t="shared" ca="1" si="8"/>
        <v>#NAME?</v>
      </c>
      <c r="S16" s="3"/>
      <c r="T16" s="3" t="e">
        <f ca="1">_xll.OneStop.ReportPlayer.OSRFunctions.OSRGet("GL_F_Trans","Value1")</f>
        <v>#NAME?</v>
      </c>
      <c r="U16" s="3"/>
      <c r="V16" s="19" t="e">
        <f t="shared" ca="1" si="9"/>
        <v>#NAME?</v>
      </c>
      <c r="W16" s="3"/>
      <c r="X16" s="3" t="e">
        <f t="shared" ca="1" si="10"/>
        <v>#NAME?</v>
      </c>
      <c r="Y16" s="3"/>
      <c r="Z16" s="19" t="e">
        <f t="shared" ca="1" si="11"/>
        <v>#NAME?</v>
      </c>
    </row>
    <row r="17" spans="1:26" x14ac:dyDescent="0.3">
      <c r="A17" s="9"/>
      <c r="B17" s="10"/>
      <c r="C17" s="10"/>
      <c r="D17" s="2"/>
      <c r="E17" s="2"/>
      <c r="F17" s="6"/>
      <c r="G17" s="2"/>
      <c r="H17" s="2"/>
      <c r="I17" s="2"/>
      <c r="J17" s="6"/>
      <c r="K17" s="2"/>
      <c r="L17" s="2"/>
      <c r="M17" s="2"/>
      <c r="N17" s="6"/>
      <c r="O17" s="10"/>
      <c r="P17" s="2"/>
      <c r="Q17" s="2"/>
      <c r="R17" s="6"/>
      <c r="S17" s="2"/>
      <c r="T17" s="2"/>
      <c r="U17" s="2"/>
      <c r="V17" s="6"/>
      <c r="W17" s="2"/>
      <c r="X17" s="2"/>
      <c r="Y17" s="2"/>
      <c r="Z17" s="6"/>
    </row>
    <row r="18" spans="1:26" s="23" customFormat="1" x14ac:dyDescent="0.3">
      <c r="A18" s="10"/>
      <c r="B18" s="26" t="s">
        <v>108</v>
      </c>
      <c r="C18" s="26"/>
      <c r="D18" s="21" t="e">
        <f ca="1">D12-D15</f>
        <v>#NAME?</v>
      </c>
      <c r="E18" s="13"/>
      <c r="F18" s="22" t="e">
        <f ca="1">IF(D$12=0,0,D18/D$12)</f>
        <v>#NAME?</v>
      </c>
      <c r="G18" s="13"/>
      <c r="H18" s="21" t="e">
        <f ca="1">H12-H15</f>
        <v>#NAME?</v>
      </c>
      <c r="I18" s="13"/>
      <c r="J18" s="22" t="e">
        <f ca="1">IF(H$12=0,0,H18/H$12)</f>
        <v>#NAME?</v>
      </c>
      <c r="K18" s="16"/>
      <c r="L18" s="21" t="e">
        <f ca="1">+D18-H18</f>
        <v>#NAME?</v>
      </c>
      <c r="M18" s="16"/>
      <c r="N18" s="22" t="e">
        <f ca="1">IF(H18=0,0,L18/H18)</f>
        <v>#NAME?</v>
      </c>
      <c r="O18" s="25"/>
      <c r="P18" s="21" t="e">
        <f ca="1">P12-P15</f>
        <v>#NAME?</v>
      </c>
      <c r="Q18" s="13"/>
      <c r="R18" s="22" t="e">
        <f ca="1">IF(P$12=0,0,P18/P$12)</f>
        <v>#NAME?</v>
      </c>
      <c r="S18" s="13"/>
      <c r="T18" s="21" t="e">
        <f ca="1">T12-T15</f>
        <v>#NAME?</v>
      </c>
      <c r="U18" s="13"/>
      <c r="V18" s="22" t="e">
        <f ca="1">IF(T$12=0,0,T18/T$12)</f>
        <v>#NAME?</v>
      </c>
      <c r="W18" s="16"/>
      <c r="X18" s="21" t="e">
        <f ca="1">+P18-T18</f>
        <v>#NAME?</v>
      </c>
      <c r="Y18" s="16"/>
      <c r="Z18" s="22" t="e">
        <f ca="1">IF(T18=0,0,X18/T18)</f>
        <v>#NAME?</v>
      </c>
    </row>
    <row r="19" spans="1:26" x14ac:dyDescent="0.3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">
      <c r="A20" s="10"/>
      <c r="B20" s="25" t="s">
        <v>295</v>
      </c>
      <c r="C20" s="10"/>
      <c r="D20" s="20" t="e">
        <f ca="1">SUM(_xll.OneStop.ReportPlayer.OSRFunctions.OSRRef(D22))</f>
        <v>#NAME?</v>
      </c>
      <c r="E20" s="20"/>
      <c r="F20" s="32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2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2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2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2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2" t="e">
        <f t="shared" ref="Z20:Z22" ca="1" si="19">IF(T20=0,0,X20/T20)</f>
        <v>#NAME?</v>
      </c>
    </row>
    <row r="21" spans="1:26" s="27" customFormat="1" outlineLevel="1" collapsed="1" x14ac:dyDescent="0.3">
      <c r="A21" s="28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3">
      <c r="A22" s="29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8" t="e">
        <f ca="1">_xll.OneStop.ReportPlayer.OSRFunctions.OSRGet("GL_F_Trans","Value1")</f>
        <v>#NAME?</v>
      </c>
      <c r="E22" s="3"/>
      <c r="F22" s="7" t="e">
        <f t="shared" ca="1" si="12"/>
        <v>#NAME?</v>
      </c>
      <c r="G22" s="3"/>
      <c r="H22" s="8" t="e">
        <f ca="1">_xll.OneStop.ReportPlayer.OSRFunctions.OSRGet("GL_F_Trans","Value1")</f>
        <v>#NAME?</v>
      </c>
      <c r="I22" s="3"/>
      <c r="J22" s="7" t="e">
        <f t="shared" ca="1" si="13"/>
        <v>#NAME?</v>
      </c>
      <c r="K22" s="3"/>
      <c r="L22" s="8" t="e">
        <f t="shared" ca="1" si="14"/>
        <v>#NAME?</v>
      </c>
      <c r="M22" s="3"/>
      <c r="N22" s="7" t="e">
        <f t="shared" ca="1" si="15"/>
        <v>#NAME?</v>
      </c>
      <c r="O22" s="11"/>
      <c r="P22" s="8" t="e">
        <f ca="1">_xll.OneStop.ReportPlayer.OSRFunctions.OSRGet("GL_F_Trans","Value1")</f>
        <v>#NAME?</v>
      </c>
      <c r="Q22" s="3"/>
      <c r="R22" s="7" t="e">
        <f t="shared" ca="1" si="16"/>
        <v>#NAME?</v>
      </c>
      <c r="S22" s="3"/>
      <c r="T22" s="8" t="e">
        <f ca="1">_xll.OneStop.ReportPlayer.OSRFunctions.OSRGet("GL_F_Trans","Value1")</f>
        <v>#NAME?</v>
      </c>
      <c r="U22" s="3"/>
      <c r="V22" s="7" t="e">
        <f t="shared" ca="1" si="17"/>
        <v>#NAME?</v>
      </c>
      <c r="W22" s="3"/>
      <c r="X22" s="8" t="e">
        <f t="shared" ca="1" si="18"/>
        <v>#NAME?</v>
      </c>
      <c r="Y22" s="3"/>
      <c r="Z22" s="7" t="e">
        <f t="shared" ca="1" si="19"/>
        <v>#NAME?</v>
      </c>
    </row>
    <row r="23" spans="1:26" s="62" customFormat="1" x14ac:dyDescent="0.3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3">
      <c r="A24" s="10"/>
      <c r="B24" s="25" t="s">
        <v>293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3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3" t="e">
        <f ca="1">-_xll.OneStop.ReportPlayer.OSRFunctions.OSRGet("GL_F_Trans","Value1")</f>
        <v>#NAME?</v>
      </c>
      <c r="E25" s="3"/>
      <c r="F25" s="19" t="e">
        <f t="shared" ca="1" si="20"/>
        <v>#NAME?</v>
      </c>
      <c r="G25" s="3"/>
      <c r="H25" s="3" t="e">
        <f ca="1">_xll.OneStop.ReportPlayer.OSRFunctions.OSRGet("GL_F_Trans","Value1")</f>
        <v>#NAME?</v>
      </c>
      <c r="I25" s="3"/>
      <c r="J25" s="19" t="e">
        <f t="shared" ca="1" si="21"/>
        <v>#NAME?</v>
      </c>
      <c r="K25" s="3"/>
      <c r="L25" s="3" t="e">
        <f t="shared" ca="1" si="22"/>
        <v>#NAME?</v>
      </c>
      <c r="M25" s="3"/>
      <c r="N25" s="19" t="e">
        <f t="shared" ca="1" si="23"/>
        <v>#NAME?</v>
      </c>
      <c r="O25" s="11"/>
      <c r="P25" s="3" t="e">
        <f ca="1">-_xll.OneStop.ReportPlayer.OSRFunctions.OSRGet("GL_F_Trans","Value1")</f>
        <v>#NAME?</v>
      </c>
      <c r="Q25" s="3"/>
      <c r="R25" s="19" t="e">
        <f t="shared" ca="1" si="24"/>
        <v>#NAME?</v>
      </c>
      <c r="S25" s="3"/>
      <c r="T25" s="3" t="e">
        <f ca="1">_xll.OneStop.ReportPlayer.OSRFunctions.OSRGet("GL_F_Trans","Value1")</f>
        <v>#NAME?</v>
      </c>
      <c r="U25" s="3"/>
      <c r="V25" s="19" t="e">
        <f t="shared" ca="1" si="25"/>
        <v>#NAME?</v>
      </c>
      <c r="W25" s="3"/>
      <c r="X25" s="3" t="e">
        <f t="shared" ca="1" si="26"/>
        <v>#NAME?</v>
      </c>
      <c r="Y25" s="3"/>
      <c r="Z25" s="19" t="e">
        <f t="shared" ca="1" si="27"/>
        <v>#NAME?</v>
      </c>
    </row>
    <row r="26" spans="1:26" x14ac:dyDescent="0.3">
      <c r="A26" s="9"/>
      <c r="B26" s="10"/>
      <c r="C26" s="10"/>
      <c r="D26" s="2"/>
      <c r="E26" s="2"/>
      <c r="F26" s="6"/>
      <c r="G26" s="2"/>
      <c r="H26" s="2"/>
      <c r="I26" s="2"/>
      <c r="J26" s="6"/>
      <c r="K26" s="2"/>
      <c r="L26" s="2"/>
      <c r="M26" s="2"/>
      <c r="N26" s="6"/>
      <c r="O26" s="10"/>
      <c r="P26" s="2"/>
      <c r="Q26" s="2"/>
      <c r="R26" s="6"/>
      <c r="S26" s="2"/>
      <c r="T26" s="2"/>
      <c r="U26" s="2"/>
      <c r="V26" s="6"/>
      <c r="W26" s="2"/>
      <c r="X26" s="2"/>
      <c r="Y26" s="2"/>
      <c r="Z26" s="6"/>
    </row>
    <row r="27" spans="1:26" s="23" customFormat="1" x14ac:dyDescent="0.3">
      <c r="A27" s="10"/>
      <c r="B27" s="26" t="s">
        <v>277</v>
      </c>
      <c r="C27" s="26"/>
      <c r="D27" s="21" t="e">
        <f ca="1">+D18-D20+D24</f>
        <v>#NAME?</v>
      </c>
      <c r="E27" s="13"/>
      <c r="F27" s="22" t="e">
        <f ca="1">IF(D$12=0,0,D27/D$12)</f>
        <v>#NAME?</v>
      </c>
      <c r="G27" s="13"/>
      <c r="H27" s="21" t="e">
        <f ca="1">+H18-H20+H24</f>
        <v>#NAME?</v>
      </c>
      <c r="I27" s="13"/>
      <c r="J27" s="22" t="e">
        <f ca="1">IF(H$12=0,0,H27/H$12)</f>
        <v>#NAME?</v>
      </c>
      <c r="K27" s="16"/>
      <c r="L27" s="21" t="e">
        <f ca="1">+D27-H27</f>
        <v>#NAME?</v>
      </c>
      <c r="M27" s="16"/>
      <c r="N27" s="22" t="e">
        <f ca="1">IF(H27=0,0,L27/H27)</f>
        <v>#NAME?</v>
      </c>
      <c r="O27" s="25"/>
      <c r="P27" s="21" t="e">
        <f ca="1">+P18-P20+P24</f>
        <v>#NAME?</v>
      </c>
      <c r="Q27" s="13"/>
      <c r="R27" s="22" t="e">
        <f ca="1">IF(P$12=0,0,P27/P$12)</f>
        <v>#NAME?</v>
      </c>
      <c r="S27" s="13"/>
      <c r="T27" s="21" t="e">
        <f ca="1">+T18-T20+T24</f>
        <v>#NAME?</v>
      </c>
      <c r="U27" s="13"/>
      <c r="V27" s="22" t="e">
        <f ca="1">IF(T$12=0,0,T27/T$12)</f>
        <v>#NAME?</v>
      </c>
      <c r="W27" s="16"/>
      <c r="X27" s="21" t="e">
        <f ca="1">+P27-T27</f>
        <v>#NAME?</v>
      </c>
      <c r="Y27" s="16"/>
      <c r="Z27" s="22" t="e">
        <f ca="1">IF(T27=0,0,X27/T27)</f>
        <v>#NAME?</v>
      </c>
    </row>
    <row r="28" spans="1:26" x14ac:dyDescent="0.3">
      <c r="A28" s="9"/>
      <c r="B28" s="10"/>
      <c r="C28" s="9"/>
      <c r="D28" s="2"/>
      <c r="E28" s="2"/>
      <c r="F28" s="6"/>
      <c r="G28" s="2"/>
      <c r="H28" s="2"/>
      <c r="I28" s="2"/>
      <c r="J28" s="6"/>
      <c r="K28" s="2"/>
      <c r="L28" s="2"/>
      <c r="M28" s="2"/>
      <c r="N28" s="6"/>
      <c r="P28" s="2"/>
      <c r="Q28" s="2"/>
      <c r="R28" s="6"/>
      <c r="S28" s="2"/>
      <c r="T28" s="2"/>
      <c r="U28" s="2"/>
      <c r="V28" s="6"/>
      <c r="W28" s="2"/>
      <c r="X28" s="2"/>
      <c r="Y28" s="2"/>
      <c r="Z28" s="6"/>
    </row>
    <row r="29" spans="1:26" s="23" customFormat="1" x14ac:dyDescent="0.3">
      <c r="A29" s="52"/>
      <c r="B29" s="10" t="s">
        <v>128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3">
      <c r="A30" s="9"/>
      <c r="B30" s="10"/>
      <c r="C30" s="10"/>
      <c r="D30" s="2"/>
      <c r="E30" s="2"/>
      <c r="F30" s="6"/>
      <c r="G30" s="2"/>
      <c r="H30" s="2"/>
      <c r="I30" s="2"/>
      <c r="J30" s="6"/>
      <c r="K30" s="2"/>
      <c r="L30" s="2"/>
      <c r="M30" s="2"/>
      <c r="N30" s="6"/>
      <c r="O30" s="10"/>
      <c r="P30" s="2"/>
      <c r="Q30" s="2"/>
      <c r="R30" s="6"/>
      <c r="S30" s="2"/>
      <c r="T30" s="2"/>
      <c r="U30" s="2"/>
      <c r="V30" s="6"/>
      <c r="W30" s="2"/>
      <c r="X30" s="2"/>
      <c r="Y30" s="2"/>
      <c r="Z30" s="6"/>
    </row>
    <row r="31" spans="1:26" s="23" customFormat="1" ht="15" thickBot="1" x14ac:dyDescent="0.35">
      <c r="A31" s="10"/>
      <c r="B31" s="26" t="s">
        <v>126</v>
      </c>
      <c r="C31" s="26"/>
      <c r="D31" s="35" t="e">
        <f ca="1">+D27-D29</f>
        <v>#NAME?</v>
      </c>
      <c r="E31" s="13"/>
      <c r="F31" s="30" t="e">
        <f ca="1">IF(D$12=0,0,D31/D$12)</f>
        <v>#NAME?</v>
      </c>
      <c r="G31" s="13"/>
      <c r="H31" s="35" t="e">
        <f ca="1">+H27-H29</f>
        <v>#NAME?</v>
      </c>
      <c r="I31" s="13"/>
      <c r="J31" s="30" t="e">
        <f ca="1">IF(H$12=0,0,H31/H$12)</f>
        <v>#NAME?</v>
      </c>
      <c r="K31" s="16"/>
      <c r="L31" s="35" t="e">
        <f ca="1">D31-H31</f>
        <v>#NAME?</v>
      </c>
      <c r="M31" s="16"/>
      <c r="N31" s="30" t="e">
        <f ca="1">IF(H31=0,0,L31/H31)</f>
        <v>#NAME?</v>
      </c>
      <c r="O31" s="25"/>
      <c r="P31" s="35" t="e">
        <f ca="1">+P27-P29</f>
        <v>#NAME?</v>
      </c>
      <c r="Q31" s="13"/>
      <c r="R31" s="30" t="e">
        <f ca="1">IF(P$12=0,0,P31/P$12)</f>
        <v>#NAME?</v>
      </c>
      <c r="S31" s="13"/>
      <c r="T31" s="35" t="e">
        <f ca="1">+T27-T29</f>
        <v>#NAME?</v>
      </c>
      <c r="U31" s="13"/>
      <c r="V31" s="30" t="e">
        <f ca="1">IF(T$12=0,0,T31/T$12)</f>
        <v>#NAME?</v>
      </c>
      <c r="W31" s="16"/>
      <c r="X31" s="35" t="e">
        <f ca="1">P31-T31</f>
        <v>#NAME?</v>
      </c>
      <c r="Y31" s="16"/>
      <c r="Z31" s="30" t="e">
        <f ca="1">IF(T31=0,0,X31/T31)</f>
        <v>#NAME?</v>
      </c>
    </row>
    <row r="32" spans="1:26" ht="15" thickTop="1" x14ac:dyDescent="0.3">
      <c r="A32" s="9"/>
      <c r="B32" s="9"/>
      <c r="C32" s="9"/>
      <c r="D32" s="2"/>
      <c r="E32" s="2"/>
      <c r="F32" s="6"/>
      <c r="G32" s="2"/>
      <c r="H32" s="2"/>
      <c r="I32" s="2"/>
      <c r="J32" s="6"/>
      <c r="K32" s="2"/>
      <c r="L32" s="2"/>
      <c r="M32" s="2"/>
      <c r="N32" s="6"/>
      <c r="P32" s="2"/>
      <c r="Q32" s="2"/>
      <c r="R32" s="6"/>
      <c r="S32" s="2"/>
      <c r="T32" s="2"/>
      <c r="U32" s="2"/>
      <c r="V32" s="6"/>
      <c r="W32" s="2"/>
      <c r="X32" s="2"/>
      <c r="Y32" s="2"/>
      <c r="Z32" s="6"/>
    </row>
    <row r="33" spans="1:26" s="23" customFormat="1" x14ac:dyDescent="0.3">
      <c r="A33" s="52"/>
      <c r="B33" s="10" t="s">
        <v>184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3">
      <c r="A34" s="52"/>
      <c r="B34" s="10" t="s">
        <v>82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3">
      <c r="A35" s="9"/>
      <c r="B35" s="9"/>
      <c r="C35" s="9"/>
      <c r="D35" s="2"/>
      <c r="E35" s="2"/>
      <c r="F35" s="6"/>
      <c r="G35" s="2"/>
      <c r="H35" s="2"/>
      <c r="I35" s="2"/>
      <c r="J35" s="6"/>
      <c r="K35" s="2"/>
      <c r="L35" s="2"/>
      <c r="M35" s="2"/>
      <c r="N35" s="6"/>
      <c r="P35" s="2"/>
      <c r="Q35" s="2"/>
      <c r="R35" s="6"/>
      <c r="S35" s="2"/>
      <c r="T35" s="2"/>
      <c r="U35" s="2"/>
      <c r="V35" s="6"/>
      <c r="W35" s="2"/>
      <c r="X35" s="2"/>
      <c r="Y35" s="2"/>
      <c r="Z35" s="6"/>
    </row>
    <row r="36" spans="1:26" s="23" customFormat="1" ht="15" thickBot="1" x14ac:dyDescent="0.35">
      <c r="A36" s="10"/>
      <c r="B36" s="26" t="s">
        <v>294</v>
      </c>
      <c r="C36" s="26"/>
      <c r="D36" s="33" t="e">
        <f ca="1">SUM(D31:D35)</f>
        <v>#NAME?</v>
      </c>
      <c r="E36" s="13"/>
      <c r="F36" s="31" t="e">
        <f ca="1">IF(D$12=0,0,D36/D$12)</f>
        <v>#NAME?</v>
      </c>
      <c r="G36" s="13"/>
      <c r="H36" s="33" t="e">
        <f ca="1">SUM(H31:H35)</f>
        <v>#NAME?</v>
      </c>
      <c r="I36" s="13"/>
      <c r="J36" s="31" t="e">
        <f ca="1">IF(H$12=0,0,H36/H$12)</f>
        <v>#NAME?</v>
      </c>
      <c r="K36" s="16"/>
      <c r="L36" s="33" t="e">
        <f ca="1">+D36-H36</f>
        <v>#NAME?</v>
      </c>
      <c r="M36" s="16"/>
      <c r="N36" s="31" t="e">
        <f ca="1">IF(H36=0,0,L36/H36)</f>
        <v>#NAME?</v>
      </c>
      <c r="O36" s="25"/>
      <c r="P36" s="33" t="e">
        <f ca="1">SUM(P31:P35)</f>
        <v>#NAME?</v>
      </c>
      <c r="Q36" s="13"/>
      <c r="R36" s="31" t="e">
        <f ca="1">IF(P$12=0,0,P36/P$12)</f>
        <v>#NAME?</v>
      </c>
      <c r="S36" s="13"/>
      <c r="T36" s="33" t="e">
        <f ca="1">SUM(T31:T35)</f>
        <v>#NAME?</v>
      </c>
      <c r="U36" s="13"/>
      <c r="V36" s="31" t="e">
        <f ca="1">IF(T$12=0,0,T36/T$12)</f>
        <v>#NAME?</v>
      </c>
      <c r="W36" s="16"/>
      <c r="X36" s="33" t="e">
        <f ca="1">+P36-T36</f>
        <v>#NAME?</v>
      </c>
      <c r="Y36" s="16"/>
      <c r="Z36" s="31" t="e">
        <f ca="1">IF(T36=0,0,X36/T36)</f>
        <v>#NAME?</v>
      </c>
    </row>
    <row r="37" spans="1:26" ht="15" thickTop="1" x14ac:dyDescent="0.3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3">
      <c r="A38" s="9"/>
      <c r="B38" s="54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3">
      <c r="A39" s="9"/>
      <c r="B39" s="59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3">
      <c r="A40" s="9"/>
      <c r="B40" s="55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3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JL10002"/>
  <sheetViews>
    <sheetView workbookViewId="0"/>
  </sheetViews>
  <sheetFormatPr defaultRowHeight="14.4" x14ac:dyDescent="0.3"/>
  <cols>
    <col min="1" max="220" width="20.6640625" customWidth="1"/>
    <col min="221" max="221" width="20.6640625" style="67" customWidth="1"/>
    <col min="222" max="223" width="20.6640625" customWidth="1"/>
  </cols>
  <sheetData>
    <row r="1" spans="1:272" x14ac:dyDescent="0.3">
      <c r="D1">
        <v>4</v>
      </c>
    </row>
    <row r="2" spans="1:272" x14ac:dyDescent="0.3">
      <c r="JK2">
        <v>271</v>
      </c>
      <c r="JL2">
        <v>4</v>
      </c>
    </row>
    <row r="3" spans="1:272" ht="28.8" x14ac:dyDescent="0.3">
      <c r="A3" s="41" t="s">
        <v>239</v>
      </c>
      <c r="B3" s="41" t="s">
        <v>296</v>
      </c>
      <c r="C3" s="41" t="s">
        <v>0</v>
      </c>
      <c r="D3" s="41" t="s">
        <v>59</v>
      </c>
      <c r="E3" s="41" t="s">
        <v>83</v>
      </c>
      <c r="F3" s="41" t="s">
        <v>24</v>
      </c>
      <c r="G3" s="41" t="s">
        <v>129</v>
      </c>
      <c r="H3" s="41" t="s">
        <v>161</v>
      </c>
      <c r="I3" s="41" t="s">
        <v>109</v>
      </c>
      <c r="J3" s="41" t="s">
        <v>240</v>
      </c>
      <c r="K3" s="41" t="s">
        <v>130</v>
      </c>
      <c r="L3" s="41" t="s">
        <v>25</v>
      </c>
      <c r="M3" s="41" t="s">
        <v>60</v>
      </c>
      <c r="N3" s="41" t="s">
        <v>41</v>
      </c>
      <c r="O3" s="41" t="s">
        <v>61</v>
      </c>
      <c r="P3" s="41" t="s">
        <v>162</v>
      </c>
      <c r="Q3" s="41" t="s">
        <v>26</v>
      </c>
      <c r="R3" s="41" t="s">
        <v>185</v>
      </c>
      <c r="S3" s="41" t="s">
        <v>186</v>
      </c>
      <c r="T3" s="41" t="s">
        <v>201</v>
      </c>
      <c r="U3" s="41" t="s">
        <v>27</v>
      </c>
      <c r="V3" s="41" t="s">
        <v>241</v>
      </c>
      <c r="W3" s="41" t="s">
        <v>259</v>
      </c>
      <c r="X3" s="41" t="s">
        <v>202</v>
      </c>
      <c r="Y3" s="41" t="s">
        <v>187</v>
      </c>
      <c r="Z3" s="41" t="s">
        <v>1</v>
      </c>
      <c r="AA3" s="41" t="s">
        <v>279</v>
      </c>
      <c r="AB3" s="41" t="s">
        <v>131</v>
      </c>
      <c r="AC3" s="41" t="s">
        <v>111</v>
      </c>
      <c r="AD3" s="41" t="s">
        <v>42</v>
      </c>
      <c r="AE3" s="41" t="s">
        <v>84</v>
      </c>
      <c r="AF3" s="41" t="s">
        <v>43</v>
      </c>
      <c r="AG3" s="41" t="s">
        <v>220</v>
      </c>
      <c r="AH3" s="41" t="s">
        <v>163</v>
      </c>
      <c r="AI3" s="41" t="s">
        <v>203</v>
      </c>
      <c r="AJ3" s="41" t="s">
        <v>63</v>
      </c>
      <c r="AK3" s="41" t="s">
        <v>132</v>
      </c>
      <c r="AL3" s="41" t="s">
        <v>297</v>
      </c>
      <c r="AM3" s="41" t="s">
        <v>204</v>
      </c>
      <c r="AN3" s="41" t="s">
        <v>64</v>
      </c>
      <c r="AO3" s="41" t="s">
        <v>28</v>
      </c>
      <c r="AP3" s="41" t="s">
        <v>205</v>
      </c>
      <c r="AQ3" s="41" t="s">
        <v>65</v>
      </c>
      <c r="AR3" s="41" t="s">
        <v>260</v>
      </c>
      <c r="AS3" s="41" t="s">
        <v>221</v>
      </c>
      <c r="AT3" s="41" t="s">
        <v>3</v>
      </c>
      <c r="AU3" s="41" t="s">
        <v>280</v>
      </c>
      <c r="AV3" s="41" t="s">
        <v>141</v>
      </c>
      <c r="AW3" s="41" t="s">
        <v>4</v>
      </c>
      <c r="AX3" s="41" t="s">
        <v>85</v>
      </c>
      <c r="AY3" s="41" t="s">
        <v>298</v>
      </c>
      <c r="AZ3" s="41" t="s">
        <v>66</v>
      </c>
      <c r="BA3" s="41" t="s">
        <v>222</v>
      </c>
      <c r="BB3" s="41" t="s">
        <v>67</v>
      </c>
      <c r="BC3" s="41" t="s">
        <v>242</v>
      </c>
      <c r="BD3" s="41" t="s">
        <v>281</v>
      </c>
      <c r="BE3" s="41" t="s">
        <v>142</v>
      </c>
      <c r="BF3" s="41" t="s">
        <v>299</v>
      </c>
      <c r="BG3" s="41" t="s">
        <v>112</v>
      </c>
      <c r="BH3" s="41" t="s">
        <v>113</v>
      </c>
      <c r="BI3" s="41" t="s">
        <v>243</v>
      </c>
      <c r="BJ3" s="41" t="s">
        <v>223</v>
      </c>
      <c r="BK3" s="41" t="s">
        <v>68</v>
      </c>
      <c r="BL3" s="41" t="s">
        <v>164</v>
      </c>
      <c r="BM3" s="41" t="s">
        <v>282</v>
      </c>
      <c r="BN3" s="41" t="s">
        <v>224</v>
      </c>
      <c r="BO3" s="41" t="s">
        <v>300</v>
      </c>
      <c r="BP3" s="41" t="s">
        <v>143</v>
      </c>
      <c r="BQ3" s="41" t="s">
        <v>225</v>
      </c>
      <c r="BR3" s="41" t="s">
        <v>133</v>
      </c>
      <c r="BS3" s="41" t="s">
        <v>206</v>
      </c>
      <c r="BT3" s="41" t="s">
        <v>69</v>
      </c>
      <c r="BU3" s="41" t="s">
        <v>226</v>
      </c>
      <c r="BV3" s="41" t="s">
        <v>261</v>
      </c>
      <c r="BW3" s="41" t="s">
        <v>301</v>
      </c>
      <c r="BX3" s="41" t="s">
        <v>165</v>
      </c>
      <c r="BY3" s="41" t="s">
        <v>283</v>
      </c>
      <c r="BZ3" s="41" t="s">
        <v>144</v>
      </c>
      <c r="CA3" s="41" t="s">
        <v>5</v>
      </c>
      <c r="CB3" s="41" t="s">
        <v>114</v>
      </c>
      <c r="CC3" s="41" t="s">
        <v>207</v>
      </c>
      <c r="CD3" s="41" t="s">
        <v>44</v>
      </c>
      <c r="CE3" s="41" t="s">
        <v>227</v>
      </c>
      <c r="CF3" s="41" t="s">
        <v>45</v>
      </c>
      <c r="CG3" s="41" t="s">
        <v>284</v>
      </c>
      <c r="CH3" s="41" t="s">
        <v>188</v>
      </c>
      <c r="CI3" s="41" t="s">
        <v>134</v>
      </c>
      <c r="CJ3" s="41" t="s">
        <v>302</v>
      </c>
      <c r="CK3" s="41" t="s">
        <v>115</v>
      </c>
      <c r="CL3" s="41" t="s">
        <v>145</v>
      </c>
      <c r="CM3" s="41" t="s">
        <v>146</v>
      </c>
      <c r="CN3" s="41" t="s">
        <v>208</v>
      </c>
      <c r="CO3" s="41" t="s">
        <v>86</v>
      </c>
      <c r="CP3" s="41" t="s">
        <v>166</v>
      </c>
      <c r="CQ3" s="41" t="s">
        <v>303</v>
      </c>
      <c r="CR3" s="41" t="s">
        <v>135</v>
      </c>
      <c r="CS3" s="41" t="s">
        <v>285</v>
      </c>
      <c r="CT3" s="41" t="s">
        <v>167</v>
      </c>
      <c r="CU3" s="41" t="s">
        <v>228</v>
      </c>
      <c r="CV3" s="41" t="s">
        <v>168</v>
      </c>
      <c r="CW3" s="41" t="s">
        <v>116</v>
      </c>
      <c r="CX3" s="41" t="s">
        <v>46</v>
      </c>
      <c r="CY3" s="41" t="s">
        <v>244</v>
      </c>
      <c r="CZ3" s="41" t="s">
        <v>262</v>
      </c>
      <c r="DA3" s="41" t="s">
        <v>6</v>
      </c>
      <c r="DB3" s="41" t="s">
        <v>87</v>
      </c>
      <c r="DC3" s="41" t="s">
        <v>147</v>
      </c>
      <c r="DD3" s="41" t="s">
        <v>7</v>
      </c>
      <c r="DE3" s="41" t="s">
        <v>8</v>
      </c>
      <c r="DF3" s="41" t="s">
        <v>189</v>
      </c>
      <c r="DG3" s="41" t="s">
        <v>47</v>
      </c>
      <c r="DH3" s="41" t="s">
        <v>229</v>
      </c>
      <c r="DI3" s="41" t="s">
        <v>88</v>
      </c>
      <c r="DJ3" s="41" t="s">
        <v>70</v>
      </c>
      <c r="DK3" s="41" t="s">
        <v>29</v>
      </c>
      <c r="DL3" s="41" t="s">
        <v>30</v>
      </c>
      <c r="DM3" s="41" t="s">
        <v>304</v>
      </c>
      <c r="DN3" s="41" t="s">
        <v>169</v>
      </c>
      <c r="DO3" s="41" t="s">
        <v>136</v>
      </c>
      <c r="DP3" s="41" t="s">
        <v>209</v>
      </c>
      <c r="DQ3" s="41" t="s">
        <v>9</v>
      </c>
      <c r="DR3" s="41" t="s">
        <v>71</v>
      </c>
      <c r="DS3" s="41" t="s">
        <v>245</v>
      </c>
      <c r="DT3" s="41" t="s">
        <v>170</v>
      </c>
      <c r="DU3" s="41" t="s">
        <v>72</v>
      </c>
      <c r="DV3" s="41" t="s">
        <v>305</v>
      </c>
      <c r="DW3" s="41" t="s">
        <v>171</v>
      </c>
      <c r="DX3" s="41" t="s">
        <v>148</v>
      </c>
      <c r="DY3" s="41" t="s">
        <v>31</v>
      </c>
      <c r="DZ3" s="41" t="s">
        <v>32</v>
      </c>
      <c r="EA3" s="41" t="s">
        <v>48</v>
      </c>
      <c r="EB3" s="41" t="s">
        <v>246</v>
      </c>
      <c r="EC3" s="41" t="s">
        <v>230</v>
      </c>
      <c r="ED3" s="41" t="s">
        <v>89</v>
      </c>
      <c r="EE3" s="41" t="s">
        <v>190</v>
      </c>
      <c r="EF3" s="41" t="s">
        <v>33</v>
      </c>
      <c r="EG3" s="41" t="s">
        <v>10</v>
      </c>
      <c r="EH3" s="41" t="s">
        <v>306</v>
      </c>
      <c r="EI3" s="41" t="s">
        <v>149</v>
      </c>
      <c r="EJ3" s="41" t="s">
        <v>49</v>
      </c>
      <c r="EK3" s="41" t="s">
        <v>11</v>
      </c>
      <c r="EL3" s="41" t="s">
        <v>90</v>
      </c>
      <c r="EM3" s="41" t="s">
        <v>73</v>
      </c>
      <c r="EN3" s="41" t="s">
        <v>210</v>
      </c>
      <c r="EO3" s="41" t="s">
        <v>231</v>
      </c>
      <c r="EP3" s="41" t="s">
        <v>286</v>
      </c>
      <c r="EQ3" s="41" t="s">
        <v>172</v>
      </c>
      <c r="ER3" s="41" t="s">
        <v>150</v>
      </c>
      <c r="ES3" s="41" t="s">
        <v>247</v>
      </c>
      <c r="ET3" s="41" t="s">
        <v>74</v>
      </c>
      <c r="EU3" s="41" t="s">
        <v>263</v>
      </c>
      <c r="EV3" s="41" t="s">
        <v>264</v>
      </c>
      <c r="EW3" s="41" t="s">
        <v>232</v>
      </c>
      <c r="EX3" s="41" t="s">
        <v>307</v>
      </c>
      <c r="EY3" s="41" t="s">
        <v>248</v>
      </c>
      <c r="EZ3" s="41" t="s">
        <v>249</v>
      </c>
      <c r="FA3" s="41" t="s">
        <v>34</v>
      </c>
      <c r="FB3" s="41" t="s">
        <v>308</v>
      </c>
      <c r="FC3" s="41" t="s">
        <v>50</v>
      </c>
      <c r="FD3" s="41" t="s">
        <v>91</v>
      </c>
      <c r="FE3" s="41" t="s">
        <v>233</v>
      </c>
      <c r="FF3" s="41" t="s">
        <v>117</v>
      </c>
      <c r="FG3" s="41" t="s">
        <v>92</v>
      </c>
      <c r="FH3" s="41" t="s">
        <v>93</v>
      </c>
      <c r="FI3" s="41" t="s">
        <v>265</v>
      </c>
      <c r="FJ3" s="41" t="s">
        <v>191</v>
      </c>
      <c r="FK3" s="41" t="s">
        <v>192</v>
      </c>
      <c r="FL3" s="41" t="s">
        <v>173</v>
      </c>
      <c r="FM3" s="41" t="s">
        <v>151</v>
      </c>
      <c r="FN3" s="41" t="s">
        <v>118</v>
      </c>
      <c r="FO3" s="41" t="s">
        <v>174</v>
      </c>
      <c r="FP3" s="41" t="s">
        <v>266</v>
      </c>
      <c r="FQ3" s="41" t="s">
        <v>250</v>
      </c>
      <c r="FR3" s="41" t="s">
        <v>211</v>
      </c>
      <c r="FS3" s="41" t="s">
        <v>287</v>
      </c>
      <c r="FT3" s="41" t="s">
        <v>152</v>
      </c>
      <c r="FU3" s="41" t="s">
        <v>12</v>
      </c>
      <c r="FV3" s="41" t="s">
        <v>193</v>
      </c>
      <c r="FW3" s="41" t="s">
        <v>94</v>
      </c>
      <c r="FX3" s="41" t="s">
        <v>153</v>
      </c>
      <c r="FY3" s="41" t="s">
        <v>175</v>
      </c>
      <c r="FZ3" s="41" t="s">
        <v>95</v>
      </c>
      <c r="GA3" s="41" t="s">
        <v>267</v>
      </c>
      <c r="GB3" s="41" t="s">
        <v>35</v>
      </c>
      <c r="GC3" s="41" t="s">
        <v>36</v>
      </c>
      <c r="GD3" s="41" t="s">
        <v>288</v>
      </c>
      <c r="GE3" s="41" t="s">
        <v>119</v>
      </c>
      <c r="GF3" s="41" t="s">
        <v>234</v>
      </c>
      <c r="GG3" s="41" t="s">
        <v>194</v>
      </c>
      <c r="GH3" s="41" t="s">
        <v>195</v>
      </c>
      <c r="GI3" s="41" t="s">
        <v>268</v>
      </c>
      <c r="GJ3" s="41" t="s">
        <v>137</v>
      </c>
      <c r="GK3" s="41" t="s">
        <v>37</v>
      </c>
      <c r="GL3" s="41" t="s">
        <v>75</v>
      </c>
      <c r="GM3" s="41" t="s">
        <v>120</v>
      </c>
      <c r="GN3" s="41" t="s">
        <v>13</v>
      </c>
      <c r="GO3" s="41" t="s">
        <v>309</v>
      </c>
      <c r="GP3" s="41" t="s">
        <v>212</v>
      </c>
      <c r="GQ3" s="41" t="s">
        <v>76</v>
      </c>
      <c r="GR3" s="41" t="s">
        <v>176</v>
      </c>
      <c r="GS3" s="41" t="s">
        <v>154</v>
      </c>
      <c r="GT3" s="41" t="s">
        <v>121</v>
      </c>
      <c r="GU3" s="41" t="s">
        <v>251</v>
      </c>
      <c r="GV3" s="41" t="s">
        <v>51</v>
      </c>
      <c r="GW3" s="41" t="s">
        <v>14</v>
      </c>
      <c r="GX3" s="41" t="s">
        <v>310</v>
      </c>
      <c r="GY3" s="41" t="s">
        <v>96</v>
      </c>
      <c r="GZ3" s="41" t="s">
        <v>269</v>
      </c>
      <c r="HA3" s="41" t="s">
        <v>177</v>
      </c>
      <c r="HB3" s="41" t="s">
        <v>213</v>
      </c>
      <c r="HC3" s="41" t="s">
        <v>252</v>
      </c>
      <c r="HD3" s="41" t="s">
        <v>155</v>
      </c>
      <c r="HE3" s="41" t="s">
        <v>15</v>
      </c>
      <c r="HF3" s="41" t="s">
        <v>97</v>
      </c>
      <c r="HG3" s="41" t="s">
        <v>98</v>
      </c>
      <c r="HH3" s="41" t="s">
        <v>52</v>
      </c>
      <c r="HI3" s="41" t="s">
        <v>122</v>
      </c>
      <c r="HJ3" s="41" t="s">
        <v>270</v>
      </c>
      <c r="HK3" s="41"/>
      <c r="HL3" s="41" t="s">
        <v>2</v>
      </c>
      <c r="HM3" s="66"/>
      <c r="HN3" s="41" t="s">
        <v>278</v>
      </c>
      <c r="HO3" s="41" t="s">
        <v>110</v>
      </c>
      <c r="HP3" t="s">
        <v>62</v>
      </c>
      <c r="JK3" s="41" t="s">
        <v>16</v>
      </c>
      <c r="JL3" s="41" t="s">
        <v>156</v>
      </c>
    </row>
    <row r="10001" spans="271:272" x14ac:dyDescent="0.3">
      <c r="JK10001">
        <v>271</v>
      </c>
      <c r="JL10001">
        <v>10003</v>
      </c>
    </row>
    <row r="10002" spans="271:272" ht="43.2" x14ac:dyDescent="0.3">
      <c r="JK10002" s="41" t="s">
        <v>77</v>
      </c>
      <c r="JL10002" s="41" t="s">
        <v>157</v>
      </c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50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7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50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7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7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7" customWidth="1" outlineLevel="1"/>
  </cols>
  <sheetData>
    <row r="2" spans="1:26" x14ac:dyDescent="0.3">
      <c r="D2" s="57" t="s">
        <v>23</v>
      </c>
    </row>
    <row r="3" spans="1:26" x14ac:dyDescent="0.3">
      <c r="D3" s="57" t="s">
        <v>237</v>
      </c>
      <c r="E3" s="17"/>
      <c r="F3" s="51"/>
      <c r="G3" s="17"/>
      <c r="H3" s="17"/>
      <c r="I3" s="17"/>
      <c r="J3" s="39"/>
      <c r="K3" s="17"/>
      <c r="L3" s="17"/>
      <c r="M3" s="17"/>
      <c r="N3" s="51"/>
      <c r="O3" s="61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3">
      <c r="D4" s="57" t="e">
        <f ca="1">CONCATENATE("Period ",RIGHT(_xll.OneStop.ReportPlayer.OSRFunctions.OSRGet("Period","PeriodId"),2),", ",_xll.OneStop.ReportPlayer.OSRFunctions.OSRGet("Period","Year"))</f>
        <v>#NAME?</v>
      </c>
      <c r="E4" s="17"/>
      <c r="F4" s="51"/>
      <c r="G4" s="17"/>
      <c r="H4" s="17"/>
      <c r="I4" s="17"/>
      <c r="J4" s="39"/>
      <c r="K4" s="17"/>
      <c r="L4" s="17"/>
      <c r="M4" s="17"/>
      <c r="N4" s="51"/>
      <c r="O4" s="61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3">
      <c r="A5" s="23"/>
      <c r="D5" s="65" t="e">
        <f ca="1">_xll.OneStop.ReportPlayer.OSRFunctions.OSRGet("Period","PeriodEnd")</f>
        <v>#NAME?</v>
      </c>
      <c r="E5" s="17"/>
      <c r="F5" s="51"/>
      <c r="G5" s="17"/>
      <c r="H5" s="17"/>
      <c r="I5" s="17"/>
      <c r="J5" s="39"/>
      <c r="K5" s="17"/>
      <c r="L5" s="17"/>
      <c r="M5" s="17"/>
      <c r="N5" s="51"/>
      <c r="O5" s="61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3">
      <c r="A6" s="23"/>
      <c r="B6" s="47"/>
      <c r="C6" s="47"/>
      <c r="D6" s="23" t="s">
        <v>21</v>
      </c>
      <c r="E6" s="17"/>
      <c r="F6" s="51"/>
      <c r="G6" s="17"/>
      <c r="H6" s="17"/>
      <c r="I6" s="17"/>
      <c r="J6" s="39"/>
      <c r="K6" s="17"/>
      <c r="L6" s="17"/>
      <c r="M6" s="17"/>
      <c r="N6" s="51"/>
      <c r="O6" s="60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3">
      <c r="B7" s="63"/>
    </row>
    <row r="8" spans="1:26" x14ac:dyDescent="0.3">
      <c r="B8" s="63"/>
    </row>
    <row r="9" spans="1:26" x14ac:dyDescent="0.3">
      <c r="B9" s="9"/>
      <c r="C9" s="9"/>
      <c r="D9" s="15" t="s">
        <v>292</v>
      </c>
      <c r="E9" s="15"/>
      <c r="F9" s="38"/>
      <c r="G9" s="15"/>
      <c r="H9" s="15"/>
      <c r="I9" s="15"/>
      <c r="J9" s="49"/>
      <c r="K9" s="15"/>
      <c r="L9" s="15"/>
      <c r="M9" s="15"/>
      <c r="N9" s="38"/>
      <c r="P9" s="15" t="s">
        <v>39</v>
      </c>
      <c r="Q9" s="15"/>
      <c r="R9" s="38"/>
      <c r="S9" s="15"/>
      <c r="T9" s="15"/>
      <c r="U9" s="15"/>
      <c r="V9" s="49"/>
      <c r="W9" s="15"/>
      <c r="X9" s="15"/>
      <c r="Y9" s="15"/>
      <c r="Z9" s="38"/>
    </row>
    <row r="10" spans="1:26" x14ac:dyDescent="0.3">
      <c r="A10" s="10"/>
      <c r="B10" s="53"/>
      <c r="C10" s="10"/>
      <c r="D10" s="42" t="s">
        <v>57</v>
      </c>
      <c r="E10" s="34"/>
      <c r="F10" s="40" t="s">
        <v>40</v>
      </c>
      <c r="G10" s="34"/>
      <c r="H10" s="45" t="s">
        <v>238</v>
      </c>
      <c r="I10" s="34"/>
      <c r="J10" s="48" t="s">
        <v>58</v>
      </c>
      <c r="K10" s="10"/>
      <c r="L10" s="42" t="s">
        <v>127</v>
      </c>
      <c r="M10" s="10"/>
      <c r="N10" s="40" t="s">
        <v>258</v>
      </c>
      <c r="O10" s="10"/>
      <c r="P10" s="56" t="s">
        <v>57</v>
      </c>
      <c r="Q10" s="34"/>
      <c r="R10" s="40" t="s">
        <v>40</v>
      </c>
      <c r="S10" s="34"/>
      <c r="T10" s="45" t="s">
        <v>238</v>
      </c>
      <c r="U10" s="34"/>
      <c r="V10" s="48" t="s">
        <v>58</v>
      </c>
      <c r="W10" s="10"/>
      <c r="X10" s="42" t="s">
        <v>127</v>
      </c>
      <c r="Y10" s="10"/>
      <c r="Z10" s="40" t="s">
        <v>258</v>
      </c>
    </row>
    <row r="11" spans="1:26" ht="15.6" x14ac:dyDescent="0.3">
      <c r="A11" s="9"/>
      <c r="B11" s="58"/>
      <c r="C11" s="9"/>
      <c r="D11" s="9"/>
      <c r="E11" s="9"/>
      <c r="F11" s="6"/>
      <c r="G11" s="9"/>
      <c r="H11" s="9"/>
      <c r="I11" s="9"/>
      <c r="J11" s="46"/>
      <c r="K11" s="9"/>
      <c r="L11" s="9"/>
      <c r="M11" s="9"/>
      <c r="N11" s="6"/>
      <c r="P11" s="9"/>
      <c r="Q11" s="9"/>
      <c r="R11" s="6"/>
      <c r="S11" s="9"/>
      <c r="T11" s="9"/>
      <c r="U11" s="9"/>
      <c r="V11" s="46"/>
      <c r="W11" s="9"/>
      <c r="X11" s="9"/>
      <c r="Y11" s="9"/>
      <c r="Z11" s="6"/>
    </row>
    <row r="12" spans="1:26" s="23" customFormat="1" collapsed="1" x14ac:dyDescent="0.3">
      <c r="A12" s="10"/>
      <c r="B12" s="25" t="s">
        <v>140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3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3" t="e">
        <f ca="1">-_xll.OneStop.ReportPlayer.OSRFunctions.OSRGet("GL_F_Trans","Value1")</f>
        <v>#NAME?</v>
      </c>
      <c r="E13" s="3"/>
      <c r="F13" s="19"/>
      <c r="G13" s="3"/>
      <c r="H13" s="3" t="e">
        <f ca="1">_xll.OneStop.ReportPlayer.OSRFunctions.OSRGet("GL_F_Trans","Value1")</f>
        <v>#NAME?</v>
      </c>
      <c r="I13" s="3"/>
      <c r="J13" s="19"/>
      <c r="K13" s="3"/>
      <c r="L13" s="3" t="e">
        <f t="shared" ca="1" si="0"/>
        <v>#NAME?</v>
      </c>
      <c r="M13" s="3"/>
      <c r="N13" s="19" t="e">
        <f t="shared" ca="1" si="1"/>
        <v>#NAME?</v>
      </c>
      <c r="O13" s="11"/>
      <c r="P13" s="3" t="e">
        <f ca="1">-_xll.OneStop.ReportPlayer.OSRFunctions.OSRGet("GL_F_Trans","Value1")</f>
        <v>#NAME?</v>
      </c>
      <c r="Q13" s="3"/>
      <c r="R13" s="19"/>
      <c r="S13" s="3"/>
      <c r="T13" s="3" t="e">
        <f ca="1">_xll.OneStop.ReportPlayer.OSRFunctions.OSRGet("GL_F_Trans","Value1")</f>
        <v>#NAME?</v>
      </c>
      <c r="U13" s="3"/>
      <c r="V13" s="19"/>
      <c r="W13" s="3"/>
      <c r="X13" s="3" t="e">
        <f t="shared" ca="1" si="2"/>
        <v>#NAME?</v>
      </c>
      <c r="Y13" s="3"/>
      <c r="Z13" s="19" t="e">
        <f t="shared" ca="1" si="3"/>
        <v>#NAME?</v>
      </c>
    </row>
    <row r="14" spans="1:26" x14ac:dyDescent="0.3">
      <c r="A14" s="9"/>
      <c r="B14" s="10"/>
      <c r="C14" s="9"/>
      <c r="D14" s="2"/>
      <c r="E14" s="2"/>
      <c r="F14" s="6"/>
      <c r="G14" s="2"/>
      <c r="H14" s="2"/>
      <c r="I14" s="2"/>
      <c r="J14" s="6"/>
      <c r="K14" s="2"/>
      <c r="L14" s="2"/>
      <c r="M14" s="2"/>
      <c r="N14" s="6"/>
      <c r="P14" s="2"/>
      <c r="Q14" s="2"/>
      <c r="R14" s="6"/>
      <c r="S14" s="2"/>
      <c r="T14" s="2"/>
      <c r="U14" s="2"/>
      <c r="V14" s="6"/>
      <c r="W14" s="2"/>
      <c r="X14" s="2"/>
      <c r="Y14" s="2"/>
      <c r="Z14" s="6"/>
    </row>
    <row r="15" spans="1:26" s="23" customFormat="1" collapsed="1" x14ac:dyDescent="0.3">
      <c r="A15" s="10"/>
      <c r="B15" s="25" t="s">
        <v>257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3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3" t="e">
        <f ca="1">_xll.OneStop.ReportPlayer.OSRFunctions.OSRGet("GL_F_Trans","Value1")</f>
        <v>#NAME?</v>
      </c>
      <c r="E16" s="3"/>
      <c r="F16" s="19" t="e">
        <f t="shared" ca="1" si="4"/>
        <v>#NAME?</v>
      </c>
      <c r="G16" s="3"/>
      <c r="H16" s="3" t="e">
        <f ca="1">_xll.OneStop.ReportPlayer.OSRFunctions.OSRGet("GL_F_Trans","Value1")</f>
        <v>#NAME?</v>
      </c>
      <c r="I16" s="3"/>
      <c r="J16" s="19" t="e">
        <f t="shared" ca="1" si="5"/>
        <v>#NAME?</v>
      </c>
      <c r="K16" s="3"/>
      <c r="L16" s="3" t="e">
        <f t="shared" ca="1" si="6"/>
        <v>#NAME?</v>
      </c>
      <c r="M16" s="3"/>
      <c r="N16" s="19" t="e">
        <f t="shared" ca="1" si="7"/>
        <v>#NAME?</v>
      </c>
      <c r="O16" s="11"/>
      <c r="P16" s="3" t="e">
        <f ca="1">_xll.OneStop.ReportPlayer.OSRFunctions.OSRGet("GL_F_Trans","Value1")</f>
        <v>#NAME?</v>
      </c>
      <c r="Q16" s="3"/>
      <c r="R16" s="19" t="e">
        <f t="shared" ca="1" si="8"/>
        <v>#NAME?</v>
      </c>
      <c r="S16" s="3"/>
      <c r="T16" s="3" t="e">
        <f ca="1">_xll.OneStop.ReportPlayer.OSRFunctions.OSRGet("GL_F_Trans","Value1")</f>
        <v>#NAME?</v>
      </c>
      <c r="U16" s="3"/>
      <c r="V16" s="19" t="e">
        <f t="shared" ca="1" si="9"/>
        <v>#NAME?</v>
      </c>
      <c r="W16" s="3"/>
      <c r="X16" s="3" t="e">
        <f t="shared" ca="1" si="10"/>
        <v>#NAME?</v>
      </c>
      <c r="Y16" s="3"/>
      <c r="Z16" s="19" t="e">
        <f t="shared" ca="1" si="11"/>
        <v>#NAME?</v>
      </c>
    </row>
    <row r="17" spans="1:26" x14ac:dyDescent="0.3">
      <c r="A17" s="9"/>
      <c r="B17" s="10"/>
      <c r="C17" s="10"/>
      <c r="D17" s="2"/>
      <c r="E17" s="2"/>
      <c r="F17" s="6"/>
      <c r="G17" s="2"/>
      <c r="H17" s="2"/>
      <c r="I17" s="2"/>
      <c r="J17" s="6"/>
      <c r="K17" s="2"/>
      <c r="L17" s="2"/>
      <c r="M17" s="2"/>
      <c r="N17" s="6"/>
      <c r="O17" s="10"/>
      <c r="P17" s="2"/>
      <c r="Q17" s="2"/>
      <c r="R17" s="6"/>
      <c r="S17" s="2"/>
      <c r="T17" s="2"/>
      <c r="U17" s="2"/>
      <c r="V17" s="6"/>
      <c r="W17" s="2"/>
      <c r="X17" s="2"/>
      <c r="Y17" s="2"/>
      <c r="Z17" s="6"/>
    </row>
    <row r="18" spans="1:26" s="23" customFormat="1" x14ac:dyDescent="0.3">
      <c r="A18" s="10"/>
      <c r="B18" s="26" t="s">
        <v>108</v>
      </c>
      <c r="C18" s="26"/>
      <c r="D18" s="21" t="e">
        <f ca="1">D12-D15</f>
        <v>#NAME?</v>
      </c>
      <c r="E18" s="13"/>
      <c r="F18" s="22" t="e">
        <f ca="1">IF(D$12=0,0,D18/D$12)</f>
        <v>#NAME?</v>
      </c>
      <c r="G18" s="13"/>
      <c r="H18" s="21" t="e">
        <f ca="1">H12-H15</f>
        <v>#NAME?</v>
      </c>
      <c r="I18" s="13"/>
      <c r="J18" s="22" t="e">
        <f ca="1">IF(H$12=0,0,H18/H$12)</f>
        <v>#NAME?</v>
      </c>
      <c r="K18" s="16"/>
      <c r="L18" s="21" t="e">
        <f ca="1">+D18-H18</f>
        <v>#NAME?</v>
      </c>
      <c r="M18" s="16"/>
      <c r="N18" s="22" t="e">
        <f ca="1">IF(H18=0,0,L18/H18)</f>
        <v>#NAME?</v>
      </c>
      <c r="O18" s="25"/>
      <c r="P18" s="21" t="e">
        <f ca="1">P12-P15</f>
        <v>#NAME?</v>
      </c>
      <c r="Q18" s="13"/>
      <c r="R18" s="22" t="e">
        <f ca="1">IF(P$12=0,0,P18/P$12)</f>
        <v>#NAME?</v>
      </c>
      <c r="S18" s="13"/>
      <c r="T18" s="21" t="e">
        <f ca="1">T12-T15</f>
        <v>#NAME?</v>
      </c>
      <c r="U18" s="13"/>
      <c r="V18" s="22" t="e">
        <f ca="1">IF(T$12=0,0,T18/T$12)</f>
        <v>#NAME?</v>
      </c>
      <c r="W18" s="16"/>
      <c r="X18" s="21" t="e">
        <f ca="1">+P18-T18</f>
        <v>#NAME?</v>
      </c>
      <c r="Y18" s="16"/>
      <c r="Z18" s="22" t="e">
        <f ca="1">IF(T18=0,0,X18/T18)</f>
        <v>#NAME?</v>
      </c>
    </row>
    <row r="19" spans="1:26" x14ac:dyDescent="0.3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">
      <c r="A20" s="10"/>
      <c r="B20" s="25" t="s">
        <v>295</v>
      </c>
      <c r="C20" s="10"/>
      <c r="D20" s="20" t="e">
        <f ca="1">SUM(_xll.OneStop.ReportPlayer.OSRFunctions.OSRRef(D22))</f>
        <v>#NAME?</v>
      </c>
      <c r="E20" s="20"/>
      <c r="F20" s="32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2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2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2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2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2" t="e">
        <f t="shared" ref="Z20:Z22" ca="1" si="19">IF(T20=0,0,X20/T20)</f>
        <v>#NAME?</v>
      </c>
    </row>
    <row r="21" spans="1:26" s="27" customFormat="1" outlineLevel="1" collapsed="1" x14ac:dyDescent="0.3">
      <c r="A21" s="28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3">
      <c r="A22" s="29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8" t="e">
        <f ca="1">_xll.OneStop.ReportPlayer.OSRFunctions.OSRGet("GL_F_Trans","Value1")</f>
        <v>#NAME?</v>
      </c>
      <c r="E22" s="3"/>
      <c r="F22" s="7" t="e">
        <f t="shared" ca="1" si="12"/>
        <v>#NAME?</v>
      </c>
      <c r="G22" s="3"/>
      <c r="H22" s="8" t="e">
        <f ca="1">_xll.OneStop.ReportPlayer.OSRFunctions.OSRGet("GL_F_Trans","Value1")</f>
        <v>#NAME?</v>
      </c>
      <c r="I22" s="3"/>
      <c r="J22" s="7" t="e">
        <f t="shared" ca="1" si="13"/>
        <v>#NAME?</v>
      </c>
      <c r="K22" s="3"/>
      <c r="L22" s="8" t="e">
        <f t="shared" ca="1" si="14"/>
        <v>#NAME?</v>
      </c>
      <c r="M22" s="3"/>
      <c r="N22" s="7" t="e">
        <f t="shared" ca="1" si="15"/>
        <v>#NAME?</v>
      </c>
      <c r="O22" s="11"/>
      <c r="P22" s="8" t="e">
        <f ca="1">_xll.OneStop.ReportPlayer.OSRFunctions.OSRGet("GL_F_Trans","Value1")</f>
        <v>#NAME?</v>
      </c>
      <c r="Q22" s="3"/>
      <c r="R22" s="7" t="e">
        <f t="shared" ca="1" si="16"/>
        <v>#NAME?</v>
      </c>
      <c r="S22" s="3"/>
      <c r="T22" s="8" t="e">
        <f ca="1">_xll.OneStop.ReportPlayer.OSRFunctions.OSRGet("GL_F_Trans","Value1")</f>
        <v>#NAME?</v>
      </c>
      <c r="U22" s="3"/>
      <c r="V22" s="7" t="e">
        <f t="shared" ca="1" si="17"/>
        <v>#NAME?</v>
      </c>
      <c r="W22" s="3"/>
      <c r="X22" s="8" t="e">
        <f t="shared" ca="1" si="18"/>
        <v>#NAME?</v>
      </c>
      <c r="Y22" s="3"/>
      <c r="Z22" s="7" t="e">
        <f t="shared" ca="1" si="19"/>
        <v>#NAME?</v>
      </c>
    </row>
    <row r="23" spans="1:26" s="62" customFormat="1" x14ac:dyDescent="0.3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3">
      <c r="A24" s="10"/>
      <c r="B24" s="25" t="s">
        <v>293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3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3" t="e">
        <f ca="1">-_xll.OneStop.ReportPlayer.OSRFunctions.OSRGet("GL_F_Trans","Value1")</f>
        <v>#NAME?</v>
      </c>
      <c r="E25" s="3"/>
      <c r="F25" s="19" t="e">
        <f t="shared" ca="1" si="20"/>
        <v>#NAME?</v>
      </c>
      <c r="G25" s="3"/>
      <c r="H25" s="3" t="e">
        <f ca="1">_xll.OneStop.ReportPlayer.OSRFunctions.OSRGet("GL_F_Trans","Value1")</f>
        <v>#NAME?</v>
      </c>
      <c r="I25" s="3"/>
      <c r="J25" s="19" t="e">
        <f t="shared" ca="1" si="21"/>
        <v>#NAME?</v>
      </c>
      <c r="K25" s="3"/>
      <c r="L25" s="3" t="e">
        <f t="shared" ca="1" si="22"/>
        <v>#NAME?</v>
      </c>
      <c r="M25" s="3"/>
      <c r="N25" s="19" t="e">
        <f t="shared" ca="1" si="23"/>
        <v>#NAME?</v>
      </c>
      <c r="O25" s="11"/>
      <c r="P25" s="3" t="e">
        <f ca="1">-_xll.OneStop.ReportPlayer.OSRFunctions.OSRGet("GL_F_Trans","Value1")</f>
        <v>#NAME?</v>
      </c>
      <c r="Q25" s="3"/>
      <c r="R25" s="19" t="e">
        <f t="shared" ca="1" si="24"/>
        <v>#NAME?</v>
      </c>
      <c r="S25" s="3"/>
      <c r="T25" s="3" t="e">
        <f ca="1">_xll.OneStop.ReportPlayer.OSRFunctions.OSRGet("GL_F_Trans","Value1")</f>
        <v>#NAME?</v>
      </c>
      <c r="U25" s="3"/>
      <c r="V25" s="19" t="e">
        <f t="shared" ca="1" si="25"/>
        <v>#NAME?</v>
      </c>
      <c r="W25" s="3"/>
      <c r="X25" s="3" t="e">
        <f t="shared" ca="1" si="26"/>
        <v>#NAME?</v>
      </c>
      <c r="Y25" s="3"/>
      <c r="Z25" s="19" t="e">
        <f t="shared" ca="1" si="27"/>
        <v>#NAME?</v>
      </c>
    </row>
    <row r="26" spans="1:26" x14ac:dyDescent="0.3">
      <c r="A26" s="9"/>
      <c r="B26" s="10"/>
      <c r="C26" s="10"/>
      <c r="D26" s="2"/>
      <c r="E26" s="2"/>
      <c r="F26" s="6"/>
      <c r="G26" s="2"/>
      <c r="H26" s="2"/>
      <c r="I26" s="2"/>
      <c r="J26" s="6"/>
      <c r="K26" s="2"/>
      <c r="L26" s="2"/>
      <c r="M26" s="2"/>
      <c r="N26" s="6"/>
      <c r="O26" s="10"/>
      <c r="P26" s="2"/>
      <c r="Q26" s="2"/>
      <c r="R26" s="6"/>
      <c r="S26" s="2"/>
      <c r="T26" s="2"/>
      <c r="U26" s="2"/>
      <c r="V26" s="6"/>
      <c r="W26" s="2"/>
      <c r="X26" s="2"/>
      <c r="Y26" s="2"/>
      <c r="Z26" s="6"/>
    </row>
    <row r="27" spans="1:26" s="23" customFormat="1" x14ac:dyDescent="0.3">
      <c r="A27" s="10"/>
      <c r="B27" s="26" t="s">
        <v>277</v>
      </c>
      <c r="C27" s="26"/>
      <c r="D27" s="21" t="e">
        <f ca="1">+D18-D20+D24</f>
        <v>#NAME?</v>
      </c>
      <c r="E27" s="13"/>
      <c r="F27" s="22" t="e">
        <f ca="1">IF(D$12=0,0,D27/D$12)</f>
        <v>#NAME?</v>
      </c>
      <c r="G27" s="13"/>
      <c r="H27" s="21" t="e">
        <f ca="1">+H18-H20+H24</f>
        <v>#NAME?</v>
      </c>
      <c r="I27" s="13"/>
      <c r="J27" s="22" t="e">
        <f ca="1">IF(H$12=0,0,H27/H$12)</f>
        <v>#NAME?</v>
      </c>
      <c r="K27" s="16"/>
      <c r="L27" s="21" t="e">
        <f ca="1">+D27-H27</f>
        <v>#NAME?</v>
      </c>
      <c r="M27" s="16"/>
      <c r="N27" s="22" t="e">
        <f ca="1">IF(H27=0,0,L27/H27)</f>
        <v>#NAME?</v>
      </c>
      <c r="O27" s="25"/>
      <c r="P27" s="21" t="e">
        <f ca="1">+P18-P20+P24</f>
        <v>#NAME?</v>
      </c>
      <c r="Q27" s="13"/>
      <c r="R27" s="22" t="e">
        <f ca="1">IF(P$12=0,0,P27/P$12)</f>
        <v>#NAME?</v>
      </c>
      <c r="S27" s="13"/>
      <c r="T27" s="21" t="e">
        <f ca="1">+T18-T20+T24</f>
        <v>#NAME?</v>
      </c>
      <c r="U27" s="13"/>
      <c r="V27" s="22" t="e">
        <f ca="1">IF(T$12=0,0,T27/T$12)</f>
        <v>#NAME?</v>
      </c>
      <c r="W27" s="16"/>
      <c r="X27" s="21" t="e">
        <f ca="1">+P27-T27</f>
        <v>#NAME?</v>
      </c>
      <c r="Y27" s="16"/>
      <c r="Z27" s="22" t="e">
        <f ca="1">IF(T27=0,0,X27/T27)</f>
        <v>#NAME?</v>
      </c>
    </row>
    <row r="28" spans="1:26" x14ac:dyDescent="0.3">
      <c r="A28" s="9"/>
      <c r="B28" s="10"/>
      <c r="C28" s="9"/>
      <c r="D28" s="2"/>
      <c r="E28" s="2"/>
      <c r="F28" s="6"/>
      <c r="G28" s="2"/>
      <c r="H28" s="2"/>
      <c r="I28" s="2"/>
      <c r="J28" s="6"/>
      <c r="K28" s="2"/>
      <c r="L28" s="2"/>
      <c r="M28" s="2"/>
      <c r="N28" s="6"/>
      <c r="P28" s="2"/>
      <c r="Q28" s="2"/>
      <c r="R28" s="6"/>
      <c r="S28" s="2"/>
      <c r="T28" s="2"/>
      <c r="U28" s="2"/>
      <c r="V28" s="6"/>
      <c r="W28" s="2"/>
      <c r="X28" s="2"/>
      <c r="Y28" s="2"/>
      <c r="Z28" s="6"/>
    </row>
    <row r="29" spans="1:26" s="23" customFormat="1" x14ac:dyDescent="0.3">
      <c r="A29" s="52"/>
      <c r="B29" s="10" t="s">
        <v>128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3">
      <c r="A30" s="9"/>
      <c r="B30" s="10"/>
      <c r="C30" s="10"/>
      <c r="D30" s="2"/>
      <c r="E30" s="2"/>
      <c r="F30" s="6"/>
      <c r="G30" s="2"/>
      <c r="H30" s="2"/>
      <c r="I30" s="2"/>
      <c r="J30" s="6"/>
      <c r="K30" s="2"/>
      <c r="L30" s="2"/>
      <c r="M30" s="2"/>
      <c r="N30" s="6"/>
      <c r="O30" s="10"/>
      <c r="P30" s="2"/>
      <c r="Q30" s="2"/>
      <c r="R30" s="6"/>
      <c r="S30" s="2"/>
      <c r="T30" s="2"/>
      <c r="U30" s="2"/>
      <c r="V30" s="6"/>
      <c r="W30" s="2"/>
      <c r="X30" s="2"/>
      <c r="Y30" s="2"/>
      <c r="Z30" s="6"/>
    </row>
    <row r="31" spans="1:26" s="23" customFormat="1" ht="15" thickBot="1" x14ac:dyDescent="0.35">
      <c r="A31" s="10"/>
      <c r="B31" s="26" t="s">
        <v>126</v>
      </c>
      <c r="C31" s="26"/>
      <c r="D31" s="35" t="e">
        <f ca="1">+D27-D29</f>
        <v>#NAME?</v>
      </c>
      <c r="E31" s="13"/>
      <c r="F31" s="30" t="e">
        <f ca="1">IF(D$12=0,0,D31/D$12)</f>
        <v>#NAME?</v>
      </c>
      <c r="G31" s="13"/>
      <c r="H31" s="35" t="e">
        <f ca="1">+H27-H29</f>
        <v>#NAME?</v>
      </c>
      <c r="I31" s="13"/>
      <c r="J31" s="30" t="e">
        <f ca="1">IF(H$12=0,0,H31/H$12)</f>
        <v>#NAME?</v>
      </c>
      <c r="K31" s="16"/>
      <c r="L31" s="35" t="e">
        <f ca="1">D31-H31</f>
        <v>#NAME?</v>
      </c>
      <c r="M31" s="16"/>
      <c r="N31" s="30" t="e">
        <f ca="1">IF(H31=0,0,L31/H31)</f>
        <v>#NAME?</v>
      </c>
      <c r="O31" s="25"/>
      <c r="P31" s="35" t="e">
        <f ca="1">+P27-P29</f>
        <v>#NAME?</v>
      </c>
      <c r="Q31" s="13"/>
      <c r="R31" s="30" t="e">
        <f ca="1">IF(P$12=0,0,P31/P$12)</f>
        <v>#NAME?</v>
      </c>
      <c r="S31" s="13"/>
      <c r="T31" s="35" t="e">
        <f ca="1">+T27-T29</f>
        <v>#NAME?</v>
      </c>
      <c r="U31" s="13"/>
      <c r="V31" s="30" t="e">
        <f ca="1">IF(T$12=0,0,T31/T$12)</f>
        <v>#NAME?</v>
      </c>
      <c r="W31" s="16"/>
      <c r="X31" s="35" t="e">
        <f ca="1">P31-T31</f>
        <v>#NAME?</v>
      </c>
      <c r="Y31" s="16"/>
      <c r="Z31" s="30" t="e">
        <f ca="1">IF(T31=0,0,X31/T31)</f>
        <v>#NAME?</v>
      </c>
    </row>
    <row r="32" spans="1:26" ht="15" thickTop="1" x14ac:dyDescent="0.3">
      <c r="A32" s="9"/>
      <c r="B32" s="9"/>
      <c r="C32" s="9"/>
      <c r="D32" s="2"/>
      <c r="E32" s="2"/>
      <c r="F32" s="6"/>
      <c r="G32" s="2"/>
      <c r="H32" s="2"/>
      <c r="I32" s="2"/>
      <c r="J32" s="6"/>
      <c r="K32" s="2"/>
      <c r="L32" s="2"/>
      <c r="M32" s="2"/>
      <c r="N32" s="6"/>
      <c r="P32" s="2"/>
      <c r="Q32" s="2"/>
      <c r="R32" s="6"/>
      <c r="S32" s="2"/>
      <c r="T32" s="2"/>
      <c r="U32" s="2"/>
      <c r="V32" s="6"/>
      <c r="W32" s="2"/>
      <c r="X32" s="2"/>
      <c r="Y32" s="2"/>
      <c r="Z32" s="6"/>
    </row>
    <row r="33" spans="1:26" s="23" customFormat="1" x14ac:dyDescent="0.3">
      <c r="A33" s="52"/>
      <c r="B33" s="10" t="s">
        <v>184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3">
      <c r="A34" s="52"/>
      <c r="B34" s="10" t="s">
        <v>82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3">
      <c r="A35" s="9"/>
      <c r="B35" s="9"/>
      <c r="C35" s="9"/>
      <c r="D35" s="2"/>
      <c r="E35" s="2"/>
      <c r="F35" s="6"/>
      <c r="G35" s="2"/>
      <c r="H35" s="2"/>
      <c r="I35" s="2"/>
      <c r="J35" s="6"/>
      <c r="K35" s="2"/>
      <c r="L35" s="2"/>
      <c r="M35" s="2"/>
      <c r="N35" s="6"/>
      <c r="P35" s="2"/>
      <c r="Q35" s="2"/>
      <c r="R35" s="6"/>
      <c r="S35" s="2"/>
      <c r="T35" s="2"/>
      <c r="U35" s="2"/>
      <c r="V35" s="6"/>
      <c r="W35" s="2"/>
      <c r="X35" s="2"/>
      <c r="Y35" s="2"/>
      <c r="Z35" s="6"/>
    </row>
    <row r="36" spans="1:26" s="23" customFormat="1" ht="15" thickBot="1" x14ac:dyDescent="0.35">
      <c r="A36" s="10"/>
      <c r="B36" s="26" t="s">
        <v>294</v>
      </c>
      <c r="C36" s="26"/>
      <c r="D36" s="33" t="e">
        <f ca="1">SUM(D31:D35)</f>
        <v>#NAME?</v>
      </c>
      <c r="E36" s="13"/>
      <c r="F36" s="31" t="e">
        <f ca="1">IF(D$12=0,0,D36/D$12)</f>
        <v>#NAME?</v>
      </c>
      <c r="G36" s="13"/>
      <c r="H36" s="33" t="e">
        <f ca="1">SUM(H31:H35)</f>
        <v>#NAME?</v>
      </c>
      <c r="I36" s="13"/>
      <c r="J36" s="31" t="e">
        <f ca="1">IF(H$12=0,0,H36/H$12)</f>
        <v>#NAME?</v>
      </c>
      <c r="K36" s="16"/>
      <c r="L36" s="33" t="e">
        <f ca="1">+D36-H36</f>
        <v>#NAME?</v>
      </c>
      <c r="M36" s="16"/>
      <c r="N36" s="31" t="e">
        <f ca="1">IF(H36=0,0,L36/H36)</f>
        <v>#NAME?</v>
      </c>
      <c r="O36" s="25"/>
      <c r="P36" s="33" t="e">
        <f ca="1">SUM(P31:P35)</f>
        <v>#NAME?</v>
      </c>
      <c r="Q36" s="13"/>
      <c r="R36" s="31" t="e">
        <f ca="1">IF(P$12=0,0,P36/P$12)</f>
        <v>#NAME?</v>
      </c>
      <c r="S36" s="13"/>
      <c r="T36" s="33" t="e">
        <f ca="1">SUM(T31:T35)</f>
        <v>#NAME?</v>
      </c>
      <c r="U36" s="13"/>
      <c r="V36" s="31" t="e">
        <f ca="1">IF(T$12=0,0,T36/T$12)</f>
        <v>#NAME?</v>
      </c>
      <c r="W36" s="16"/>
      <c r="X36" s="33" t="e">
        <f ca="1">+P36-T36</f>
        <v>#NAME?</v>
      </c>
      <c r="Y36" s="16"/>
      <c r="Z36" s="31" t="e">
        <f ca="1">IF(T36=0,0,X36/T36)</f>
        <v>#NAME?</v>
      </c>
    </row>
    <row r="37" spans="1:26" ht="15" thickTop="1" x14ac:dyDescent="0.3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3">
      <c r="A38" s="9"/>
      <c r="B38" s="54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3">
      <c r="A39" s="9"/>
      <c r="B39" s="59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3">
      <c r="A40" s="9"/>
      <c r="B40" s="55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3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50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7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50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7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7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7" customWidth="1" outlineLevel="1"/>
  </cols>
  <sheetData>
    <row r="2" spans="1:26" x14ac:dyDescent="0.3">
      <c r="D2" s="57" t="s">
        <v>23</v>
      </c>
    </row>
    <row r="3" spans="1:26" x14ac:dyDescent="0.3">
      <c r="D3" s="57" t="s">
        <v>237</v>
      </c>
      <c r="E3" s="17"/>
      <c r="F3" s="51"/>
      <c r="G3" s="17"/>
      <c r="H3" s="17"/>
      <c r="I3" s="17"/>
      <c r="J3" s="39"/>
      <c r="K3" s="17"/>
      <c r="L3" s="17"/>
      <c r="M3" s="17"/>
      <c r="N3" s="51"/>
      <c r="O3" s="61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3">
      <c r="D4" s="57" t="e">
        <f ca="1">CONCATENATE("Period ",RIGHT(_xll.OneStop.ReportPlayer.OSRFunctions.OSRGet("Period","PeriodId"),2),", ",_xll.OneStop.ReportPlayer.OSRFunctions.OSRGet("Period","Year"))</f>
        <v>#NAME?</v>
      </c>
      <c r="E4" s="17"/>
      <c r="F4" s="51"/>
      <c r="G4" s="17"/>
      <c r="H4" s="17"/>
      <c r="I4" s="17"/>
      <c r="J4" s="39"/>
      <c r="K4" s="17"/>
      <c r="L4" s="17"/>
      <c r="M4" s="17"/>
      <c r="N4" s="51"/>
      <c r="O4" s="61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3">
      <c r="A5" s="23"/>
      <c r="D5" s="65" t="e">
        <f ca="1">_xll.OneStop.ReportPlayer.OSRFunctions.OSRGet("Period","PeriodEnd")</f>
        <v>#NAME?</v>
      </c>
      <c r="E5" s="17"/>
      <c r="F5" s="51"/>
      <c r="G5" s="17"/>
      <c r="H5" s="17"/>
      <c r="I5" s="17"/>
      <c r="J5" s="39"/>
      <c r="K5" s="17"/>
      <c r="L5" s="17"/>
      <c r="M5" s="17"/>
      <c r="N5" s="51"/>
      <c r="O5" s="61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3">
      <c r="A6" s="23"/>
      <c r="B6" s="47"/>
      <c r="C6" s="47"/>
      <c r="D6" s="23" t="s">
        <v>21</v>
      </c>
      <c r="E6" s="17"/>
      <c r="F6" s="51"/>
      <c r="G6" s="17"/>
      <c r="H6" s="17"/>
      <c r="I6" s="17"/>
      <c r="J6" s="39"/>
      <c r="K6" s="17"/>
      <c r="L6" s="17"/>
      <c r="M6" s="17"/>
      <c r="N6" s="51"/>
      <c r="O6" s="60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3">
      <c r="B7" s="63"/>
    </row>
    <row r="8" spans="1:26" x14ac:dyDescent="0.3">
      <c r="B8" s="63"/>
    </row>
    <row r="9" spans="1:26" x14ac:dyDescent="0.3">
      <c r="B9" s="9"/>
      <c r="C9" s="9"/>
      <c r="D9" s="15" t="s">
        <v>292</v>
      </c>
      <c r="E9" s="15"/>
      <c r="F9" s="38"/>
      <c r="G9" s="15"/>
      <c r="H9" s="15"/>
      <c r="I9" s="15"/>
      <c r="J9" s="49"/>
      <c r="K9" s="15"/>
      <c r="L9" s="15"/>
      <c r="M9" s="15"/>
      <c r="N9" s="38"/>
      <c r="P9" s="15" t="s">
        <v>39</v>
      </c>
      <c r="Q9" s="15"/>
      <c r="R9" s="38"/>
      <c r="S9" s="15"/>
      <c r="T9" s="15"/>
      <c r="U9" s="15"/>
      <c r="V9" s="49"/>
      <c r="W9" s="15"/>
      <c r="X9" s="15"/>
      <c r="Y9" s="15"/>
      <c r="Z9" s="38"/>
    </row>
    <row r="10" spans="1:26" x14ac:dyDescent="0.3">
      <c r="A10" s="10"/>
      <c r="B10" s="53"/>
      <c r="C10" s="10"/>
      <c r="D10" s="42" t="s">
        <v>57</v>
      </c>
      <c r="E10" s="34"/>
      <c r="F10" s="40" t="s">
        <v>40</v>
      </c>
      <c r="G10" s="34"/>
      <c r="H10" s="45" t="s">
        <v>238</v>
      </c>
      <c r="I10" s="34"/>
      <c r="J10" s="48" t="s">
        <v>58</v>
      </c>
      <c r="K10" s="10"/>
      <c r="L10" s="42" t="s">
        <v>127</v>
      </c>
      <c r="M10" s="10"/>
      <c r="N10" s="40" t="s">
        <v>258</v>
      </c>
      <c r="O10" s="10"/>
      <c r="P10" s="56" t="s">
        <v>57</v>
      </c>
      <c r="Q10" s="34"/>
      <c r="R10" s="40" t="s">
        <v>40</v>
      </c>
      <c r="S10" s="34"/>
      <c r="T10" s="45" t="s">
        <v>238</v>
      </c>
      <c r="U10" s="34"/>
      <c r="V10" s="48" t="s">
        <v>58</v>
      </c>
      <c r="W10" s="10"/>
      <c r="X10" s="42" t="s">
        <v>127</v>
      </c>
      <c r="Y10" s="10"/>
      <c r="Z10" s="40" t="s">
        <v>258</v>
      </c>
    </row>
    <row r="11" spans="1:26" ht="15.6" x14ac:dyDescent="0.3">
      <c r="A11" s="9"/>
      <c r="B11" s="58"/>
      <c r="C11" s="9"/>
      <c r="D11" s="9"/>
      <c r="E11" s="9"/>
      <c r="F11" s="6"/>
      <c r="G11" s="9"/>
      <c r="H11" s="9"/>
      <c r="I11" s="9"/>
      <c r="J11" s="46"/>
      <c r="K11" s="9"/>
      <c r="L11" s="9"/>
      <c r="M11" s="9"/>
      <c r="N11" s="6"/>
      <c r="P11" s="9"/>
      <c r="Q11" s="9"/>
      <c r="R11" s="6"/>
      <c r="S11" s="9"/>
      <c r="T11" s="9"/>
      <c r="U11" s="9"/>
      <c r="V11" s="46"/>
      <c r="W11" s="9"/>
      <c r="X11" s="9"/>
      <c r="Y11" s="9"/>
      <c r="Z11" s="6"/>
    </row>
    <row r="12" spans="1:26" s="23" customFormat="1" collapsed="1" x14ac:dyDescent="0.3">
      <c r="A12" s="10"/>
      <c r="B12" s="25" t="s">
        <v>140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3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3" t="e">
        <f ca="1">-_xll.OneStop.ReportPlayer.OSRFunctions.OSRGet("GL_F_Trans","Value1")</f>
        <v>#NAME?</v>
      </c>
      <c r="E13" s="3"/>
      <c r="F13" s="19"/>
      <c r="G13" s="3"/>
      <c r="H13" s="3" t="e">
        <f ca="1">_xll.OneStop.ReportPlayer.OSRFunctions.OSRGet("GL_F_Trans","Value1")</f>
        <v>#NAME?</v>
      </c>
      <c r="I13" s="3"/>
      <c r="J13" s="19"/>
      <c r="K13" s="3"/>
      <c r="L13" s="3" t="e">
        <f t="shared" ca="1" si="0"/>
        <v>#NAME?</v>
      </c>
      <c r="M13" s="3"/>
      <c r="N13" s="19" t="e">
        <f t="shared" ca="1" si="1"/>
        <v>#NAME?</v>
      </c>
      <c r="O13" s="11"/>
      <c r="P13" s="3" t="e">
        <f ca="1">-_xll.OneStop.ReportPlayer.OSRFunctions.OSRGet("GL_F_Trans","Value1")</f>
        <v>#NAME?</v>
      </c>
      <c r="Q13" s="3"/>
      <c r="R13" s="19"/>
      <c r="S13" s="3"/>
      <c r="T13" s="3" t="e">
        <f ca="1">_xll.OneStop.ReportPlayer.OSRFunctions.OSRGet("GL_F_Trans","Value1")</f>
        <v>#NAME?</v>
      </c>
      <c r="U13" s="3"/>
      <c r="V13" s="19"/>
      <c r="W13" s="3"/>
      <c r="X13" s="3" t="e">
        <f t="shared" ca="1" si="2"/>
        <v>#NAME?</v>
      </c>
      <c r="Y13" s="3"/>
      <c r="Z13" s="19" t="e">
        <f t="shared" ca="1" si="3"/>
        <v>#NAME?</v>
      </c>
    </row>
    <row r="14" spans="1:26" x14ac:dyDescent="0.3">
      <c r="A14" s="9"/>
      <c r="B14" s="10"/>
      <c r="C14" s="9"/>
      <c r="D14" s="2"/>
      <c r="E14" s="2"/>
      <c r="F14" s="6"/>
      <c r="G14" s="2"/>
      <c r="H14" s="2"/>
      <c r="I14" s="2"/>
      <c r="J14" s="6"/>
      <c r="K14" s="2"/>
      <c r="L14" s="2"/>
      <c r="M14" s="2"/>
      <c r="N14" s="6"/>
      <c r="P14" s="2"/>
      <c r="Q14" s="2"/>
      <c r="R14" s="6"/>
      <c r="S14" s="2"/>
      <c r="T14" s="2"/>
      <c r="U14" s="2"/>
      <c r="V14" s="6"/>
      <c r="W14" s="2"/>
      <c r="X14" s="2"/>
      <c r="Y14" s="2"/>
      <c r="Z14" s="6"/>
    </row>
    <row r="15" spans="1:26" s="23" customFormat="1" collapsed="1" x14ac:dyDescent="0.3">
      <c r="A15" s="10"/>
      <c r="B15" s="25" t="s">
        <v>257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3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3" t="e">
        <f ca="1">_xll.OneStop.ReportPlayer.OSRFunctions.OSRGet("GL_F_Trans","Value1")</f>
        <v>#NAME?</v>
      </c>
      <c r="E16" s="3"/>
      <c r="F16" s="19" t="e">
        <f t="shared" ca="1" si="4"/>
        <v>#NAME?</v>
      </c>
      <c r="G16" s="3"/>
      <c r="H16" s="3" t="e">
        <f ca="1">_xll.OneStop.ReportPlayer.OSRFunctions.OSRGet("GL_F_Trans","Value1")</f>
        <v>#NAME?</v>
      </c>
      <c r="I16" s="3"/>
      <c r="J16" s="19" t="e">
        <f t="shared" ca="1" si="5"/>
        <v>#NAME?</v>
      </c>
      <c r="K16" s="3"/>
      <c r="L16" s="3" t="e">
        <f t="shared" ca="1" si="6"/>
        <v>#NAME?</v>
      </c>
      <c r="M16" s="3"/>
      <c r="N16" s="19" t="e">
        <f t="shared" ca="1" si="7"/>
        <v>#NAME?</v>
      </c>
      <c r="O16" s="11"/>
      <c r="P16" s="3" t="e">
        <f ca="1">_xll.OneStop.ReportPlayer.OSRFunctions.OSRGet("GL_F_Trans","Value1")</f>
        <v>#NAME?</v>
      </c>
      <c r="Q16" s="3"/>
      <c r="R16" s="19" t="e">
        <f t="shared" ca="1" si="8"/>
        <v>#NAME?</v>
      </c>
      <c r="S16" s="3"/>
      <c r="T16" s="3" t="e">
        <f ca="1">_xll.OneStop.ReportPlayer.OSRFunctions.OSRGet("GL_F_Trans","Value1")</f>
        <v>#NAME?</v>
      </c>
      <c r="U16" s="3"/>
      <c r="V16" s="19" t="e">
        <f t="shared" ca="1" si="9"/>
        <v>#NAME?</v>
      </c>
      <c r="W16" s="3"/>
      <c r="X16" s="3" t="e">
        <f t="shared" ca="1" si="10"/>
        <v>#NAME?</v>
      </c>
      <c r="Y16" s="3"/>
      <c r="Z16" s="19" t="e">
        <f t="shared" ca="1" si="11"/>
        <v>#NAME?</v>
      </c>
    </row>
    <row r="17" spans="1:26" x14ac:dyDescent="0.3">
      <c r="A17" s="9"/>
      <c r="B17" s="10"/>
      <c r="C17" s="10"/>
      <c r="D17" s="2"/>
      <c r="E17" s="2"/>
      <c r="F17" s="6"/>
      <c r="G17" s="2"/>
      <c r="H17" s="2"/>
      <c r="I17" s="2"/>
      <c r="J17" s="6"/>
      <c r="K17" s="2"/>
      <c r="L17" s="2"/>
      <c r="M17" s="2"/>
      <c r="N17" s="6"/>
      <c r="O17" s="10"/>
      <c r="P17" s="2"/>
      <c r="Q17" s="2"/>
      <c r="R17" s="6"/>
      <c r="S17" s="2"/>
      <c r="T17" s="2"/>
      <c r="U17" s="2"/>
      <c r="V17" s="6"/>
      <c r="W17" s="2"/>
      <c r="X17" s="2"/>
      <c r="Y17" s="2"/>
      <c r="Z17" s="6"/>
    </row>
    <row r="18" spans="1:26" s="23" customFormat="1" x14ac:dyDescent="0.3">
      <c r="A18" s="10"/>
      <c r="B18" s="26" t="s">
        <v>108</v>
      </c>
      <c r="C18" s="26"/>
      <c r="D18" s="21" t="e">
        <f ca="1">D12-D15</f>
        <v>#NAME?</v>
      </c>
      <c r="E18" s="13"/>
      <c r="F18" s="22" t="e">
        <f ca="1">IF(D$12=0,0,D18/D$12)</f>
        <v>#NAME?</v>
      </c>
      <c r="G18" s="13"/>
      <c r="H18" s="21" t="e">
        <f ca="1">H12-H15</f>
        <v>#NAME?</v>
      </c>
      <c r="I18" s="13"/>
      <c r="J18" s="22" t="e">
        <f ca="1">IF(H$12=0,0,H18/H$12)</f>
        <v>#NAME?</v>
      </c>
      <c r="K18" s="16"/>
      <c r="L18" s="21" t="e">
        <f ca="1">+D18-H18</f>
        <v>#NAME?</v>
      </c>
      <c r="M18" s="16"/>
      <c r="N18" s="22" t="e">
        <f ca="1">IF(H18=0,0,L18/H18)</f>
        <v>#NAME?</v>
      </c>
      <c r="O18" s="25"/>
      <c r="P18" s="21" t="e">
        <f ca="1">P12-P15</f>
        <v>#NAME?</v>
      </c>
      <c r="Q18" s="13"/>
      <c r="R18" s="22" t="e">
        <f ca="1">IF(P$12=0,0,P18/P$12)</f>
        <v>#NAME?</v>
      </c>
      <c r="S18" s="13"/>
      <c r="T18" s="21" t="e">
        <f ca="1">T12-T15</f>
        <v>#NAME?</v>
      </c>
      <c r="U18" s="13"/>
      <c r="V18" s="22" t="e">
        <f ca="1">IF(T$12=0,0,T18/T$12)</f>
        <v>#NAME?</v>
      </c>
      <c r="W18" s="16"/>
      <c r="X18" s="21" t="e">
        <f ca="1">+P18-T18</f>
        <v>#NAME?</v>
      </c>
      <c r="Y18" s="16"/>
      <c r="Z18" s="22" t="e">
        <f ca="1">IF(T18=0,0,X18/T18)</f>
        <v>#NAME?</v>
      </c>
    </row>
    <row r="19" spans="1:26" x14ac:dyDescent="0.3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">
      <c r="A20" s="10"/>
      <c r="B20" s="25" t="s">
        <v>295</v>
      </c>
      <c r="C20" s="10"/>
      <c r="D20" s="20" t="e">
        <f ca="1">SUM(_xll.OneStop.ReportPlayer.OSRFunctions.OSRRef(D22))</f>
        <v>#NAME?</v>
      </c>
      <c r="E20" s="20"/>
      <c r="F20" s="32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2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2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2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2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2" t="e">
        <f t="shared" ref="Z20:Z22" ca="1" si="19">IF(T20=0,0,X20/T20)</f>
        <v>#NAME?</v>
      </c>
    </row>
    <row r="21" spans="1:26" s="27" customFormat="1" outlineLevel="1" collapsed="1" x14ac:dyDescent="0.3">
      <c r="A21" s="28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3">
      <c r="A22" s="29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8" t="e">
        <f ca="1">_xll.OneStop.ReportPlayer.OSRFunctions.OSRGet("GL_F_Trans","Value1")</f>
        <v>#NAME?</v>
      </c>
      <c r="E22" s="3"/>
      <c r="F22" s="7" t="e">
        <f t="shared" ca="1" si="12"/>
        <v>#NAME?</v>
      </c>
      <c r="G22" s="3"/>
      <c r="H22" s="8" t="e">
        <f ca="1">_xll.OneStop.ReportPlayer.OSRFunctions.OSRGet("GL_F_Trans","Value1")</f>
        <v>#NAME?</v>
      </c>
      <c r="I22" s="3"/>
      <c r="J22" s="7" t="e">
        <f t="shared" ca="1" si="13"/>
        <v>#NAME?</v>
      </c>
      <c r="K22" s="3"/>
      <c r="L22" s="8" t="e">
        <f t="shared" ca="1" si="14"/>
        <v>#NAME?</v>
      </c>
      <c r="M22" s="3"/>
      <c r="N22" s="7" t="e">
        <f t="shared" ca="1" si="15"/>
        <v>#NAME?</v>
      </c>
      <c r="O22" s="11"/>
      <c r="P22" s="8" t="e">
        <f ca="1">_xll.OneStop.ReportPlayer.OSRFunctions.OSRGet("GL_F_Trans","Value1")</f>
        <v>#NAME?</v>
      </c>
      <c r="Q22" s="3"/>
      <c r="R22" s="7" t="e">
        <f t="shared" ca="1" si="16"/>
        <v>#NAME?</v>
      </c>
      <c r="S22" s="3"/>
      <c r="T22" s="8" t="e">
        <f ca="1">_xll.OneStop.ReportPlayer.OSRFunctions.OSRGet("GL_F_Trans","Value1")</f>
        <v>#NAME?</v>
      </c>
      <c r="U22" s="3"/>
      <c r="V22" s="7" t="e">
        <f t="shared" ca="1" si="17"/>
        <v>#NAME?</v>
      </c>
      <c r="W22" s="3"/>
      <c r="X22" s="8" t="e">
        <f t="shared" ca="1" si="18"/>
        <v>#NAME?</v>
      </c>
      <c r="Y22" s="3"/>
      <c r="Z22" s="7" t="e">
        <f t="shared" ca="1" si="19"/>
        <v>#NAME?</v>
      </c>
    </row>
    <row r="23" spans="1:26" s="62" customFormat="1" x14ac:dyDescent="0.3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3">
      <c r="A24" s="10"/>
      <c r="B24" s="25" t="s">
        <v>293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3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3" t="e">
        <f ca="1">-_xll.OneStop.ReportPlayer.OSRFunctions.OSRGet("GL_F_Trans","Value1")</f>
        <v>#NAME?</v>
      </c>
      <c r="E25" s="3"/>
      <c r="F25" s="19" t="e">
        <f t="shared" ca="1" si="20"/>
        <v>#NAME?</v>
      </c>
      <c r="G25" s="3"/>
      <c r="H25" s="3" t="e">
        <f ca="1">_xll.OneStop.ReportPlayer.OSRFunctions.OSRGet("GL_F_Trans","Value1")</f>
        <v>#NAME?</v>
      </c>
      <c r="I25" s="3"/>
      <c r="J25" s="19" t="e">
        <f t="shared" ca="1" si="21"/>
        <v>#NAME?</v>
      </c>
      <c r="K25" s="3"/>
      <c r="L25" s="3" t="e">
        <f t="shared" ca="1" si="22"/>
        <v>#NAME?</v>
      </c>
      <c r="M25" s="3"/>
      <c r="N25" s="19" t="e">
        <f t="shared" ca="1" si="23"/>
        <v>#NAME?</v>
      </c>
      <c r="O25" s="11"/>
      <c r="P25" s="3" t="e">
        <f ca="1">-_xll.OneStop.ReportPlayer.OSRFunctions.OSRGet("GL_F_Trans","Value1")</f>
        <v>#NAME?</v>
      </c>
      <c r="Q25" s="3"/>
      <c r="R25" s="19" t="e">
        <f t="shared" ca="1" si="24"/>
        <v>#NAME?</v>
      </c>
      <c r="S25" s="3"/>
      <c r="T25" s="3" t="e">
        <f ca="1">_xll.OneStop.ReportPlayer.OSRFunctions.OSRGet("GL_F_Trans","Value1")</f>
        <v>#NAME?</v>
      </c>
      <c r="U25" s="3"/>
      <c r="V25" s="19" t="e">
        <f t="shared" ca="1" si="25"/>
        <v>#NAME?</v>
      </c>
      <c r="W25" s="3"/>
      <c r="X25" s="3" t="e">
        <f t="shared" ca="1" si="26"/>
        <v>#NAME?</v>
      </c>
      <c r="Y25" s="3"/>
      <c r="Z25" s="19" t="e">
        <f t="shared" ca="1" si="27"/>
        <v>#NAME?</v>
      </c>
    </row>
    <row r="26" spans="1:26" x14ac:dyDescent="0.3">
      <c r="A26" s="9"/>
      <c r="B26" s="10"/>
      <c r="C26" s="10"/>
      <c r="D26" s="2"/>
      <c r="E26" s="2"/>
      <c r="F26" s="6"/>
      <c r="G26" s="2"/>
      <c r="H26" s="2"/>
      <c r="I26" s="2"/>
      <c r="J26" s="6"/>
      <c r="K26" s="2"/>
      <c r="L26" s="2"/>
      <c r="M26" s="2"/>
      <c r="N26" s="6"/>
      <c r="O26" s="10"/>
      <c r="P26" s="2"/>
      <c r="Q26" s="2"/>
      <c r="R26" s="6"/>
      <c r="S26" s="2"/>
      <c r="T26" s="2"/>
      <c r="U26" s="2"/>
      <c r="V26" s="6"/>
      <c r="W26" s="2"/>
      <c r="X26" s="2"/>
      <c r="Y26" s="2"/>
      <c r="Z26" s="6"/>
    </row>
    <row r="27" spans="1:26" s="23" customFormat="1" x14ac:dyDescent="0.3">
      <c r="A27" s="10"/>
      <c r="B27" s="26" t="s">
        <v>277</v>
      </c>
      <c r="C27" s="26"/>
      <c r="D27" s="21" t="e">
        <f ca="1">+D18-D20+D24</f>
        <v>#NAME?</v>
      </c>
      <c r="E27" s="13"/>
      <c r="F27" s="22" t="e">
        <f ca="1">IF(D$12=0,0,D27/D$12)</f>
        <v>#NAME?</v>
      </c>
      <c r="G27" s="13"/>
      <c r="H27" s="21" t="e">
        <f ca="1">+H18-H20+H24</f>
        <v>#NAME?</v>
      </c>
      <c r="I27" s="13"/>
      <c r="J27" s="22" t="e">
        <f ca="1">IF(H$12=0,0,H27/H$12)</f>
        <v>#NAME?</v>
      </c>
      <c r="K27" s="16"/>
      <c r="L27" s="21" t="e">
        <f ca="1">+D27-H27</f>
        <v>#NAME?</v>
      </c>
      <c r="M27" s="16"/>
      <c r="N27" s="22" t="e">
        <f ca="1">IF(H27=0,0,L27/H27)</f>
        <v>#NAME?</v>
      </c>
      <c r="O27" s="25"/>
      <c r="P27" s="21" t="e">
        <f ca="1">+P18-P20+P24</f>
        <v>#NAME?</v>
      </c>
      <c r="Q27" s="13"/>
      <c r="R27" s="22" t="e">
        <f ca="1">IF(P$12=0,0,P27/P$12)</f>
        <v>#NAME?</v>
      </c>
      <c r="S27" s="13"/>
      <c r="T27" s="21" t="e">
        <f ca="1">+T18-T20+T24</f>
        <v>#NAME?</v>
      </c>
      <c r="U27" s="13"/>
      <c r="V27" s="22" t="e">
        <f ca="1">IF(T$12=0,0,T27/T$12)</f>
        <v>#NAME?</v>
      </c>
      <c r="W27" s="16"/>
      <c r="X27" s="21" t="e">
        <f ca="1">+P27-T27</f>
        <v>#NAME?</v>
      </c>
      <c r="Y27" s="16"/>
      <c r="Z27" s="22" t="e">
        <f ca="1">IF(T27=0,0,X27/T27)</f>
        <v>#NAME?</v>
      </c>
    </row>
    <row r="28" spans="1:26" x14ac:dyDescent="0.3">
      <c r="A28" s="9"/>
      <c r="B28" s="10"/>
      <c r="C28" s="9"/>
      <c r="D28" s="2"/>
      <c r="E28" s="2"/>
      <c r="F28" s="6"/>
      <c r="G28" s="2"/>
      <c r="H28" s="2"/>
      <c r="I28" s="2"/>
      <c r="J28" s="6"/>
      <c r="K28" s="2"/>
      <c r="L28" s="2"/>
      <c r="M28" s="2"/>
      <c r="N28" s="6"/>
      <c r="P28" s="2"/>
      <c r="Q28" s="2"/>
      <c r="R28" s="6"/>
      <c r="S28" s="2"/>
      <c r="T28" s="2"/>
      <c r="U28" s="2"/>
      <c r="V28" s="6"/>
      <c r="W28" s="2"/>
      <c r="X28" s="2"/>
      <c r="Y28" s="2"/>
      <c r="Z28" s="6"/>
    </row>
    <row r="29" spans="1:26" s="23" customFormat="1" x14ac:dyDescent="0.3">
      <c r="A29" s="52"/>
      <c r="B29" s="10" t="s">
        <v>128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3">
      <c r="A30" s="9"/>
      <c r="B30" s="10"/>
      <c r="C30" s="10"/>
      <c r="D30" s="2"/>
      <c r="E30" s="2"/>
      <c r="F30" s="6"/>
      <c r="G30" s="2"/>
      <c r="H30" s="2"/>
      <c r="I30" s="2"/>
      <c r="J30" s="6"/>
      <c r="K30" s="2"/>
      <c r="L30" s="2"/>
      <c r="M30" s="2"/>
      <c r="N30" s="6"/>
      <c r="O30" s="10"/>
      <c r="P30" s="2"/>
      <c r="Q30" s="2"/>
      <c r="R30" s="6"/>
      <c r="S30" s="2"/>
      <c r="T30" s="2"/>
      <c r="U30" s="2"/>
      <c r="V30" s="6"/>
      <c r="W30" s="2"/>
      <c r="X30" s="2"/>
      <c r="Y30" s="2"/>
      <c r="Z30" s="6"/>
    </row>
    <row r="31" spans="1:26" s="23" customFormat="1" ht="15" thickBot="1" x14ac:dyDescent="0.35">
      <c r="A31" s="10"/>
      <c r="B31" s="26" t="s">
        <v>126</v>
      </c>
      <c r="C31" s="26"/>
      <c r="D31" s="35" t="e">
        <f ca="1">+D27-D29</f>
        <v>#NAME?</v>
      </c>
      <c r="E31" s="13"/>
      <c r="F31" s="30" t="e">
        <f ca="1">IF(D$12=0,0,D31/D$12)</f>
        <v>#NAME?</v>
      </c>
      <c r="G31" s="13"/>
      <c r="H31" s="35" t="e">
        <f ca="1">+H27-H29</f>
        <v>#NAME?</v>
      </c>
      <c r="I31" s="13"/>
      <c r="J31" s="30" t="e">
        <f ca="1">IF(H$12=0,0,H31/H$12)</f>
        <v>#NAME?</v>
      </c>
      <c r="K31" s="16"/>
      <c r="L31" s="35" t="e">
        <f ca="1">D31-H31</f>
        <v>#NAME?</v>
      </c>
      <c r="M31" s="16"/>
      <c r="N31" s="30" t="e">
        <f ca="1">IF(H31=0,0,L31/H31)</f>
        <v>#NAME?</v>
      </c>
      <c r="O31" s="25"/>
      <c r="P31" s="35" t="e">
        <f ca="1">+P27-P29</f>
        <v>#NAME?</v>
      </c>
      <c r="Q31" s="13"/>
      <c r="R31" s="30" t="e">
        <f ca="1">IF(P$12=0,0,P31/P$12)</f>
        <v>#NAME?</v>
      </c>
      <c r="S31" s="13"/>
      <c r="T31" s="35" t="e">
        <f ca="1">+T27-T29</f>
        <v>#NAME?</v>
      </c>
      <c r="U31" s="13"/>
      <c r="V31" s="30" t="e">
        <f ca="1">IF(T$12=0,0,T31/T$12)</f>
        <v>#NAME?</v>
      </c>
      <c r="W31" s="16"/>
      <c r="X31" s="35" t="e">
        <f ca="1">P31-T31</f>
        <v>#NAME?</v>
      </c>
      <c r="Y31" s="16"/>
      <c r="Z31" s="30" t="e">
        <f ca="1">IF(T31=0,0,X31/T31)</f>
        <v>#NAME?</v>
      </c>
    </row>
    <row r="32" spans="1:26" ht="15" thickTop="1" x14ac:dyDescent="0.3">
      <c r="A32" s="9"/>
      <c r="B32" s="9"/>
      <c r="C32" s="9"/>
      <c r="D32" s="2"/>
      <c r="E32" s="2"/>
      <c r="F32" s="6"/>
      <c r="G32" s="2"/>
      <c r="H32" s="2"/>
      <c r="I32" s="2"/>
      <c r="J32" s="6"/>
      <c r="K32" s="2"/>
      <c r="L32" s="2"/>
      <c r="M32" s="2"/>
      <c r="N32" s="6"/>
      <c r="P32" s="2"/>
      <c r="Q32" s="2"/>
      <c r="R32" s="6"/>
      <c r="S32" s="2"/>
      <c r="T32" s="2"/>
      <c r="U32" s="2"/>
      <c r="V32" s="6"/>
      <c r="W32" s="2"/>
      <c r="X32" s="2"/>
      <c r="Y32" s="2"/>
      <c r="Z32" s="6"/>
    </row>
    <row r="33" spans="1:26" s="23" customFormat="1" x14ac:dyDescent="0.3">
      <c r="A33" s="52"/>
      <c r="B33" s="10" t="s">
        <v>184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3">
      <c r="A34" s="52"/>
      <c r="B34" s="10" t="s">
        <v>82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3">
      <c r="A35" s="9"/>
      <c r="B35" s="9"/>
      <c r="C35" s="9"/>
      <c r="D35" s="2"/>
      <c r="E35" s="2"/>
      <c r="F35" s="6"/>
      <c r="G35" s="2"/>
      <c r="H35" s="2"/>
      <c r="I35" s="2"/>
      <c r="J35" s="6"/>
      <c r="K35" s="2"/>
      <c r="L35" s="2"/>
      <c r="M35" s="2"/>
      <c r="N35" s="6"/>
      <c r="P35" s="2"/>
      <c r="Q35" s="2"/>
      <c r="R35" s="6"/>
      <c r="S35" s="2"/>
      <c r="T35" s="2"/>
      <c r="U35" s="2"/>
      <c r="V35" s="6"/>
      <c r="W35" s="2"/>
      <c r="X35" s="2"/>
      <c r="Y35" s="2"/>
      <c r="Z35" s="6"/>
    </row>
    <row r="36" spans="1:26" s="23" customFormat="1" ht="15" thickBot="1" x14ac:dyDescent="0.35">
      <c r="A36" s="10"/>
      <c r="B36" s="26" t="s">
        <v>294</v>
      </c>
      <c r="C36" s="26"/>
      <c r="D36" s="33" t="e">
        <f ca="1">SUM(D31:D35)</f>
        <v>#NAME?</v>
      </c>
      <c r="E36" s="13"/>
      <c r="F36" s="31" t="e">
        <f ca="1">IF(D$12=0,0,D36/D$12)</f>
        <v>#NAME?</v>
      </c>
      <c r="G36" s="13"/>
      <c r="H36" s="33" t="e">
        <f ca="1">SUM(H31:H35)</f>
        <v>#NAME?</v>
      </c>
      <c r="I36" s="13"/>
      <c r="J36" s="31" t="e">
        <f ca="1">IF(H$12=0,0,H36/H$12)</f>
        <v>#NAME?</v>
      </c>
      <c r="K36" s="16"/>
      <c r="L36" s="33" t="e">
        <f ca="1">+D36-H36</f>
        <v>#NAME?</v>
      </c>
      <c r="M36" s="16"/>
      <c r="N36" s="31" t="e">
        <f ca="1">IF(H36=0,0,L36/H36)</f>
        <v>#NAME?</v>
      </c>
      <c r="O36" s="25"/>
      <c r="P36" s="33" t="e">
        <f ca="1">SUM(P31:P35)</f>
        <v>#NAME?</v>
      </c>
      <c r="Q36" s="13"/>
      <c r="R36" s="31" t="e">
        <f ca="1">IF(P$12=0,0,P36/P$12)</f>
        <v>#NAME?</v>
      </c>
      <c r="S36" s="13"/>
      <c r="T36" s="33" t="e">
        <f ca="1">SUM(T31:T35)</f>
        <v>#NAME?</v>
      </c>
      <c r="U36" s="13"/>
      <c r="V36" s="31" t="e">
        <f ca="1">IF(T$12=0,0,T36/T$12)</f>
        <v>#NAME?</v>
      </c>
      <c r="W36" s="16"/>
      <c r="X36" s="33" t="e">
        <f ca="1">+P36-T36</f>
        <v>#NAME?</v>
      </c>
      <c r="Y36" s="16"/>
      <c r="Z36" s="31" t="e">
        <f ca="1">IF(T36=0,0,X36/T36)</f>
        <v>#NAME?</v>
      </c>
    </row>
    <row r="37" spans="1:26" ht="15" thickTop="1" x14ac:dyDescent="0.3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3">
      <c r="A38" s="9"/>
      <c r="B38" s="54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3">
      <c r="A39" s="9"/>
      <c r="B39" s="59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3">
      <c r="A40" s="9"/>
      <c r="B40" s="55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3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50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7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50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7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7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7" customWidth="1" outlineLevel="1"/>
  </cols>
  <sheetData>
    <row r="2" spans="1:26" x14ac:dyDescent="0.3">
      <c r="D2" s="57" t="s">
        <v>23</v>
      </c>
    </row>
    <row r="3" spans="1:26" x14ac:dyDescent="0.3">
      <c r="D3" s="57" t="s">
        <v>237</v>
      </c>
      <c r="E3" s="17"/>
      <c r="F3" s="51"/>
      <c r="G3" s="17"/>
      <c r="H3" s="17"/>
      <c r="I3" s="17"/>
      <c r="J3" s="39"/>
      <c r="K3" s="17"/>
      <c r="L3" s="17"/>
      <c r="M3" s="17"/>
      <c r="N3" s="51"/>
      <c r="O3" s="61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3">
      <c r="D4" s="57" t="e">
        <f ca="1">CONCATENATE("Period ",RIGHT(_xll.OneStop.ReportPlayer.OSRFunctions.OSRGet("Period","PeriodId"),2),", ",_xll.OneStop.ReportPlayer.OSRFunctions.OSRGet("Period","Year"))</f>
        <v>#NAME?</v>
      </c>
      <c r="E4" s="17"/>
      <c r="F4" s="51"/>
      <c r="G4" s="17"/>
      <c r="H4" s="17"/>
      <c r="I4" s="17"/>
      <c r="J4" s="39"/>
      <c r="K4" s="17"/>
      <c r="L4" s="17"/>
      <c r="M4" s="17"/>
      <c r="N4" s="51"/>
      <c r="O4" s="61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3">
      <c r="A5" s="23"/>
      <c r="D5" s="65" t="e">
        <f ca="1">_xll.OneStop.ReportPlayer.OSRFunctions.OSRGet("Period","PeriodEnd")</f>
        <v>#NAME?</v>
      </c>
      <c r="E5" s="17"/>
      <c r="F5" s="51"/>
      <c r="G5" s="17"/>
      <c r="H5" s="17"/>
      <c r="I5" s="17"/>
      <c r="J5" s="39"/>
      <c r="K5" s="17"/>
      <c r="L5" s="17"/>
      <c r="M5" s="17"/>
      <c r="N5" s="51"/>
      <c r="O5" s="61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3">
      <c r="A6" s="23"/>
      <c r="B6" s="47"/>
      <c r="C6" s="47"/>
      <c r="D6" s="23" t="s">
        <v>22</v>
      </c>
      <c r="E6" s="17"/>
      <c r="F6" s="51"/>
      <c r="G6" s="17"/>
      <c r="H6" s="17"/>
      <c r="I6" s="17"/>
      <c r="J6" s="39"/>
      <c r="K6" s="17"/>
      <c r="L6" s="17"/>
      <c r="M6" s="17"/>
      <c r="N6" s="51"/>
      <c r="O6" s="60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3">
      <c r="B7" s="63"/>
    </row>
    <row r="8" spans="1:26" x14ac:dyDescent="0.3">
      <c r="B8" s="63"/>
    </row>
    <row r="9" spans="1:26" x14ac:dyDescent="0.3">
      <c r="B9" s="9"/>
      <c r="C9" s="9"/>
      <c r="D9" s="15" t="s">
        <v>292</v>
      </c>
      <c r="E9" s="15"/>
      <c r="F9" s="38"/>
      <c r="G9" s="15"/>
      <c r="H9" s="15"/>
      <c r="I9" s="15"/>
      <c r="J9" s="49"/>
      <c r="K9" s="15"/>
      <c r="L9" s="15"/>
      <c r="M9" s="15"/>
      <c r="N9" s="38"/>
      <c r="P9" s="15" t="s">
        <v>39</v>
      </c>
      <c r="Q9" s="15"/>
      <c r="R9" s="38"/>
      <c r="S9" s="15"/>
      <c r="T9" s="15"/>
      <c r="U9" s="15"/>
      <c r="V9" s="49"/>
      <c r="W9" s="15"/>
      <c r="X9" s="15"/>
      <c r="Y9" s="15"/>
      <c r="Z9" s="38"/>
    </row>
    <row r="10" spans="1:26" x14ac:dyDescent="0.3">
      <c r="A10" s="10"/>
      <c r="B10" s="53"/>
      <c r="C10" s="10"/>
      <c r="D10" s="42" t="s">
        <v>57</v>
      </c>
      <c r="E10" s="34"/>
      <c r="F10" s="40" t="s">
        <v>40</v>
      </c>
      <c r="G10" s="34"/>
      <c r="H10" s="45" t="s">
        <v>238</v>
      </c>
      <c r="I10" s="34"/>
      <c r="J10" s="48" t="s">
        <v>58</v>
      </c>
      <c r="K10" s="10"/>
      <c r="L10" s="42" t="s">
        <v>127</v>
      </c>
      <c r="M10" s="10"/>
      <c r="N10" s="40" t="s">
        <v>258</v>
      </c>
      <c r="O10" s="10"/>
      <c r="P10" s="56" t="s">
        <v>57</v>
      </c>
      <c r="Q10" s="34"/>
      <c r="R10" s="40" t="s">
        <v>40</v>
      </c>
      <c r="S10" s="34"/>
      <c r="T10" s="45" t="s">
        <v>238</v>
      </c>
      <c r="U10" s="34"/>
      <c r="V10" s="48" t="s">
        <v>58</v>
      </c>
      <c r="W10" s="10"/>
      <c r="X10" s="42" t="s">
        <v>127</v>
      </c>
      <c r="Y10" s="10"/>
      <c r="Z10" s="40" t="s">
        <v>258</v>
      </c>
    </row>
    <row r="11" spans="1:26" ht="15.6" x14ac:dyDescent="0.3">
      <c r="A11" s="9"/>
      <c r="B11" s="58"/>
      <c r="C11" s="9"/>
      <c r="D11" s="9"/>
      <c r="E11" s="9"/>
      <c r="F11" s="6"/>
      <c r="G11" s="9"/>
      <c r="H11" s="9"/>
      <c r="I11" s="9"/>
      <c r="J11" s="46"/>
      <c r="K11" s="9"/>
      <c r="L11" s="9"/>
      <c r="M11" s="9"/>
      <c r="N11" s="6"/>
      <c r="P11" s="9"/>
      <c r="Q11" s="9"/>
      <c r="R11" s="6"/>
      <c r="S11" s="9"/>
      <c r="T11" s="9"/>
      <c r="U11" s="9"/>
      <c r="V11" s="46"/>
      <c r="W11" s="9"/>
      <c r="X11" s="9"/>
      <c r="Y11" s="9"/>
      <c r="Z11" s="6"/>
    </row>
    <row r="12" spans="1:26" s="23" customFormat="1" collapsed="1" x14ac:dyDescent="0.3">
      <c r="A12" s="10"/>
      <c r="B12" s="25" t="s">
        <v>140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3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3" t="e">
        <f ca="1">-_xll.OneStop.ReportPlayer.OSRFunctions.OSRGet("GL_F_Trans","Value1")</f>
        <v>#NAME?</v>
      </c>
      <c r="E13" s="3"/>
      <c r="F13" s="19"/>
      <c r="G13" s="3"/>
      <c r="H13" s="3" t="e">
        <f ca="1">_xll.OneStop.ReportPlayer.OSRFunctions.OSRGet("GL_F_Trans","Value1")</f>
        <v>#NAME?</v>
      </c>
      <c r="I13" s="3"/>
      <c r="J13" s="19"/>
      <c r="K13" s="3"/>
      <c r="L13" s="3" t="e">
        <f t="shared" ca="1" si="0"/>
        <v>#NAME?</v>
      </c>
      <c r="M13" s="3"/>
      <c r="N13" s="19" t="e">
        <f t="shared" ca="1" si="1"/>
        <v>#NAME?</v>
      </c>
      <c r="O13" s="11"/>
      <c r="P13" s="3" t="e">
        <f ca="1">-_xll.OneStop.ReportPlayer.OSRFunctions.OSRGet("GL_F_Trans","Value1")</f>
        <v>#NAME?</v>
      </c>
      <c r="Q13" s="3"/>
      <c r="R13" s="19"/>
      <c r="S13" s="3"/>
      <c r="T13" s="3" t="e">
        <f ca="1">_xll.OneStop.ReportPlayer.OSRFunctions.OSRGet("GL_F_Trans","Value1")</f>
        <v>#NAME?</v>
      </c>
      <c r="U13" s="3"/>
      <c r="V13" s="19"/>
      <c r="W13" s="3"/>
      <c r="X13" s="3" t="e">
        <f t="shared" ca="1" si="2"/>
        <v>#NAME?</v>
      </c>
      <c r="Y13" s="3"/>
      <c r="Z13" s="19" t="e">
        <f t="shared" ca="1" si="3"/>
        <v>#NAME?</v>
      </c>
    </row>
    <row r="14" spans="1:26" x14ac:dyDescent="0.3">
      <c r="A14" s="9"/>
      <c r="B14" s="10"/>
      <c r="C14" s="9"/>
      <c r="D14" s="2"/>
      <c r="E14" s="2"/>
      <c r="F14" s="6"/>
      <c r="G14" s="2"/>
      <c r="H14" s="2"/>
      <c r="I14" s="2"/>
      <c r="J14" s="6"/>
      <c r="K14" s="2"/>
      <c r="L14" s="2"/>
      <c r="M14" s="2"/>
      <c r="N14" s="6"/>
      <c r="P14" s="2"/>
      <c r="Q14" s="2"/>
      <c r="R14" s="6"/>
      <c r="S14" s="2"/>
      <c r="T14" s="2"/>
      <c r="U14" s="2"/>
      <c r="V14" s="6"/>
      <c r="W14" s="2"/>
      <c r="X14" s="2"/>
      <c r="Y14" s="2"/>
      <c r="Z14" s="6"/>
    </row>
    <row r="15" spans="1:26" s="23" customFormat="1" collapsed="1" x14ac:dyDescent="0.3">
      <c r="A15" s="10"/>
      <c r="B15" s="25" t="s">
        <v>257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3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3" t="e">
        <f ca="1">_xll.OneStop.ReportPlayer.OSRFunctions.OSRGet("GL_F_Trans","Value1")</f>
        <v>#NAME?</v>
      </c>
      <c r="E16" s="3"/>
      <c r="F16" s="19" t="e">
        <f t="shared" ca="1" si="4"/>
        <v>#NAME?</v>
      </c>
      <c r="G16" s="3"/>
      <c r="H16" s="3" t="e">
        <f ca="1">_xll.OneStop.ReportPlayer.OSRFunctions.OSRGet("GL_F_Trans","Value1")</f>
        <v>#NAME?</v>
      </c>
      <c r="I16" s="3"/>
      <c r="J16" s="19" t="e">
        <f t="shared" ca="1" si="5"/>
        <v>#NAME?</v>
      </c>
      <c r="K16" s="3"/>
      <c r="L16" s="3" t="e">
        <f t="shared" ca="1" si="6"/>
        <v>#NAME?</v>
      </c>
      <c r="M16" s="3"/>
      <c r="N16" s="19" t="e">
        <f t="shared" ca="1" si="7"/>
        <v>#NAME?</v>
      </c>
      <c r="O16" s="11"/>
      <c r="P16" s="3" t="e">
        <f ca="1">_xll.OneStop.ReportPlayer.OSRFunctions.OSRGet("GL_F_Trans","Value1")</f>
        <v>#NAME?</v>
      </c>
      <c r="Q16" s="3"/>
      <c r="R16" s="19" t="e">
        <f t="shared" ca="1" si="8"/>
        <v>#NAME?</v>
      </c>
      <c r="S16" s="3"/>
      <c r="T16" s="3" t="e">
        <f ca="1">_xll.OneStop.ReportPlayer.OSRFunctions.OSRGet("GL_F_Trans","Value1")</f>
        <v>#NAME?</v>
      </c>
      <c r="U16" s="3"/>
      <c r="V16" s="19" t="e">
        <f t="shared" ca="1" si="9"/>
        <v>#NAME?</v>
      </c>
      <c r="W16" s="3"/>
      <c r="X16" s="3" t="e">
        <f t="shared" ca="1" si="10"/>
        <v>#NAME?</v>
      </c>
      <c r="Y16" s="3"/>
      <c r="Z16" s="19" t="e">
        <f t="shared" ca="1" si="11"/>
        <v>#NAME?</v>
      </c>
    </row>
    <row r="17" spans="1:26" x14ac:dyDescent="0.3">
      <c r="A17" s="9"/>
      <c r="B17" s="10"/>
      <c r="C17" s="10"/>
      <c r="D17" s="2"/>
      <c r="E17" s="2"/>
      <c r="F17" s="6"/>
      <c r="G17" s="2"/>
      <c r="H17" s="2"/>
      <c r="I17" s="2"/>
      <c r="J17" s="6"/>
      <c r="K17" s="2"/>
      <c r="L17" s="2"/>
      <c r="M17" s="2"/>
      <c r="N17" s="6"/>
      <c r="O17" s="10"/>
      <c r="P17" s="2"/>
      <c r="Q17" s="2"/>
      <c r="R17" s="6"/>
      <c r="S17" s="2"/>
      <c r="T17" s="2"/>
      <c r="U17" s="2"/>
      <c r="V17" s="6"/>
      <c r="W17" s="2"/>
      <c r="X17" s="2"/>
      <c r="Y17" s="2"/>
      <c r="Z17" s="6"/>
    </row>
    <row r="18" spans="1:26" s="23" customFormat="1" x14ac:dyDescent="0.3">
      <c r="A18" s="10"/>
      <c r="B18" s="26" t="s">
        <v>108</v>
      </c>
      <c r="C18" s="26"/>
      <c r="D18" s="21" t="e">
        <f ca="1">D12-D15</f>
        <v>#NAME?</v>
      </c>
      <c r="E18" s="13"/>
      <c r="F18" s="22" t="e">
        <f ca="1">IF(D$12=0,0,D18/D$12)</f>
        <v>#NAME?</v>
      </c>
      <c r="G18" s="13"/>
      <c r="H18" s="21" t="e">
        <f ca="1">H12-H15</f>
        <v>#NAME?</v>
      </c>
      <c r="I18" s="13"/>
      <c r="J18" s="22" t="e">
        <f ca="1">IF(H$12=0,0,H18/H$12)</f>
        <v>#NAME?</v>
      </c>
      <c r="K18" s="16"/>
      <c r="L18" s="21" t="e">
        <f ca="1">+D18-H18</f>
        <v>#NAME?</v>
      </c>
      <c r="M18" s="16"/>
      <c r="N18" s="22" t="e">
        <f ca="1">IF(H18=0,0,L18/H18)</f>
        <v>#NAME?</v>
      </c>
      <c r="O18" s="25"/>
      <c r="P18" s="21" t="e">
        <f ca="1">P12-P15</f>
        <v>#NAME?</v>
      </c>
      <c r="Q18" s="13"/>
      <c r="R18" s="22" t="e">
        <f ca="1">IF(P$12=0,0,P18/P$12)</f>
        <v>#NAME?</v>
      </c>
      <c r="S18" s="13"/>
      <c r="T18" s="21" t="e">
        <f ca="1">T12-T15</f>
        <v>#NAME?</v>
      </c>
      <c r="U18" s="13"/>
      <c r="V18" s="22" t="e">
        <f ca="1">IF(T$12=0,0,T18/T$12)</f>
        <v>#NAME?</v>
      </c>
      <c r="W18" s="16"/>
      <c r="X18" s="21" t="e">
        <f ca="1">+P18-T18</f>
        <v>#NAME?</v>
      </c>
      <c r="Y18" s="16"/>
      <c r="Z18" s="22" t="e">
        <f ca="1">IF(T18=0,0,X18/T18)</f>
        <v>#NAME?</v>
      </c>
    </row>
    <row r="19" spans="1:26" x14ac:dyDescent="0.3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">
      <c r="A20" s="10"/>
      <c r="B20" s="25" t="s">
        <v>295</v>
      </c>
      <c r="C20" s="10"/>
      <c r="D20" s="20" t="e">
        <f ca="1">SUM(_xll.OneStop.ReportPlayer.OSRFunctions.OSRRef(D22))</f>
        <v>#NAME?</v>
      </c>
      <c r="E20" s="20"/>
      <c r="F20" s="32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2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2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2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2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2" t="e">
        <f t="shared" ref="Z20:Z22" ca="1" si="19">IF(T20=0,0,X20/T20)</f>
        <v>#NAME?</v>
      </c>
    </row>
    <row r="21" spans="1:26" s="27" customFormat="1" outlineLevel="1" collapsed="1" x14ac:dyDescent="0.3">
      <c r="A21" s="28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3">
      <c r="A22" s="29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8" t="e">
        <f ca="1">_xll.OneStop.ReportPlayer.OSRFunctions.OSRGet("GL_F_Trans","Value1")</f>
        <v>#NAME?</v>
      </c>
      <c r="E22" s="3"/>
      <c r="F22" s="7" t="e">
        <f t="shared" ca="1" si="12"/>
        <v>#NAME?</v>
      </c>
      <c r="G22" s="3"/>
      <c r="H22" s="8" t="e">
        <f ca="1">_xll.OneStop.ReportPlayer.OSRFunctions.OSRGet("GL_F_Trans","Value1")</f>
        <v>#NAME?</v>
      </c>
      <c r="I22" s="3"/>
      <c r="J22" s="7" t="e">
        <f t="shared" ca="1" si="13"/>
        <v>#NAME?</v>
      </c>
      <c r="K22" s="3"/>
      <c r="L22" s="8" t="e">
        <f t="shared" ca="1" si="14"/>
        <v>#NAME?</v>
      </c>
      <c r="M22" s="3"/>
      <c r="N22" s="7" t="e">
        <f t="shared" ca="1" si="15"/>
        <v>#NAME?</v>
      </c>
      <c r="O22" s="11"/>
      <c r="P22" s="8" t="e">
        <f ca="1">_xll.OneStop.ReportPlayer.OSRFunctions.OSRGet("GL_F_Trans","Value1")</f>
        <v>#NAME?</v>
      </c>
      <c r="Q22" s="3"/>
      <c r="R22" s="7" t="e">
        <f t="shared" ca="1" si="16"/>
        <v>#NAME?</v>
      </c>
      <c r="S22" s="3"/>
      <c r="T22" s="8" t="e">
        <f ca="1">_xll.OneStop.ReportPlayer.OSRFunctions.OSRGet("GL_F_Trans","Value1")</f>
        <v>#NAME?</v>
      </c>
      <c r="U22" s="3"/>
      <c r="V22" s="7" t="e">
        <f t="shared" ca="1" si="17"/>
        <v>#NAME?</v>
      </c>
      <c r="W22" s="3"/>
      <c r="X22" s="8" t="e">
        <f t="shared" ca="1" si="18"/>
        <v>#NAME?</v>
      </c>
      <c r="Y22" s="3"/>
      <c r="Z22" s="7" t="e">
        <f t="shared" ca="1" si="19"/>
        <v>#NAME?</v>
      </c>
    </row>
    <row r="23" spans="1:26" s="62" customFormat="1" x14ac:dyDescent="0.3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3">
      <c r="A24" s="10"/>
      <c r="B24" s="25" t="s">
        <v>293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3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3" t="e">
        <f ca="1">-_xll.OneStop.ReportPlayer.OSRFunctions.OSRGet("GL_F_Trans","Value1")</f>
        <v>#NAME?</v>
      </c>
      <c r="E25" s="3"/>
      <c r="F25" s="19" t="e">
        <f t="shared" ca="1" si="20"/>
        <v>#NAME?</v>
      </c>
      <c r="G25" s="3"/>
      <c r="H25" s="3" t="e">
        <f ca="1">_xll.OneStop.ReportPlayer.OSRFunctions.OSRGet("GL_F_Trans","Value1")</f>
        <v>#NAME?</v>
      </c>
      <c r="I25" s="3"/>
      <c r="J25" s="19" t="e">
        <f t="shared" ca="1" si="21"/>
        <v>#NAME?</v>
      </c>
      <c r="K25" s="3"/>
      <c r="L25" s="3" t="e">
        <f t="shared" ca="1" si="22"/>
        <v>#NAME?</v>
      </c>
      <c r="M25" s="3"/>
      <c r="N25" s="19" t="e">
        <f t="shared" ca="1" si="23"/>
        <v>#NAME?</v>
      </c>
      <c r="O25" s="11"/>
      <c r="P25" s="3" t="e">
        <f ca="1">-_xll.OneStop.ReportPlayer.OSRFunctions.OSRGet("GL_F_Trans","Value1")</f>
        <v>#NAME?</v>
      </c>
      <c r="Q25" s="3"/>
      <c r="R25" s="19" t="e">
        <f t="shared" ca="1" si="24"/>
        <v>#NAME?</v>
      </c>
      <c r="S25" s="3"/>
      <c r="T25" s="3" t="e">
        <f ca="1">_xll.OneStop.ReportPlayer.OSRFunctions.OSRGet("GL_F_Trans","Value1")</f>
        <v>#NAME?</v>
      </c>
      <c r="U25" s="3"/>
      <c r="V25" s="19" t="e">
        <f t="shared" ca="1" si="25"/>
        <v>#NAME?</v>
      </c>
      <c r="W25" s="3"/>
      <c r="X25" s="3" t="e">
        <f t="shared" ca="1" si="26"/>
        <v>#NAME?</v>
      </c>
      <c r="Y25" s="3"/>
      <c r="Z25" s="19" t="e">
        <f t="shared" ca="1" si="27"/>
        <v>#NAME?</v>
      </c>
    </row>
    <row r="26" spans="1:26" x14ac:dyDescent="0.3">
      <c r="A26" s="9"/>
      <c r="B26" s="10"/>
      <c r="C26" s="10"/>
      <c r="D26" s="2"/>
      <c r="E26" s="2"/>
      <c r="F26" s="6"/>
      <c r="G26" s="2"/>
      <c r="H26" s="2"/>
      <c r="I26" s="2"/>
      <c r="J26" s="6"/>
      <c r="K26" s="2"/>
      <c r="L26" s="2"/>
      <c r="M26" s="2"/>
      <c r="N26" s="6"/>
      <c r="O26" s="10"/>
      <c r="P26" s="2"/>
      <c r="Q26" s="2"/>
      <c r="R26" s="6"/>
      <c r="S26" s="2"/>
      <c r="T26" s="2"/>
      <c r="U26" s="2"/>
      <c r="V26" s="6"/>
      <c r="W26" s="2"/>
      <c r="X26" s="2"/>
      <c r="Y26" s="2"/>
      <c r="Z26" s="6"/>
    </row>
    <row r="27" spans="1:26" s="23" customFormat="1" x14ac:dyDescent="0.3">
      <c r="A27" s="10"/>
      <c r="B27" s="26" t="s">
        <v>277</v>
      </c>
      <c r="C27" s="26"/>
      <c r="D27" s="21" t="e">
        <f ca="1">+D18-D20+D24</f>
        <v>#NAME?</v>
      </c>
      <c r="E27" s="13"/>
      <c r="F27" s="22" t="e">
        <f ca="1">IF(D$12=0,0,D27/D$12)</f>
        <v>#NAME?</v>
      </c>
      <c r="G27" s="13"/>
      <c r="H27" s="21" t="e">
        <f ca="1">+H18-H20+H24</f>
        <v>#NAME?</v>
      </c>
      <c r="I27" s="13"/>
      <c r="J27" s="22" t="e">
        <f ca="1">IF(H$12=0,0,H27/H$12)</f>
        <v>#NAME?</v>
      </c>
      <c r="K27" s="16"/>
      <c r="L27" s="21" t="e">
        <f ca="1">+D27-H27</f>
        <v>#NAME?</v>
      </c>
      <c r="M27" s="16"/>
      <c r="N27" s="22" t="e">
        <f ca="1">IF(H27=0,0,L27/H27)</f>
        <v>#NAME?</v>
      </c>
      <c r="O27" s="25"/>
      <c r="P27" s="21" t="e">
        <f ca="1">+P18-P20+P24</f>
        <v>#NAME?</v>
      </c>
      <c r="Q27" s="13"/>
      <c r="R27" s="22" t="e">
        <f ca="1">IF(P$12=0,0,P27/P$12)</f>
        <v>#NAME?</v>
      </c>
      <c r="S27" s="13"/>
      <c r="T27" s="21" t="e">
        <f ca="1">+T18-T20+T24</f>
        <v>#NAME?</v>
      </c>
      <c r="U27" s="13"/>
      <c r="V27" s="22" t="e">
        <f ca="1">IF(T$12=0,0,T27/T$12)</f>
        <v>#NAME?</v>
      </c>
      <c r="W27" s="16"/>
      <c r="X27" s="21" t="e">
        <f ca="1">+P27-T27</f>
        <v>#NAME?</v>
      </c>
      <c r="Y27" s="16"/>
      <c r="Z27" s="22" t="e">
        <f ca="1">IF(T27=0,0,X27/T27)</f>
        <v>#NAME?</v>
      </c>
    </row>
    <row r="28" spans="1:26" x14ac:dyDescent="0.3">
      <c r="A28" s="9"/>
      <c r="B28" s="10"/>
      <c r="C28" s="9"/>
      <c r="D28" s="2"/>
      <c r="E28" s="2"/>
      <c r="F28" s="6"/>
      <c r="G28" s="2"/>
      <c r="H28" s="2"/>
      <c r="I28" s="2"/>
      <c r="J28" s="6"/>
      <c r="K28" s="2"/>
      <c r="L28" s="2"/>
      <c r="M28" s="2"/>
      <c r="N28" s="6"/>
      <c r="P28" s="2"/>
      <c r="Q28" s="2"/>
      <c r="R28" s="6"/>
      <c r="S28" s="2"/>
      <c r="T28" s="2"/>
      <c r="U28" s="2"/>
      <c r="V28" s="6"/>
      <c r="W28" s="2"/>
      <c r="X28" s="2"/>
      <c r="Y28" s="2"/>
      <c r="Z28" s="6"/>
    </row>
    <row r="29" spans="1:26" s="23" customFormat="1" x14ac:dyDescent="0.3">
      <c r="A29" s="52"/>
      <c r="B29" s="10" t="s">
        <v>128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3">
      <c r="A30" s="9"/>
      <c r="B30" s="10"/>
      <c r="C30" s="10"/>
      <c r="D30" s="2"/>
      <c r="E30" s="2"/>
      <c r="F30" s="6"/>
      <c r="G30" s="2"/>
      <c r="H30" s="2"/>
      <c r="I30" s="2"/>
      <c r="J30" s="6"/>
      <c r="K30" s="2"/>
      <c r="L30" s="2"/>
      <c r="M30" s="2"/>
      <c r="N30" s="6"/>
      <c r="O30" s="10"/>
      <c r="P30" s="2"/>
      <c r="Q30" s="2"/>
      <c r="R30" s="6"/>
      <c r="S30" s="2"/>
      <c r="T30" s="2"/>
      <c r="U30" s="2"/>
      <c r="V30" s="6"/>
      <c r="W30" s="2"/>
      <c r="X30" s="2"/>
      <c r="Y30" s="2"/>
      <c r="Z30" s="6"/>
    </row>
    <row r="31" spans="1:26" s="23" customFormat="1" ht="15" thickBot="1" x14ac:dyDescent="0.35">
      <c r="A31" s="10"/>
      <c r="B31" s="26" t="s">
        <v>126</v>
      </c>
      <c r="C31" s="26"/>
      <c r="D31" s="35" t="e">
        <f ca="1">+D27-D29</f>
        <v>#NAME?</v>
      </c>
      <c r="E31" s="13"/>
      <c r="F31" s="30" t="e">
        <f ca="1">IF(D$12=0,0,D31/D$12)</f>
        <v>#NAME?</v>
      </c>
      <c r="G31" s="13"/>
      <c r="H31" s="35" t="e">
        <f ca="1">+H27-H29</f>
        <v>#NAME?</v>
      </c>
      <c r="I31" s="13"/>
      <c r="J31" s="30" t="e">
        <f ca="1">IF(H$12=0,0,H31/H$12)</f>
        <v>#NAME?</v>
      </c>
      <c r="K31" s="16"/>
      <c r="L31" s="35" t="e">
        <f ca="1">D31-H31</f>
        <v>#NAME?</v>
      </c>
      <c r="M31" s="16"/>
      <c r="N31" s="30" t="e">
        <f ca="1">IF(H31=0,0,L31/H31)</f>
        <v>#NAME?</v>
      </c>
      <c r="O31" s="25"/>
      <c r="P31" s="35" t="e">
        <f ca="1">+P27-P29</f>
        <v>#NAME?</v>
      </c>
      <c r="Q31" s="13"/>
      <c r="R31" s="30" t="e">
        <f ca="1">IF(P$12=0,0,P31/P$12)</f>
        <v>#NAME?</v>
      </c>
      <c r="S31" s="13"/>
      <c r="T31" s="35" t="e">
        <f ca="1">+T27-T29</f>
        <v>#NAME?</v>
      </c>
      <c r="U31" s="13"/>
      <c r="V31" s="30" t="e">
        <f ca="1">IF(T$12=0,0,T31/T$12)</f>
        <v>#NAME?</v>
      </c>
      <c r="W31" s="16"/>
      <c r="X31" s="35" t="e">
        <f ca="1">P31-T31</f>
        <v>#NAME?</v>
      </c>
      <c r="Y31" s="16"/>
      <c r="Z31" s="30" t="e">
        <f ca="1">IF(T31=0,0,X31/T31)</f>
        <v>#NAME?</v>
      </c>
    </row>
    <row r="32" spans="1:26" ht="15" thickTop="1" x14ac:dyDescent="0.3">
      <c r="A32" s="9"/>
      <c r="B32" s="9"/>
      <c r="C32" s="9"/>
      <c r="D32" s="2"/>
      <c r="E32" s="2"/>
      <c r="F32" s="6"/>
      <c r="G32" s="2"/>
      <c r="H32" s="2"/>
      <c r="I32" s="2"/>
      <c r="J32" s="6"/>
      <c r="K32" s="2"/>
      <c r="L32" s="2"/>
      <c r="M32" s="2"/>
      <c r="N32" s="6"/>
      <c r="P32" s="2"/>
      <c r="Q32" s="2"/>
      <c r="R32" s="6"/>
      <c r="S32" s="2"/>
      <c r="T32" s="2"/>
      <c r="U32" s="2"/>
      <c r="V32" s="6"/>
      <c r="W32" s="2"/>
      <c r="X32" s="2"/>
      <c r="Y32" s="2"/>
      <c r="Z32" s="6"/>
    </row>
    <row r="33" spans="1:26" s="23" customFormat="1" x14ac:dyDescent="0.3">
      <c r="A33" s="52"/>
      <c r="B33" s="10" t="s">
        <v>184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3">
      <c r="A34" s="52"/>
      <c r="B34" s="10" t="s">
        <v>82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3">
      <c r="A35" s="9"/>
      <c r="B35" s="9"/>
      <c r="C35" s="9"/>
      <c r="D35" s="2"/>
      <c r="E35" s="2"/>
      <c r="F35" s="6"/>
      <c r="G35" s="2"/>
      <c r="H35" s="2"/>
      <c r="I35" s="2"/>
      <c r="J35" s="6"/>
      <c r="K35" s="2"/>
      <c r="L35" s="2"/>
      <c r="M35" s="2"/>
      <c r="N35" s="6"/>
      <c r="P35" s="2"/>
      <c r="Q35" s="2"/>
      <c r="R35" s="6"/>
      <c r="S35" s="2"/>
      <c r="T35" s="2"/>
      <c r="U35" s="2"/>
      <c r="V35" s="6"/>
      <c r="W35" s="2"/>
      <c r="X35" s="2"/>
      <c r="Y35" s="2"/>
      <c r="Z35" s="6"/>
    </row>
    <row r="36" spans="1:26" s="23" customFormat="1" ht="15" thickBot="1" x14ac:dyDescent="0.35">
      <c r="A36" s="10"/>
      <c r="B36" s="26" t="s">
        <v>294</v>
      </c>
      <c r="C36" s="26"/>
      <c r="D36" s="33" t="e">
        <f ca="1">SUM(D31:D35)</f>
        <v>#NAME?</v>
      </c>
      <c r="E36" s="13"/>
      <c r="F36" s="31" t="e">
        <f ca="1">IF(D$12=0,0,D36/D$12)</f>
        <v>#NAME?</v>
      </c>
      <c r="G36" s="13"/>
      <c r="H36" s="33" t="e">
        <f ca="1">SUM(H31:H35)</f>
        <v>#NAME?</v>
      </c>
      <c r="I36" s="13"/>
      <c r="J36" s="31" t="e">
        <f ca="1">IF(H$12=0,0,H36/H$12)</f>
        <v>#NAME?</v>
      </c>
      <c r="K36" s="16"/>
      <c r="L36" s="33" t="e">
        <f ca="1">+D36-H36</f>
        <v>#NAME?</v>
      </c>
      <c r="M36" s="16"/>
      <c r="N36" s="31" t="e">
        <f ca="1">IF(H36=0,0,L36/H36)</f>
        <v>#NAME?</v>
      </c>
      <c r="O36" s="25"/>
      <c r="P36" s="33" t="e">
        <f ca="1">SUM(P31:P35)</f>
        <v>#NAME?</v>
      </c>
      <c r="Q36" s="13"/>
      <c r="R36" s="31" t="e">
        <f ca="1">IF(P$12=0,0,P36/P$12)</f>
        <v>#NAME?</v>
      </c>
      <c r="S36" s="13"/>
      <c r="T36" s="33" t="e">
        <f ca="1">SUM(T31:T35)</f>
        <v>#NAME?</v>
      </c>
      <c r="U36" s="13"/>
      <c r="V36" s="31" t="e">
        <f ca="1">IF(T$12=0,0,T36/T$12)</f>
        <v>#NAME?</v>
      </c>
      <c r="W36" s="16"/>
      <c r="X36" s="33" t="e">
        <f ca="1">+P36-T36</f>
        <v>#NAME?</v>
      </c>
      <c r="Y36" s="16"/>
      <c r="Z36" s="31" t="e">
        <f ca="1">IF(T36=0,0,X36/T36)</f>
        <v>#NAME?</v>
      </c>
    </row>
    <row r="37" spans="1:26" ht="15" thickTop="1" x14ac:dyDescent="0.3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3">
      <c r="A38" s="9"/>
      <c r="B38" s="54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3">
      <c r="A39" s="9"/>
      <c r="B39" s="59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3">
      <c r="A40" s="9"/>
      <c r="B40" s="55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3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50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7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50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7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7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7" customWidth="1" outlineLevel="1"/>
  </cols>
  <sheetData>
    <row r="2" spans="1:26" x14ac:dyDescent="0.3">
      <c r="D2" s="57" t="s">
        <v>23</v>
      </c>
    </row>
    <row r="3" spans="1:26" x14ac:dyDescent="0.3">
      <c r="D3" s="57" t="s">
        <v>237</v>
      </c>
      <c r="E3" s="17"/>
      <c r="F3" s="51"/>
      <c r="G3" s="17"/>
      <c r="H3" s="17"/>
      <c r="I3" s="17"/>
      <c r="J3" s="39"/>
      <c r="K3" s="17"/>
      <c r="L3" s="17"/>
      <c r="M3" s="17"/>
      <c r="N3" s="51"/>
      <c r="O3" s="61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3">
      <c r="D4" s="57" t="e">
        <f ca="1">CONCATENATE("Period ",RIGHT(_xll.OneStop.ReportPlayer.OSRFunctions.OSRGet("Period","PeriodId"),2),", ",_xll.OneStop.ReportPlayer.OSRFunctions.OSRGet("Period","Year"))</f>
        <v>#NAME?</v>
      </c>
      <c r="E4" s="17"/>
      <c r="F4" s="51"/>
      <c r="G4" s="17"/>
      <c r="H4" s="17"/>
      <c r="I4" s="17"/>
      <c r="J4" s="39"/>
      <c r="K4" s="17"/>
      <c r="L4" s="17"/>
      <c r="M4" s="17"/>
      <c r="N4" s="51"/>
      <c r="O4" s="61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3">
      <c r="A5" s="23"/>
      <c r="D5" s="65" t="e">
        <f ca="1">_xll.OneStop.ReportPlayer.OSRFunctions.OSRGet("Period","PeriodEnd")</f>
        <v>#NAME?</v>
      </c>
      <c r="E5" s="17"/>
      <c r="F5" s="51"/>
      <c r="G5" s="17"/>
      <c r="H5" s="17"/>
      <c r="I5" s="17"/>
      <c r="J5" s="39"/>
      <c r="K5" s="17"/>
      <c r="L5" s="17"/>
      <c r="M5" s="17"/>
      <c r="N5" s="51"/>
      <c r="O5" s="61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3">
      <c r="A6" s="23"/>
      <c r="B6" s="47"/>
      <c r="C6" s="47"/>
      <c r="D6" s="23" t="s">
        <v>22</v>
      </c>
      <c r="E6" s="17"/>
      <c r="F6" s="51"/>
      <c r="G6" s="17"/>
      <c r="H6" s="17"/>
      <c r="I6" s="17"/>
      <c r="J6" s="39"/>
      <c r="K6" s="17"/>
      <c r="L6" s="17"/>
      <c r="M6" s="17"/>
      <c r="N6" s="51"/>
      <c r="O6" s="60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3">
      <c r="B7" s="63"/>
    </row>
    <row r="8" spans="1:26" x14ac:dyDescent="0.3">
      <c r="B8" s="63"/>
    </row>
    <row r="9" spans="1:26" x14ac:dyDescent="0.3">
      <c r="B9" s="9"/>
      <c r="C9" s="9"/>
      <c r="D9" s="15" t="s">
        <v>292</v>
      </c>
      <c r="E9" s="15"/>
      <c r="F9" s="38"/>
      <c r="G9" s="15"/>
      <c r="H9" s="15"/>
      <c r="I9" s="15"/>
      <c r="J9" s="49"/>
      <c r="K9" s="15"/>
      <c r="L9" s="15"/>
      <c r="M9" s="15"/>
      <c r="N9" s="38"/>
      <c r="P9" s="15" t="s">
        <v>39</v>
      </c>
      <c r="Q9" s="15"/>
      <c r="R9" s="38"/>
      <c r="S9" s="15"/>
      <c r="T9" s="15"/>
      <c r="U9" s="15"/>
      <c r="V9" s="49"/>
      <c r="W9" s="15"/>
      <c r="X9" s="15"/>
      <c r="Y9" s="15"/>
      <c r="Z9" s="38"/>
    </row>
    <row r="10" spans="1:26" x14ac:dyDescent="0.3">
      <c r="A10" s="10"/>
      <c r="B10" s="53"/>
      <c r="C10" s="10"/>
      <c r="D10" s="42" t="s">
        <v>57</v>
      </c>
      <c r="E10" s="34"/>
      <c r="F10" s="40" t="s">
        <v>40</v>
      </c>
      <c r="G10" s="34"/>
      <c r="H10" s="45" t="s">
        <v>238</v>
      </c>
      <c r="I10" s="34"/>
      <c r="J10" s="48" t="s">
        <v>58</v>
      </c>
      <c r="K10" s="10"/>
      <c r="L10" s="42" t="s">
        <v>127</v>
      </c>
      <c r="M10" s="10"/>
      <c r="N10" s="40" t="s">
        <v>258</v>
      </c>
      <c r="O10" s="10"/>
      <c r="P10" s="56" t="s">
        <v>57</v>
      </c>
      <c r="Q10" s="34"/>
      <c r="R10" s="40" t="s">
        <v>40</v>
      </c>
      <c r="S10" s="34"/>
      <c r="T10" s="45" t="s">
        <v>238</v>
      </c>
      <c r="U10" s="34"/>
      <c r="V10" s="48" t="s">
        <v>58</v>
      </c>
      <c r="W10" s="10"/>
      <c r="X10" s="42" t="s">
        <v>127</v>
      </c>
      <c r="Y10" s="10"/>
      <c r="Z10" s="40" t="s">
        <v>258</v>
      </c>
    </row>
    <row r="11" spans="1:26" ht="15.6" x14ac:dyDescent="0.3">
      <c r="A11" s="9"/>
      <c r="B11" s="58"/>
      <c r="C11" s="9"/>
      <c r="D11" s="9"/>
      <c r="E11" s="9"/>
      <c r="F11" s="6"/>
      <c r="G11" s="9"/>
      <c r="H11" s="9"/>
      <c r="I11" s="9"/>
      <c r="J11" s="46"/>
      <c r="K11" s="9"/>
      <c r="L11" s="9"/>
      <c r="M11" s="9"/>
      <c r="N11" s="6"/>
      <c r="P11" s="9"/>
      <c r="Q11" s="9"/>
      <c r="R11" s="6"/>
      <c r="S11" s="9"/>
      <c r="T11" s="9"/>
      <c r="U11" s="9"/>
      <c r="V11" s="46"/>
      <c r="W11" s="9"/>
      <c r="X11" s="9"/>
      <c r="Y11" s="9"/>
      <c r="Z11" s="6"/>
    </row>
    <row r="12" spans="1:26" s="23" customFormat="1" collapsed="1" x14ac:dyDescent="0.3">
      <c r="A12" s="10"/>
      <c r="B12" s="25" t="s">
        <v>140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3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3" t="e">
        <f ca="1">-_xll.OneStop.ReportPlayer.OSRFunctions.OSRGet("GL_F_Trans","Value1")</f>
        <v>#NAME?</v>
      </c>
      <c r="E13" s="3"/>
      <c r="F13" s="19"/>
      <c r="G13" s="3"/>
      <c r="H13" s="3" t="e">
        <f ca="1">_xll.OneStop.ReportPlayer.OSRFunctions.OSRGet("GL_F_Trans","Value1")</f>
        <v>#NAME?</v>
      </c>
      <c r="I13" s="3"/>
      <c r="J13" s="19"/>
      <c r="K13" s="3"/>
      <c r="L13" s="3" t="e">
        <f t="shared" ca="1" si="0"/>
        <v>#NAME?</v>
      </c>
      <c r="M13" s="3"/>
      <c r="N13" s="19" t="e">
        <f t="shared" ca="1" si="1"/>
        <v>#NAME?</v>
      </c>
      <c r="O13" s="11"/>
      <c r="P13" s="3" t="e">
        <f ca="1">-_xll.OneStop.ReportPlayer.OSRFunctions.OSRGet("GL_F_Trans","Value1")</f>
        <v>#NAME?</v>
      </c>
      <c r="Q13" s="3"/>
      <c r="R13" s="19"/>
      <c r="S13" s="3"/>
      <c r="T13" s="3" t="e">
        <f ca="1">_xll.OneStop.ReportPlayer.OSRFunctions.OSRGet("GL_F_Trans","Value1")</f>
        <v>#NAME?</v>
      </c>
      <c r="U13" s="3"/>
      <c r="V13" s="19"/>
      <c r="W13" s="3"/>
      <c r="X13" s="3" t="e">
        <f t="shared" ca="1" si="2"/>
        <v>#NAME?</v>
      </c>
      <c r="Y13" s="3"/>
      <c r="Z13" s="19" t="e">
        <f t="shared" ca="1" si="3"/>
        <v>#NAME?</v>
      </c>
    </row>
    <row r="14" spans="1:26" x14ac:dyDescent="0.3">
      <c r="A14" s="9"/>
      <c r="B14" s="10"/>
      <c r="C14" s="9"/>
      <c r="D14" s="2"/>
      <c r="E14" s="2"/>
      <c r="F14" s="6"/>
      <c r="G14" s="2"/>
      <c r="H14" s="2"/>
      <c r="I14" s="2"/>
      <c r="J14" s="6"/>
      <c r="K14" s="2"/>
      <c r="L14" s="2"/>
      <c r="M14" s="2"/>
      <c r="N14" s="6"/>
      <c r="P14" s="2"/>
      <c r="Q14" s="2"/>
      <c r="R14" s="6"/>
      <c r="S14" s="2"/>
      <c r="T14" s="2"/>
      <c r="U14" s="2"/>
      <c r="V14" s="6"/>
      <c r="W14" s="2"/>
      <c r="X14" s="2"/>
      <c r="Y14" s="2"/>
      <c r="Z14" s="6"/>
    </row>
    <row r="15" spans="1:26" s="23" customFormat="1" collapsed="1" x14ac:dyDescent="0.3">
      <c r="A15" s="10"/>
      <c r="B15" s="25" t="s">
        <v>257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3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3" t="e">
        <f ca="1">_xll.OneStop.ReportPlayer.OSRFunctions.OSRGet("GL_F_Trans","Value1")</f>
        <v>#NAME?</v>
      </c>
      <c r="E16" s="3"/>
      <c r="F16" s="19" t="e">
        <f t="shared" ca="1" si="4"/>
        <v>#NAME?</v>
      </c>
      <c r="G16" s="3"/>
      <c r="H16" s="3" t="e">
        <f ca="1">_xll.OneStop.ReportPlayer.OSRFunctions.OSRGet("GL_F_Trans","Value1")</f>
        <v>#NAME?</v>
      </c>
      <c r="I16" s="3"/>
      <c r="J16" s="19" t="e">
        <f t="shared" ca="1" si="5"/>
        <v>#NAME?</v>
      </c>
      <c r="K16" s="3"/>
      <c r="L16" s="3" t="e">
        <f t="shared" ca="1" si="6"/>
        <v>#NAME?</v>
      </c>
      <c r="M16" s="3"/>
      <c r="N16" s="19" t="e">
        <f t="shared" ca="1" si="7"/>
        <v>#NAME?</v>
      </c>
      <c r="O16" s="11"/>
      <c r="P16" s="3" t="e">
        <f ca="1">_xll.OneStop.ReportPlayer.OSRFunctions.OSRGet("GL_F_Trans","Value1")</f>
        <v>#NAME?</v>
      </c>
      <c r="Q16" s="3"/>
      <c r="R16" s="19" t="e">
        <f t="shared" ca="1" si="8"/>
        <v>#NAME?</v>
      </c>
      <c r="S16" s="3"/>
      <c r="T16" s="3" t="e">
        <f ca="1">_xll.OneStop.ReportPlayer.OSRFunctions.OSRGet("GL_F_Trans","Value1")</f>
        <v>#NAME?</v>
      </c>
      <c r="U16" s="3"/>
      <c r="V16" s="19" t="e">
        <f t="shared" ca="1" si="9"/>
        <v>#NAME?</v>
      </c>
      <c r="W16" s="3"/>
      <c r="X16" s="3" t="e">
        <f t="shared" ca="1" si="10"/>
        <v>#NAME?</v>
      </c>
      <c r="Y16" s="3"/>
      <c r="Z16" s="19" t="e">
        <f t="shared" ca="1" si="11"/>
        <v>#NAME?</v>
      </c>
    </row>
    <row r="17" spans="1:26" x14ac:dyDescent="0.3">
      <c r="A17" s="9"/>
      <c r="B17" s="10"/>
      <c r="C17" s="10"/>
      <c r="D17" s="2"/>
      <c r="E17" s="2"/>
      <c r="F17" s="6"/>
      <c r="G17" s="2"/>
      <c r="H17" s="2"/>
      <c r="I17" s="2"/>
      <c r="J17" s="6"/>
      <c r="K17" s="2"/>
      <c r="L17" s="2"/>
      <c r="M17" s="2"/>
      <c r="N17" s="6"/>
      <c r="O17" s="10"/>
      <c r="P17" s="2"/>
      <c r="Q17" s="2"/>
      <c r="R17" s="6"/>
      <c r="S17" s="2"/>
      <c r="T17" s="2"/>
      <c r="U17" s="2"/>
      <c r="V17" s="6"/>
      <c r="W17" s="2"/>
      <c r="X17" s="2"/>
      <c r="Y17" s="2"/>
      <c r="Z17" s="6"/>
    </row>
    <row r="18" spans="1:26" s="23" customFormat="1" x14ac:dyDescent="0.3">
      <c r="A18" s="10"/>
      <c r="B18" s="26" t="s">
        <v>108</v>
      </c>
      <c r="C18" s="26"/>
      <c r="D18" s="21" t="e">
        <f ca="1">D12-D15</f>
        <v>#NAME?</v>
      </c>
      <c r="E18" s="13"/>
      <c r="F18" s="22" t="e">
        <f ca="1">IF(D$12=0,0,D18/D$12)</f>
        <v>#NAME?</v>
      </c>
      <c r="G18" s="13"/>
      <c r="H18" s="21" t="e">
        <f ca="1">H12-H15</f>
        <v>#NAME?</v>
      </c>
      <c r="I18" s="13"/>
      <c r="J18" s="22" t="e">
        <f ca="1">IF(H$12=0,0,H18/H$12)</f>
        <v>#NAME?</v>
      </c>
      <c r="K18" s="16"/>
      <c r="L18" s="21" t="e">
        <f ca="1">+D18-H18</f>
        <v>#NAME?</v>
      </c>
      <c r="M18" s="16"/>
      <c r="N18" s="22" t="e">
        <f ca="1">IF(H18=0,0,L18/H18)</f>
        <v>#NAME?</v>
      </c>
      <c r="O18" s="25"/>
      <c r="P18" s="21" t="e">
        <f ca="1">P12-P15</f>
        <v>#NAME?</v>
      </c>
      <c r="Q18" s="13"/>
      <c r="R18" s="22" t="e">
        <f ca="1">IF(P$12=0,0,P18/P$12)</f>
        <v>#NAME?</v>
      </c>
      <c r="S18" s="13"/>
      <c r="T18" s="21" t="e">
        <f ca="1">T12-T15</f>
        <v>#NAME?</v>
      </c>
      <c r="U18" s="13"/>
      <c r="V18" s="22" t="e">
        <f ca="1">IF(T$12=0,0,T18/T$12)</f>
        <v>#NAME?</v>
      </c>
      <c r="W18" s="16"/>
      <c r="X18" s="21" t="e">
        <f ca="1">+P18-T18</f>
        <v>#NAME?</v>
      </c>
      <c r="Y18" s="16"/>
      <c r="Z18" s="22" t="e">
        <f ca="1">IF(T18=0,0,X18/T18)</f>
        <v>#NAME?</v>
      </c>
    </row>
    <row r="19" spans="1:26" x14ac:dyDescent="0.3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">
      <c r="A20" s="10"/>
      <c r="B20" s="25" t="s">
        <v>295</v>
      </c>
      <c r="C20" s="10"/>
      <c r="D20" s="20" t="e">
        <f ca="1">SUM(_xll.OneStop.ReportPlayer.OSRFunctions.OSRRef(D22))</f>
        <v>#NAME?</v>
      </c>
      <c r="E20" s="20"/>
      <c r="F20" s="32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2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2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2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2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2" t="e">
        <f t="shared" ref="Z20:Z22" ca="1" si="19">IF(T20=0,0,X20/T20)</f>
        <v>#NAME?</v>
      </c>
    </row>
    <row r="21" spans="1:26" s="27" customFormat="1" outlineLevel="1" collapsed="1" x14ac:dyDescent="0.3">
      <c r="A21" s="28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3">
      <c r="A22" s="29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8" t="e">
        <f ca="1">_xll.OneStop.ReportPlayer.OSRFunctions.OSRGet("GL_F_Trans","Value1")</f>
        <v>#NAME?</v>
      </c>
      <c r="E22" s="3"/>
      <c r="F22" s="7" t="e">
        <f t="shared" ca="1" si="12"/>
        <v>#NAME?</v>
      </c>
      <c r="G22" s="3"/>
      <c r="H22" s="8" t="e">
        <f ca="1">_xll.OneStop.ReportPlayer.OSRFunctions.OSRGet("GL_F_Trans","Value1")</f>
        <v>#NAME?</v>
      </c>
      <c r="I22" s="3"/>
      <c r="J22" s="7" t="e">
        <f t="shared" ca="1" si="13"/>
        <v>#NAME?</v>
      </c>
      <c r="K22" s="3"/>
      <c r="L22" s="8" t="e">
        <f t="shared" ca="1" si="14"/>
        <v>#NAME?</v>
      </c>
      <c r="M22" s="3"/>
      <c r="N22" s="7" t="e">
        <f t="shared" ca="1" si="15"/>
        <v>#NAME?</v>
      </c>
      <c r="O22" s="11"/>
      <c r="P22" s="8" t="e">
        <f ca="1">_xll.OneStop.ReportPlayer.OSRFunctions.OSRGet("GL_F_Trans","Value1")</f>
        <v>#NAME?</v>
      </c>
      <c r="Q22" s="3"/>
      <c r="R22" s="7" t="e">
        <f t="shared" ca="1" si="16"/>
        <v>#NAME?</v>
      </c>
      <c r="S22" s="3"/>
      <c r="T22" s="8" t="e">
        <f ca="1">_xll.OneStop.ReportPlayer.OSRFunctions.OSRGet("GL_F_Trans","Value1")</f>
        <v>#NAME?</v>
      </c>
      <c r="U22" s="3"/>
      <c r="V22" s="7" t="e">
        <f t="shared" ca="1" si="17"/>
        <v>#NAME?</v>
      </c>
      <c r="W22" s="3"/>
      <c r="X22" s="8" t="e">
        <f t="shared" ca="1" si="18"/>
        <v>#NAME?</v>
      </c>
      <c r="Y22" s="3"/>
      <c r="Z22" s="7" t="e">
        <f t="shared" ca="1" si="19"/>
        <v>#NAME?</v>
      </c>
    </row>
    <row r="23" spans="1:26" s="62" customFormat="1" x14ac:dyDescent="0.3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3">
      <c r="A24" s="10"/>
      <c r="B24" s="25" t="s">
        <v>293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3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3" t="e">
        <f ca="1">-_xll.OneStop.ReportPlayer.OSRFunctions.OSRGet("GL_F_Trans","Value1")</f>
        <v>#NAME?</v>
      </c>
      <c r="E25" s="3"/>
      <c r="F25" s="19" t="e">
        <f t="shared" ca="1" si="20"/>
        <v>#NAME?</v>
      </c>
      <c r="G25" s="3"/>
      <c r="H25" s="3" t="e">
        <f ca="1">_xll.OneStop.ReportPlayer.OSRFunctions.OSRGet("GL_F_Trans","Value1")</f>
        <v>#NAME?</v>
      </c>
      <c r="I25" s="3"/>
      <c r="J25" s="19" t="e">
        <f t="shared" ca="1" si="21"/>
        <v>#NAME?</v>
      </c>
      <c r="K25" s="3"/>
      <c r="L25" s="3" t="e">
        <f t="shared" ca="1" si="22"/>
        <v>#NAME?</v>
      </c>
      <c r="M25" s="3"/>
      <c r="N25" s="19" t="e">
        <f t="shared" ca="1" si="23"/>
        <v>#NAME?</v>
      </c>
      <c r="O25" s="11"/>
      <c r="P25" s="3" t="e">
        <f ca="1">-_xll.OneStop.ReportPlayer.OSRFunctions.OSRGet("GL_F_Trans","Value1")</f>
        <v>#NAME?</v>
      </c>
      <c r="Q25" s="3"/>
      <c r="R25" s="19" t="e">
        <f t="shared" ca="1" si="24"/>
        <v>#NAME?</v>
      </c>
      <c r="S25" s="3"/>
      <c r="T25" s="3" t="e">
        <f ca="1">_xll.OneStop.ReportPlayer.OSRFunctions.OSRGet("GL_F_Trans","Value1")</f>
        <v>#NAME?</v>
      </c>
      <c r="U25" s="3"/>
      <c r="V25" s="19" t="e">
        <f t="shared" ca="1" si="25"/>
        <v>#NAME?</v>
      </c>
      <c r="W25" s="3"/>
      <c r="X25" s="3" t="e">
        <f t="shared" ca="1" si="26"/>
        <v>#NAME?</v>
      </c>
      <c r="Y25" s="3"/>
      <c r="Z25" s="19" t="e">
        <f t="shared" ca="1" si="27"/>
        <v>#NAME?</v>
      </c>
    </row>
    <row r="26" spans="1:26" x14ac:dyDescent="0.3">
      <c r="A26" s="9"/>
      <c r="B26" s="10"/>
      <c r="C26" s="10"/>
      <c r="D26" s="2"/>
      <c r="E26" s="2"/>
      <c r="F26" s="6"/>
      <c r="G26" s="2"/>
      <c r="H26" s="2"/>
      <c r="I26" s="2"/>
      <c r="J26" s="6"/>
      <c r="K26" s="2"/>
      <c r="L26" s="2"/>
      <c r="M26" s="2"/>
      <c r="N26" s="6"/>
      <c r="O26" s="10"/>
      <c r="P26" s="2"/>
      <c r="Q26" s="2"/>
      <c r="R26" s="6"/>
      <c r="S26" s="2"/>
      <c r="T26" s="2"/>
      <c r="U26" s="2"/>
      <c r="V26" s="6"/>
      <c r="W26" s="2"/>
      <c r="X26" s="2"/>
      <c r="Y26" s="2"/>
      <c r="Z26" s="6"/>
    </row>
    <row r="27" spans="1:26" s="23" customFormat="1" x14ac:dyDescent="0.3">
      <c r="A27" s="10"/>
      <c r="B27" s="26" t="s">
        <v>277</v>
      </c>
      <c r="C27" s="26"/>
      <c r="D27" s="21" t="e">
        <f ca="1">+D18-D20+D24</f>
        <v>#NAME?</v>
      </c>
      <c r="E27" s="13"/>
      <c r="F27" s="22" t="e">
        <f ca="1">IF(D$12=0,0,D27/D$12)</f>
        <v>#NAME?</v>
      </c>
      <c r="G27" s="13"/>
      <c r="H27" s="21" t="e">
        <f ca="1">+H18-H20+H24</f>
        <v>#NAME?</v>
      </c>
      <c r="I27" s="13"/>
      <c r="J27" s="22" t="e">
        <f ca="1">IF(H$12=0,0,H27/H$12)</f>
        <v>#NAME?</v>
      </c>
      <c r="K27" s="16"/>
      <c r="L27" s="21" t="e">
        <f ca="1">+D27-H27</f>
        <v>#NAME?</v>
      </c>
      <c r="M27" s="16"/>
      <c r="N27" s="22" t="e">
        <f ca="1">IF(H27=0,0,L27/H27)</f>
        <v>#NAME?</v>
      </c>
      <c r="O27" s="25"/>
      <c r="P27" s="21" t="e">
        <f ca="1">+P18-P20+P24</f>
        <v>#NAME?</v>
      </c>
      <c r="Q27" s="13"/>
      <c r="R27" s="22" t="e">
        <f ca="1">IF(P$12=0,0,P27/P$12)</f>
        <v>#NAME?</v>
      </c>
      <c r="S27" s="13"/>
      <c r="T27" s="21" t="e">
        <f ca="1">+T18-T20+T24</f>
        <v>#NAME?</v>
      </c>
      <c r="U27" s="13"/>
      <c r="V27" s="22" t="e">
        <f ca="1">IF(T$12=0,0,T27/T$12)</f>
        <v>#NAME?</v>
      </c>
      <c r="W27" s="16"/>
      <c r="X27" s="21" t="e">
        <f ca="1">+P27-T27</f>
        <v>#NAME?</v>
      </c>
      <c r="Y27" s="16"/>
      <c r="Z27" s="22" t="e">
        <f ca="1">IF(T27=0,0,X27/T27)</f>
        <v>#NAME?</v>
      </c>
    </row>
    <row r="28" spans="1:26" x14ac:dyDescent="0.3">
      <c r="A28" s="9"/>
      <c r="B28" s="10"/>
      <c r="C28" s="9"/>
      <c r="D28" s="2"/>
      <c r="E28" s="2"/>
      <c r="F28" s="6"/>
      <c r="G28" s="2"/>
      <c r="H28" s="2"/>
      <c r="I28" s="2"/>
      <c r="J28" s="6"/>
      <c r="K28" s="2"/>
      <c r="L28" s="2"/>
      <c r="M28" s="2"/>
      <c r="N28" s="6"/>
      <c r="P28" s="2"/>
      <c r="Q28" s="2"/>
      <c r="R28" s="6"/>
      <c r="S28" s="2"/>
      <c r="T28" s="2"/>
      <c r="U28" s="2"/>
      <c r="V28" s="6"/>
      <c r="W28" s="2"/>
      <c r="X28" s="2"/>
      <c r="Y28" s="2"/>
      <c r="Z28" s="6"/>
    </row>
    <row r="29" spans="1:26" s="23" customFormat="1" x14ac:dyDescent="0.3">
      <c r="A29" s="52"/>
      <c r="B29" s="10" t="s">
        <v>128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3">
      <c r="A30" s="9"/>
      <c r="B30" s="10"/>
      <c r="C30" s="10"/>
      <c r="D30" s="2"/>
      <c r="E30" s="2"/>
      <c r="F30" s="6"/>
      <c r="G30" s="2"/>
      <c r="H30" s="2"/>
      <c r="I30" s="2"/>
      <c r="J30" s="6"/>
      <c r="K30" s="2"/>
      <c r="L30" s="2"/>
      <c r="M30" s="2"/>
      <c r="N30" s="6"/>
      <c r="O30" s="10"/>
      <c r="P30" s="2"/>
      <c r="Q30" s="2"/>
      <c r="R30" s="6"/>
      <c r="S30" s="2"/>
      <c r="T30" s="2"/>
      <c r="U30" s="2"/>
      <c r="V30" s="6"/>
      <c r="W30" s="2"/>
      <c r="X30" s="2"/>
      <c r="Y30" s="2"/>
      <c r="Z30" s="6"/>
    </row>
    <row r="31" spans="1:26" s="23" customFormat="1" ht="15" thickBot="1" x14ac:dyDescent="0.35">
      <c r="A31" s="10"/>
      <c r="B31" s="26" t="s">
        <v>126</v>
      </c>
      <c r="C31" s="26"/>
      <c r="D31" s="35" t="e">
        <f ca="1">+D27-D29</f>
        <v>#NAME?</v>
      </c>
      <c r="E31" s="13"/>
      <c r="F31" s="30" t="e">
        <f ca="1">IF(D$12=0,0,D31/D$12)</f>
        <v>#NAME?</v>
      </c>
      <c r="G31" s="13"/>
      <c r="H31" s="35" t="e">
        <f ca="1">+H27-H29</f>
        <v>#NAME?</v>
      </c>
      <c r="I31" s="13"/>
      <c r="J31" s="30" t="e">
        <f ca="1">IF(H$12=0,0,H31/H$12)</f>
        <v>#NAME?</v>
      </c>
      <c r="K31" s="16"/>
      <c r="L31" s="35" t="e">
        <f ca="1">D31-H31</f>
        <v>#NAME?</v>
      </c>
      <c r="M31" s="16"/>
      <c r="N31" s="30" t="e">
        <f ca="1">IF(H31=0,0,L31/H31)</f>
        <v>#NAME?</v>
      </c>
      <c r="O31" s="25"/>
      <c r="P31" s="35" t="e">
        <f ca="1">+P27-P29</f>
        <v>#NAME?</v>
      </c>
      <c r="Q31" s="13"/>
      <c r="R31" s="30" t="e">
        <f ca="1">IF(P$12=0,0,P31/P$12)</f>
        <v>#NAME?</v>
      </c>
      <c r="S31" s="13"/>
      <c r="T31" s="35" t="e">
        <f ca="1">+T27-T29</f>
        <v>#NAME?</v>
      </c>
      <c r="U31" s="13"/>
      <c r="V31" s="30" t="e">
        <f ca="1">IF(T$12=0,0,T31/T$12)</f>
        <v>#NAME?</v>
      </c>
      <c r="W31" s="16"/>
      <c r="X31" s="35" t="e">
        <f ca="1">P31-T31</f>
        <v>#NAME?</v>
      </c>
      <c r="Y31" s="16"/>
      <c r="Z31" s="30" t="e">
        <f ca="1">IF(T31=0,0,X31/T31)</f>
        <v>#NAME?</v>
      </c>
    </row>
    <row r="32" spans="1:26" ht="15" thickTop="1" x14ac:dyDescent="0.3">
      <c r="A32" s="9"/>
      <c r="B32" s="9"/>
      <c r="C32" s="9"/>
      <c r="D32" s="2"/>
      <c r="E32" s="2"/>
      <c r="F32" s="6"/>
      <c r="G32" s="2"/>
      <c r="H32" s="2"/>
      <c r="I32" s="2"/>
      <c r="J32" s="6"/>
      <c r="K32" s="2"/>
      <c r="L32" s="2"/>
      <c r="M32" s="2"/>
      <c r="N32" s="6"/>
      <c r="P32" s="2"/>
      <c r="Q32" s="2"/>
      <c r="R32" s="6"/>
      <c r="S32" s="2"/>
      <c r="T32" s="2"/>
      <c r="U32" s="2"/>
      <c r="V32" s="6"/>
      <c r="W32" s="2"/>
      <c r="X32" s="2"/>
      <c r="Y32" s="2"/>
      <c r="Z32" s="6"/>
    </row>
    <row r="33" spans="1:26" s="23" customFormat="1" x14ac:dyDescent="0.3">
      <c r="A33" s="52"/>
      <c r="B33" s="10" t="s">
        <v>184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3">
      <c r="A34" s="52"/>
      <c r="B34" s="10" t="s">
        <v>82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3">
      <c r="A35" s="9"/>
      <c r="B35" s="9"/>
      <c r="C35" s="9"/>
      <c r="D35" s="2"/>
      <c r="E35" s="2"/>
      <c r="F35" s="6"/>
      <c r="G35" s="2"/>
      <c r="H35" s="2"/>
      <c r="I35" s="2"/>
      <c r="J35" s="6"/>
      <c r="K35" s="2"/>
      <c r="L35" s="2"/>
      <c r="M35" s="2"/>
      <c r="N35" s="6"/>
      <c r="P35" s="2"/>
      <c r="Q35" s="2"/>
      <c r="R35" s="6"/>
      <c r="S35" s="2"/>
      <c r="T35" s="2"/>
      <c r="U35" s="2"/>
      <c r="V35" s="6"/>
      <c r="W35" s="2"/>
      <c r="X35" s="2"/>
      <c r="Y35" s="2"/>
      <c r="Z35" s="6"/>
    </row>
    <row r="36" spans="1:26" s="23" customFormat="1" ht="15" thickBot="1" x14ac:dyDescent="0.35">
      <c r="A36" s="10"/>
      <c r="B36" s="26" t="s">
        <v>294</v>
      </c>
      <c r="C36" s="26"/>
      <c r="D36" s="33" t="e">
        <f ca="1">SUM(D31:D35)</f>
        <v>#NAME?</v>
      </c>
      <c r="E36" s="13"/>
      <c r="F36" s="31" t="e">
        <f ca="1">IF(D$12=0,0,D36/D$12)</f>
        <v>#NAME?</v>
      </c>
      <c r="G36" s="13"/>
      <c r="H36" s="33" t="e">
        <f ca="1">SUM(H31:H35)</f>
        <v>#NAME?</v>
      </c>
      <c r="I36" s="13"/>
      <c r="J36" s="31" t="e">
        <f ca="1">IF(H$12=0,0,H36/H$12)</f>
        <v>#NAME?</v>
      </c>
      <c r="K36" s="16"/>
      <c r="L36" s="33" t="e">
        <f ca="1">+D36-H36</f>
        <v>#NAME?</v>
      </c>
      <c r="M36" s="16"/>
      <c r="N36" s="31" t="e">
        <f ca="1">IF(H36=0,0,L36/H36)</f>
        <v>#NAME?</v>
      </c>
      <c r="O36" s="25"/>
      <c r="P36" s="33" t="e">
        <f ca="1">SUM(P31:P35)</f>
        <v>#NAME?</v>
      </c>
      <c r="Q36" s="13"/>
      <c r="R36" s="31" t="e">
        <f ca="1">IF(P$12=0,0,P36/P$12)</f>
        <v>#NAME?</v>
      </c>
      <c r="S36" s="13"/>
      <c r="T36" s="33" t="e">
        <f ca="1">SUM(T31:T35)</f>
        <v>#NAME?</v>
      </c>
      <c r="U36" s="13"/>
      <c r="V36" s="31" t="e">
        <f ca="1">IF(T$12=0,0,T36/T$12)</f>
        <v>#NAME?</v>
      </c>
      <c r="W36" s="16"/>
      <c r="X36" s="33" t="e">
        <f ca="1">+P36-T36</f>
        <v>#NAME?</v>
      </c>
      <c r="Y36" s="16"/>
      <c r="Z36" s="31" t="e">
        <f ca="1">IF(T36=0,0,X36/T36)</f>
        <v>#NAME?</v>
      </c>
    </row>
    <row r="37" spans="1:26" ht="15" thickTop="1" x14ac:dyDescent="0.3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3">
      <c r="A38" s="9"/>
      <c r="B38" s="54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3">
      <c r="A39" s="9"/>
      <c r="B39" s="59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3">
      <c r="A40" s="9"/>
      <c r="B40" s="55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3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50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7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50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7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7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7" customWidth="1" outlineLevel="1"/>
  </cols>
  <sheetData>
    <row r="2" spans="1:26" x14ac:dyDescent="0.3">
      <c r="D2" s="57" t="s">
        <v>23</v>
      </c>
    </row>
    <row r="3" spans="1:26" x14ac:dyDescent="0.3">
      <c r="D3" s="57" t="s">
        <v>237</v>
      </c>
      <c r="E3" s="17"/>
      <c r="F3" s="51"/>
      <c r="G3" s="17"/>
      <c r="H3" s="17"/>
      <c r="I3" s="17"/>
      <c r="J3" s="39"/>
      <c r="K3" s="17"/>
      <c r="L3" s="17"/>
      <c r="M3" s="17"/>
      <c r="N3" s="51"/>
      <c r="O3" s="61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3">
      <c r="D4" s="57" t="e">
        <f ca="1">CONCATENATE("Period ",RIGHT(_xll.OneStop.ReportPlayer.OSRFunctions.OSRGet("Period","PeriodId"),2),", ",_xll.OneStop.ReportPlayer.OSRFunctions.OSRGet("Period","Year"))</f>
        <v>#NAME?</v>
      </c>
      <c r="E4" s="17"/>
      <c r="F4" s="51"/>
      <c r="G4" s="17"/>
      <c r="H4" s="17"/>
      <c r="I4" s="17"/>
      <c r="J4" s="39"/>
      <c r="K4" s="17"/>
      <c r="L4" s="17"/>
      <c r="M4" s="17"/>
      <c r="N4" s="51"/>
      <c r="O4" s="61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3">
      <c r="A5" s="23"/>
      <c r="D5" s="65" t="e">
        <f ca="1">_xll.OneStop.ReportPlayer.OSRFunctions.OSRGet("Period","PeriodEnd")</f>
        <v>#NAME?</v>
      </c>
      <c r="E5" s="17"/>
      <c r="F5" s="51"/>
      <c r="G5" s="17"/>
      <c r="H5" s="17"/>
      <c r="I5" s="17"/>
      <c r="J5" s="39"/>
      <c r="K5" s="17"/>
      <c r="L5" s="17"/>
      <c r="M5" s="17"/>
      <c r="N5" s="51"/>
      <c r="O5" s="61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3">
      <c r="A6" s="23"/>
      <c r="B6" s="47"/>
      <c r="C6" s="47"/>
      <c r="D6" s="23" t="s">
        <v>125</v>
      </c>
      <c r="E6" s="17"/>
      <c r="F6" s="51"/>
      <c r="G6" s="17"/>
      <c r="H6" s="17"/>
      <c r="I6" s="17"/>
      <c r="J6" s="39"/>
      <c r="K6" s="17"/>
      <c r="L6" s="17"/>
      <c r="M6" s="17"/>
      <c r="N6" s="51"/>
      <c r="O6" s="60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3">
      <c r="B7" s="63"/>
    </row>
    <row r="8" spans="1:26" x14ac:dyDescent="0.3">
      <c r="B8" s="63"/>
    </row>
    <row r="9" spans="1:26" x14ac:dyDescent="0.3">
      <c r="B9" s="9"/>
      <c r="C9" s="9"/>
      <c r="D9" s="15" t="s">
        <v>292</v>
      </c>
      <c r="E9" s="15"/>
      <c r="F9" s="38"/>
      <c r="G9" s="15"/>
      <c r="H9" s="15"/>
      <c r="I9" s="15"/>
      <c r="J9" s="49"/>
      <c r="K9" s="15"/>
      <c r="L9" s="15"/>
      <c r="M9" s="15"/>
      <c r="N9" s="38"/>
      <c r="P9" s="15" t="s">
        <v>39</v>
      </c>
      <c r="Q9" s="15"/>
      <c r="R9" s="38"/>
      <c r="S9" s="15"/>
      <c r="T9" s="15"/>
      <c r="U9" s="15"/>
      <c r="V9" s="49"/>
      <c r="W9" s="15"/>
      <c r="X9" s="15"/>
      <c r="Y9" s="15"/>
      <c r="Z9" s="38"/>
    </row>
    <row r="10" spans="1:26" x14ac:dyDescent="0.3">
      <c r="A10" s="10"/>
      <c r="B10" s="53"/>
      <c r="C10" s="10"/>
      <c r="D10" s="42" t="s">
        <v>57</v>
      </c>
      <c r="E10" s="34"/>
      <c r="F10" s="40" t="s">
        <v>40</v>
      </c>
      <c r="G10" s="34"/>
      <c r="H10" s="45" t="s">
        <v>238</v>
      </c>
      <c r="I10" s="34"/>
      <c r="J10" s="48" t="s">
        <v>58</v>
      </c>
      <c r="K10" s="10"/>
      <c r="L10" s="42" t="s">
        <v>127</v>
      </c>
      <c r="M10" s="10"/>
      <c r="N10" s="40" t="s">
        <v>258</v>
      </c>
      <c r="O10" s="10"/>
      <c r="P10" s="56" t="s">
        <v>57</v>
      </c>
      <c r="Q10" s="34"/>
      <c r="R10" s="40" t="s">
        <v>40</v>
      </c>
      <c r="S10" s="34"/>
      <c r="T10" s="45" t="s">
        <v>238</v>
      </c>
      <c r="U10" s="34"/>
      <c r="V10" s="48" t="s">
        <v>58</v>
      </c>
      <c r="W10" s="10"/>
      <c r="X10" s="42" t="s">
        <v>127</v>
      </c>
      <c r="Y10" s="10"/>
      <c r="Z10" s="40" t="s">
        <v>258</v>
      </c>
    </row>
    <row r="11" spans="1:26" ht="15.6" x14ac:dyDescent="0.3">
      <c r="A11" s="9"/>
      <c r="B11" s="58"/>
      <c r="C11" s="9"/>
      <c r="D11" s="9"/>
      <c r="E11" s="9"/>
      <c r="F11" s="6"/>
      <c r="G11" s="9"/>
      <c r="H11" s="9"/>
      <c r="I11" s="9"/>
      <c r="J11" s="46"/>
      <c r="K11" s="9"/>
      <c r="L11" s="9"/>
      <c r="M11" s="9"/>
      <c r="N11" s="6"/>
      <c r="P11" s="9"/>
      <c r="Q11" s="9"/>
      <c r="R11" s="6"/>
      <c r="S11" s="9"/>
      <c r="T11" s="9"/>
      <c r="U11" s="9"/>
      <c r="V11" s="46"/>
      <c r="W11" s="9"/>
      <c r="X11" s="9"/>
      <c r="Y11" s="9"/>
      <c r="Z11" s="6"/>
    </row>
    <row r="12" spans="1:26" s="23" customFormat="1" collapsed="1" x14ac:dyDescent="0.3">
      <c r="A12" s="10"/>
      <c r="B12" s="25" t="s">
        <v>140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3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3" t="e">
        <f ca="1">-_xll.OneStop.ReportPlayer.OSRFunctions.OSRGet("GL_F_Trans","Value1")</f>
        <v>#NAME?</v>
      </c>
      <c r="E13" s="3"/>
      <c r="F13" s="19"/>
      <c r="G13" s="3"/>
      <c r="H13" s="3" t="e">
        <f ca="1">_xll.OneStop.ReportPlayer.OSRFunctions.OSRGet("GL_F_Trans","Value1")</f>
        <v>#NAME?</v>
      </c>
      <c r="I13" s="3"/>
      <c r="J13" s="19"/>
      <c r="K13" s="3"/>
      <c r="L13" s="3" t="e">
        <f t="shared" ca="1" si="0"/>
        <v>#NAME?</v>
      </c>
      <c r="M13" s="3"/>
      <c r="N13" s="19" t="e">
        <f t="shared" ca="1" si="1"/>
        <v>#NAME?</v>
      </c>
      <c r="O13" s="11"/>
      <c r="P13" s="3" t="e">
        <f ca="1">-_xll.OneStop.ReportPlayer.OSRFunctions.OSRGet("GL_F_Trans","Value1")</f>
        <v>#NAME?</v>
      </c>
      <c r="Q13" s="3"/>
      <c r="R13" s="19"/>
      <c r="S13" s="3"/>
      <c r="T13" s="3" t="e">
        <f ca="1">_xll.OneStop.ReportPlayer.OSRFunctions.OSRGet("GL_F_Trans","Value1")</f>
        <v>#NAME?</v>
      </c>
      <c r="U13" s="3"/>
      <c r="V13" s="19"/>
      <c r="W13" s="3"/>
      <c r="X13" s="3" t="e">
        <f t="shared" ca="1" si="2"/>
        <v>#NAME?</v>
      </c>
      <c r="Y13" s="3"/>
      <c r="Z13" s="19" t="e">
        <f t="shared" ca="1" si="3"/>
        <v>#NAME?</v>
      </c>
    </row>
    <row r="14" spans="1:26" x14ac:dyDescent="0.3">
      <c r="A14" s="9"/>
      <c r="B14" s="10"/>
      <c r="C14" s="9"/>
      <c r="D14" s="2"/>
      <c r="E14" s="2"/>
      <c r="F14" s="6"/>
      <c r="G14" s="2"/>
      <c r="H14" s="2"/>
      <c r="I14" s="2"/>
      <c r="J14" s="6"/>
      <c r="K14" s="2"/>
      <c r="L14" s="2"/>
      <c r="M14" s="2"/>
      <c r="N14" s="6"/>
      <c r="P14" s="2"/>
      <c r="Q14" s="2"/>
      <c r="R14" s="6"/>
      <c r="S14" s="2"/>
      <c r="T14" s="2"/>
      <c r="U14" s="2"/>
      <c r="V14" s="6"/>
      <c r="W14" s="2"/>
      <c r="X14" s="2"/>
      <c r="Y14" s="2"/>
      <c r="Z14" s="6"/>
    </row>
    <row r="15" spans="1:26" s="23" customFormat="1" collapsed="1" x14ac:dyDescent="0.3">
      <c r="A15" s="10"/>
      <c r="B15" s="25" t="s">
        <v>257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3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3" t="e">
        <f ca="1">_xll.OneStop.ReportPlayer.OSRFunctions.OSRGet("GL_F_Trans","Value1")</f>
        <v>#NAME?</v>
      </c>
      <c r="E16" s="3"/>
      <c r="F16" s="19" t="e">
        <f t="shared" ca="1" si="4"/>
        <v>#NAME?</v>
      </c>
      <c r="G16" s="3"/>
      <c r="H16" s="3" t="e">
        <f ca="1">_xll.OneStop.ReportPlayer.OSRFunctions.OSRGet("GL_F_Trans","Value1")</f>
        <v>#NAME?</v>
      </c>
      <c r="I16" s="3"/>
      <c r="J16" s="19" t="e">
        <f t="shared" ca="1" si="5"/>
        <v>#NAME?</v>
      </c>
      <c r="K16" s="3"/>
      <c r="L16" s="3" t="e">
        <f t="shared" ca="1" si="6"/>
        <v>#NAME?</v>
      </c>
      <c r="M16" s="3"/>
      <c r="N16" s="19" t="e">
        <f t="shared" ca="1" si="7"/>
        <v>#NAME?</v>
      </c>
      <c r="O16" s="11"/>
      <c r="P16" s="3" t="e">
        <f ca="1">_xll.OneStop.ReportPlayer.OSRFunctions.OSRGet("GL_F_Trans","Value1")</f>
        <v>#NAME?</v>
      </c>
      <c r="Q16" s="3"/>
      <c r="R16" s="19" t="e">
        <f t="shared" ca="1" si="8"/>
        <v>#NAME?</v>
      </c>
      <c r="S16" s="3"/>
      <c r="T16" s="3" t="e">
        <f ca="1">_xll.OneStop.ReportPlayer.OSRFunctions.OSRGet("GL_F_Trans","Value1")</f>
        <v>#NAME?</v>
      </c>
      <c r="U16" s="3"/>
      <c r="V16" s="19" t="e">
        <f t="shared" ca="1" si="9"/>
        <v>#NAME?</v>
      </c>
      <c r="W16" s="3"/>
      <c r="X16" s="3" t="e">
        <f t="shared" ca="1" si="10"/>
        <v>#NAME?</v>
      </c>
      <c r="Y16" s="3"/>
      <c r="Z16" s="19" t="e">
        <f t="shared" ca="1" si="11"/>
        <v>#NAME?</v>
      </c>
    </row>
    <row r="17" spans="1:26" x14ac:dyDescent="0.3">
      <c r="A17" s="9"/>
      <c r="B17" s="10"/>
      <c r="C17" s="10"/>
      <c r="D17" s="2"/>
      <c r="E17" s="2"/>
      <c r="F17" s="6"/>
      <c r="G17" s="2"/>
      <c r="H17" s="2"/>
      <c r="I17" s="2"/>
      <c r="J17" s="6"/>
      <c r="K17" s="2"/>
      <c r="L17" s="2"/>
      <c r="M17" s="2"/>
      <c r="N17" s="6"/>
      <c r="O17" s="10"/>
      <c r="P17" s="2"/>
      <c r="Q17" s="2"/>
      <c r="R17" s="6"/>
      <c r="S17" s="2"/>
      <c r="T17" s="2"/>
      <c r="U17" s="2"/>
      <c r="V17" s="6"/>
      <c r="W17" s="2"/>
      <c r="X17" s="2"/>
      <c r="Y17" s="2"/>
      <c r="Z17" s="6"/>
    </row>
    <row r="18" spans="1:26" s="23" customFormat="1" x14ac:dyDescent="0.3">
      <c r="A18" s="10"/>
      <c r="B18" s="26" t="s">
        <v>108</v>
      </c>
      <c r="C18" s="26"/>
      <c r="D18" s="21" t="e">
        <f ca="1">D12-D15</f>
        <v>#NAME?</v>
      </c>
      <c r="E18" s="13"/>
      <c r="F18" s="22" t="e">
        <f ca="1">IF(D$12=0,0,D18/D$12)</f>
        <v>#NAME?</v>
      </c>
      <c r="G18" s="13"/>
      <c r="H18" s="21" t="e">
        <f ca="1">H12-H15</f>
        <v>#NAME?</v>
      </c>
      <c r="I18" s="13"/>
      <c r="J18" s="22" t="e">
        <f ca="1">IF(H$12=0,0,H18/H$12)</f>
        <v>#NAME?</v>
      </c>
      <c r="K18" s="16"/>
      <c r="L18" s="21" t="e">
        <f ca="1">+D18-H18</f>
        <v>#NAME?</v>
      </c>
      <c r="M18" s="16"/>
      <c r="N18" s="22" t="e">
        <f ca="1">IF(H18=0,0,L18/H18)</f>
        <v>#NAME?</v>
      </c>
      <c r="O18" s="25"/>
      <c r="P18" s="21" t="e">
        <f ca="1">P12-P15</f>
        <v>#NAME?</v>
      </c>
      <c r="Q18" s="13"/>
      <c r="R18" s="22" t="e">
        <f ca="1">IF(P$12=0,0,P18/P$12)</f>
        <v>#NAME?</v>
      </c>
      <c r="S18" s="13"/>
      <c r="T18" s="21" t="e">
        <f ca="1">T12-T15</f>
        <v>#NAME?</v>
      </c>
      <c r="U18" s="13"/>
      <c r="V18" s="22" t="e">
        <f ca="1">IF(T$12=0,0,T18/T$12)</f>
        <v>#NAME?</v>
      </c>
      <c r="W18" s="16"/>
      <c r="X18" s="21" t="e">
        <f ca="1">+P18-T18</f>
        <v>#NAME?</v>
      </c>
      <c r="Y18" s="16"/>
      <c r="Z18" s="22" t="e">
        <f ca="1">IF(T18=0,0,X18/T18)</f>
        <v>#NAME?</v>
      </c>
    </row>
    <row r="19" spans="1:26" x14ac:dyDescent="0.3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">
      <c r="A20" s="10"/>
      <c r="B20" s="25" t="s">
        <v>295</v>
      </c>
      <c r="C20" s="10"/>
      <c r="D20" s="20" t="e">
        <f ca="1">SUM(_xll.OneStop.ReportPlayer.OSRFunctions.OSRRef(D22))</f>
        <v>#NAME?</v>
      </c>
      <c r="E20" s="20"/>
      <c r="F20" s="32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2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2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2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2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2" t="e">
        <f t="shared" ref="Z20:Z22" ca="1" si="19">IF(T20=0,0,X20/T20)</f>
        <v>#NAME?</v>
      </c>
    </row>
    <row r="21" spans="1:26" s="27" customFormat="1" outlineLevel="1" collapsed="1" x14ac:dyDescent="0.3">
      <c r="A21" s="28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3">
      <c r="A22" s="29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8" t="e">
        <f ca="1">_xll.OneStop.ReportPlayer.OSRFunctions.OSRGet("GL_F_Trans","Value1")</f>
        <v>#NAME?</v>
      </c>
      <c r="E22" s="3"/>
      <c r="F22" s="7" t="e">
        <f t="shared" ca="1" si="12"/>
        <v>#NAME?</v>
      </c>
      <c r="G22" s="3"/>
      <c r="H22" s="8" t="e">
        <f ca="1">_xll.OneStop.ReportPlayer.OSRFunctions.OSRGet("GL_F_Trans","Value1")</f>
        <v>#NAME?</v>
      </c>
      <c r="I22" s="3"/>
      <c r="J22" s="7" t="e">
        <f t="shared" ca="1" si="13"/>
        <v>#NAME?</v>
      </c>
      <c r="K22" s="3"/>
      <c r="L22" s="8" t="e">
        <f t="shared" ca="1" si="14"/>
        <v>#NAME?</v>
      </c>
      <c r="M22" s="3"/>
      <c r="N22" s="7" t="e">
        <f t="shared" ca="1" si="15"/>
        <v>#NAME?</v>
      </c>
      <c r="O22" s="11"/>
      <c r="P22" s="8" t="e">
        <f ca="1">_xll.OneStop.ReportPlayer.OSRFunctions.OSRGet("GL_F_Trans","Value1")</f>
        <v>#NAME?</v>
      </c>
      <c r="Q22" s="3"/>
      <c r="R22" s="7" t="e">
        <f t="shared" ca="1" si="16"/>
        <v>#NAME?</v>
      </c>
      <c r="S22" s="3"/>
      <c r="T22" s="8" t="e">
        <f ca="1">_xll.OneStop.ReportPlayer.OSRFunctions.OSRGet("GL_F_Trans","Value1")</f>
        <v>#NAME?</v>
      </c>
      <c r="U22" s="3"/>
      <c r="V22" s="7" t="e">
        <f t="shared" ca="1" si="17"/>
        <v>#NAME?</v>
      </c>
      <c r="W22" s="3"/>
      <c r="X22" s="8" t="e">
        <f t="shared" ca="1" si="18"/>
        <v>#NAME?</v>
      </c>
      <c r="Y22" s="3"/>
      <c r="Z22" s="7" t="e">
        <f t="shared" ca="1" si="19"/>
        <v>#NAME?</v>
      </c>
    </row>
    <row r="23" spans="1:26" s="62" customFormat="1" x14ac:dyDescent="0.3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3">
      <c r="A24" s="10"/>
      <c r="B24" s="25" t="s">
        <v>293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3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3" t="e">
        <f ca="1">-_xll.OneStop.ReportPlayer.OSRFunctions.OSRGet("GL_F_Trans","Value1")</f>
        <v>#NAME?</v>
      </c>
      <c r="E25" s="3"/>
      <c r="F25" s="19" t="e">
        <f t="shared" ca="1" si="20"/>
        <v>#NAME?</v>
      </c>
      <c r="G25" s="3"/>
      <c r="H25" s="3" t="e">
        <f ca="1">_xll.OneStop.ReportPlayer.OSRFunctions.OSRGet("GL_F_Trans","Value1")</f>
        <v>#NAME?</v>
      </c>
      <c r="I25" s="3"/>
      <c r="J25" s="19" t="e">
        <f t="shared" ca="1" si="21"/>
        <v>#NAME?</v>
      </c>
      <c r="K25" s="3"/>
      <c r="L25" s="3" t="e">
        <f t="shared" ca="1" si="22"/>
        <v>#NAME?</v>
      </c>
      <c r="M25" s="3"/>
      <c r="N25" s="19" t="e">
        <f t="shared" ca="1" si="23"/>
        <v>#NAME?</v>
      </c>
      <c r="O25" s="11"/>
      <c r="P25" s="3" t="e">
        <f ca="1">-_xll.OneStop.ReportPlayer.OSRFunctions.OSRGet("GL_F_Trans","Value1")</f>
        <v>#NAME?</v>
      </c>
      <c r="Q25" s="3"/>
      <c r="R25" s="19" t="e">
        <f t="shared" ca="1" si="24"/>
        <v>#NAME?</v>
      </c>
      <c r="S25" s="3"/>
      <c r="T25" s="3" t="e">
        <f ca="1">_xll.OneStop.ReportPlayer.OSRFunctions.OSRGet("GL_F_Trans","Value1")</f>
        <v>#NAME?</v>
      </c>
      <c r="U25" s="3"/>
      <c r="V25" s="19" t="e">
        <f t="shared" ca="1" si="25"/>
        <v>#NAME?</v>
      </c>
      <c r="W25" s="3"/>
      <c r="X25" s="3" t="e">
        <f t="shared" ca="1" si="26"/>
        <v>#NAME?</v>
      </c>
      <c r="Y25" s="3"/>
      <c r="Z25" s="19" t="e">
        <f t="shared" ca="1" si="27"/>
        <v>#NAME?</v>
      </c>
    </row>
    <row r="26" spans="1:26" x14ac:dyDescent="0.3">
      <c r="A26" s="9"/>
      <c r="B26" s="10"/>
      <c r="C26" s="10"/>
      <c r="D26" s="2"/>
      <c r="E26" s="2"/>
      <c r="F26" s="6"/>
      <c r="G26" s="2"/>
      <c r="H26" s="2"/>
      <c r="I26" s="2"/>
      <c r="J26" s="6"/>
      <c r="K26" s="2"/>
      <c r="L26" s="2"/>
      <c r="M26" s="2"/>
      <c r="N26" s="6"/>
      <c r="O26" s="10"/>
      <c r="P26" s="2"/>
      <c r="Q26" s="2"/>
      <c r="R26" s="6"/>
      <c r="S26" s="2"/>
      <c r="T26" s="2"/>
      <c r="U26" s="2"/>
      <c r="V26" s="6"/>
      <c r="W26" s="2"/>
      <c r="X26" s="2"/>
      <c r="Y26" s="2"/>
      <c r="Z26" s="6"/>
    </row>
    <row r="27" spans="1:26" s="23" customFormat="1" x14ac:dyDescent="0.3">
      <c r="A27" s="10"/>
      <c r="B27" s="26" t="s">
        <v>277</v>
      </c>
      <c r="C27" s="26"/>
      <c r="D27" s="21" t="e">
        <f ca="1">+D18-D20+D24</f>
        <v>#NAME?</v>
      </c>
      <c r="E27" s="13"/>
      <c r="F27" s="22" t="e">
        <f ca="1">IF(D$12=0,0,D27/D$12)</f>
        <v>#NAME?</v>
      </c>
      <c r="G27" s="13"/>
      <c r="H27" s="21" t="e">
        <f ca="1">+H18-H20+H24</f>
        <v>#NAME?</v>
      </c>
      <c r="I27" s="13"/>
      <c r="J27" s="22" t="e">
        <f ca="1">IF(H$12=0,0,H27/H$12)</f>
        <v>#NAME?</v>
      </c>
      <c r="K27" s="16"/>
      <c r="L27" s="21" t="e">
        <f ca="1">+D27-H27</f>
        <v>#NAME?</v>
      </c>
      <c r="M27" s="16"/>
      <c r="N27" s="22" t="e">
        <f ca="1">IF(H27=0,0,L27/H27)</f>
        <v>#NAME?</v>
      </c>
      <c r="O27" s="25"/>
      <c r="P27" s="21" t="e">
        <f ca="1">+P18-P20+P24</f>
        <v>#NAME?</v>
      </c>
      <c r="Q27" s="13"/>
      <c r="R27" s="22" t="e">
        <f ca="1">IF(P$12=0,0,P27/P$12)</f>
        <v>#NAME?</v>
      </c>
      <c r="S27" s="13"/>
      <c r="T27" s="21" t="e">
        <f ca="1">+T18-T20+T24</f>
        <v>#NAME?</v>
      </c>
      <c r="U27" s="13"/>
      <c r="V27" s="22" t="e">
        <f ca="1">IF(T$12=0,0,T27/T$12)</f>
        <v>#NAME?</v>
      </c>
      <c r="W27" s="16"/>
      <c r="X27" s="21" t="e">
        <f ca="1">+P27-T27</f>
        <v>#NAME?</v>
      </c>
      <c r="Y27" s="16"/>
      <c r="Z27" s="22" t="e">
        <f ca="1">IF(T27=0,0,X27/T27)</f>
        <v>#NAME?</v>
      </c>
    </row>
    <row r="28" spans="1:26" x14ac:dyDescent="0.3">
      <c r="A28" s="9"/>
      <c r="B28" s="10"/>
      <c r="C28" s="9"/>
      <c r="D28" s="2"/>
      <c r="E28" s="2"/>
      <c r="F28" s="6"/>
      <c r="G28" s="2"/>
      <c r="H28" s="2"/>
      <c r="I28" s="2"/>
      <c r="J28" s="6"/>
      <c r="K28" s="2"/>
      <c r="L28" s="2"/>
      <c r="M28" s="2"/>
      <c r="N28" s="6"/>
      <c r="P28" s="2"/>
      <c r="Q28" s="2"/>
      <c r="R28" s="6"/>
      <c r="S28" s="2"/>
      <c r="T28" s="2"/>
      <c r="U28" s="2"/>
      <c r="V28" s="6"/>
      <c r="W28" s="2"/>
      <c r="X28" s="2"/>
      <c r="Y28" s="2"/>
      <c r="Z28" s="6"/>
    </row>
    <row r="29" spans="1:26" s="23" customFormat="1" x14ac:dyDescent="0.3">
      <c r="A29" s="52"/>
      <c r="B29" s="10" t="s">
        <v>128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3">
      <c r="A30" s="9"/>
      <c r="B30" s="10"/>
      <c r="C30" s="10"/>
      <c r="D30" s="2"/>
      <c r="E30" s="2"/>
      <c r="F30" s="6"/>
      <c r="G30" s="2"/>
      <c r="H30" s="2"/>
      <c r="I30" s="2"/>
      <c r="J30" s="6"/>
      <c r="K30" s="2"/>
      <c r="L30" s="2"/>
      <c r="M30" s="2"/>
      <c r="N30" s="6"/>
      <c r="O30" s="10"/>
      <c r="P30" s="2"/>
      <c r="Q30" s="2"/>
      <c r="R30" s="6"/>
      <c r="S30" s="2"/>
      <c r="T30" s="2"/>
      <c r="U30" s="2"/>
      <c r="V30" s="6"/>
      <c r="W30" s="2"/>
      <c r="X30" s="2"/>
      <c r="Y30" s="2"/>
      <c r="Z30" s="6"/>
    </row>
    <row r="31" spans="1:26" s="23" customFormat="1" ht="15" thickBot="1" x14ac:dyDescent="0.35">
      <c r="A31" s="10"/>
      <c r="B31" s="26" t="s">
        <v>126</v>
      </c>
      <c r="C31" s="26"/>
      <c r="D31" s="35" t="e">
        <f ca="1">+D27-D29</f>
        <v>#NAME?</v>
      </c>
      <c r="E31" s="13"/>
      <c r="F31" s="30" t="e">
        <f ca="1">IF(D$12=0,0,D31/D$12)</f>
        <v>#NAME?</v>
      </c>
      <c r="G31" s="13"/>
      <c r="H31" s="35" t="e">
        <f ca="1">+H27-H29</f>
        <v>#NAME?</v>
      </c>
      <c r="I31" s="13"/>
      <c r="J31" s="30" t="e">
        <f ca="1">IF(H$12=0,0,H31/H$12)</f>
        <v>#NAME?</v>
      </c>
      <c r="K31" s="16"/>
      <c r="L31" s="35" t="e">
        <f ca="1">D31-H31</f>
        <v>#NAME?</v>
      </c>
      <c r="M31" s="16"/>
      <c r="N31" s="30" t="e">
        <f ca="1">IF(H31=0,0,L31/H31)</f>
        <v>#NAME?</v>
      </c>
      <c r="O31" s="25"/>
      <c r="P31" s="35" t="e">
        <f ca="1">+P27-P29</f>
        <v>#NAME?</v>
      </c>
      <c r="Q31" s="13"/>
      <c r="R31" s="30" t="e">
        <f ca="1">IF(P$12=0,0,P31/P$12)</f>
        <v>#NAME?</v>
      </c>
      <c r="S31" s="13"/>
      <c r="T31" s="35" t="e">
        <f ca="1">+T27-T29</f>
        <v>#NAME?</v>
      </c>
      <c r="U31" s="13"/>
      <c r="V31" s="30" t="e">
        <f ca="1">IF(T$12=0,0,T31/T$12)</f>
        <v>#NAME?</v>
      </c>
      <c r="W31" s="16"/>
      <c r="X31" s="35" t="e">
        <f ca="1">P31-T31</f>
        <v>#NAME?</v>
      </c>
      <c r="Y31" s="16"/>
      <c r="Z31" s="30" t="e">
        <f ca="1">IF(T31=0,0,X31/T31)</f>
        <v>#NAME?</v>
      </c>
    </row>
    <row r="32" spans="1:26" ht="15" thickTop="1" x14ac:dyDescent="0.3">
      <c r="A32" s="9"/>
      <c r="B32" s="9"/>
      <c r="C32" s="9"/>
      <c r="D32" s="2"/>
      <c r="E32" s="2"/>
      <c r="F32" s="6"/>
      <c r="G32" s="2"/>
      <c r="H32" s="2"/>
      <c r="I32" s="2"/>
      <c r="J32" s="6"/>
      <c r="K32" s="2"/>
      <c r="L32" s="2"/>
      <c r="M32" s="2"/>
      <c r="N32" s="6"/>
      <c r="P32" s="2"/>
      <c r="Q32" s="2"/>
      <c r="R32" s="6"/>
      <c r="S32" s="2"/>
      <c r="T32" s="2"/>
      <c r="U32" s="2"/>
      <c r="V32" s="6"/>
      <c r="W32" s="2"/>
      <c r="X32" s="2"/>
      <c r="Y32" s="2"/>
      <c r="Z32" s="6"/>
    </row>
    <row r="33" spans="1:26" s="23" customFormat="1" x14ac:dyDescent="0.3">
      <c r="A33" s="52"/>
      <c r="B33" s="10" t="s">
        <v>184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3">
      <c r="A34" s="52"/>
      <c r="B34" s="10" t="s">
        <v>82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3">
      <c r="A35" s="9"/>
      <c r="B35" s="9"/>
      <c r="C35" s="9"/>
      <c r="D35" s="2"/>
      <c r="E35" s="2"/>
      <c r="F35" s="6"/>
      <c r="G35" s="2"/>
      <c r="H35" s="2"/>
      <c r="I35" s="2"/>
      <c r="J35" s="6"/>
      <c r="K35" s="2"/>
      <c r="L35" s="2"/>
      <c r="M35" s="2"/>
      <c r="N35" s="6"/>
      <c r="P35" s="2"/>
      <c r="Q35" s="2"/>
      <c r="R35" s="6"/>
      <c r="S35" s="2"/>
      <c r="T35" s="2"/>
      <c r="U35" s="2"/>
      <c r="V35" s="6"/>
      <c r="W35" s="2"/>
      <c r="X35" s="2"/>
      <c r="Y35" s="2"/>
      <c r="Z35" s="6"/>
    </row>
    <row r="36" spans="1:26" s="23" customFormat="1" ht="15" thickBot="1" x14ac:dyDescent="0.35">
      <c r="A36" s="10"/>
      <c r="B36" s="26" t="s">
        <v>294</v>
      </c>
      <c r="C36" s="26"/>
      <c r="D36" s="33" t="e">
        <f ca="1">SUM(D31:D35)</f>
        <v>#NAME?</v>
      </c>
      <c r="E36" s="13"/>
      <c r="F36" s="31" t="e">
        <f ca="1">IF(D$12=0,0,D36/D$12)</f>
        <v>#NAME?</v>
      </c>
      <c r="G36" s="13"/>
      <c r="H36" s="33" t="e">
        <f ca="1">SUM(H31:H35)</f>
        <v>#NAME?</v>
      </c>
      <c r="I36" s="13"/>
      <c r="J36" s="31" t="e">
        <f ca="1">IF(H$12=0,0,H36/H$12)</f>
        <v>#NAME?</v>
      </c>
      <c r="K36" s="16"/>
      <c r="L36" s="33" t="e">
        <f ca="1">+D36-H36</f>
        <v>#NAME?</v>
      </c>
      <c r="M36" s="16"/>
      <c r="N36" s="31" t="e">
        <f ca="1">IF(H36=0,0,L36/H36)</f>
        <v>#NAME?</v>
      </c>
      <c r="O36" s="25"/>
      <c r="P36" s="33" t="e">
        <f ca="1">SUM(P31:P35)</f>
        <v>#NAME?</v>
      </c>
      <c r="Q36" s="13"/>
      <c r="R36" s="31" t="e">
        <f ca="1">IF(P$12=0,0,P36/P$12)</f>
        <v>#NAME?</v>
      </c>
      <c r="S36" s="13"/>
      <c r="T36" s="33" t="e">
        <f ca="1">SUM(T31:T35)</f>
        <v>#NAME?</v>
      </c>
      <c r="U36" s="13"/>
      <c r="V36" s="31" t="e">
        <f ca="1">IF(T$12=0,0,T36/T$12)</f>
        <v>#NAME?</v>
      </c>
      <c r="W36" s="16"/>
      <c r="X36" s="33" t="e">
        <f ca="1">+P36-T36</f>
        <v>#NAME?</v>
      </c>
      <c r="Y36" s="16"/>
      <c r="Z36" s="31" t="e">
        <f ca="1">IF(T36=0,0,X36/T36)</f>
        <v>#NAME?</v>
      </c>
    </row>
    <row r="37" spans="1:26" ht="15" thickTop="1" x14ac:dyDescent="0.3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3">
      <c r="A38" s="9"/>
      <c r="B38" s="54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3">
      <c r="A39" s="9"/>
      <c r="B39" s="59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3">
      <c r="A40" s="9"/>
      <c r="B40" s="55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3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50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7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50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7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7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7" customWidth="1" outlineLevel="1"/>
  </cols>
  <sheetData>
    <row r="2" spans="1:26" x14ac:dyDescent="0.3">
      <c r="D2" s="57" t="s">
        <v>23</v>
      </c>
    </row>
    <row r="3" spans="1:26" x14ac:dyDescent="0.3">
      <c r="D3" s="57" t="s">
        <v>237</v>
      </c>
      <c r="E3" s="17"/>
      <c r="F3" s="51"/>
      <c r="G3" s="17"/>
      <c r="H3" s="17"/>
      <c r="I3" s="17"/>
      <c r="J3" s="39"/>
      <c r="K3" s="17"/>
      <c r="L3" s="17"/>
      <c r="M3" s="17"/>
      <c r="N3" s="51"/>
      <c r="O3" s="61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3">
      <c r="D4" s="57" t="e">
        <f ca="1">CONCATENATE("Period ",RIGHT(_xll.OneStop.ReportPlayer.OSRFunctions.OSRGet("Period","PeriodId"),2),", ",_xll.OneStop.ReportPlayer.OSRFunctions.OSRGet("Period","Year"))</f>
        <v>#NAME?</v>
      </c>
      <c r="E4" s="17"/>
      <c r="F4" s="51"/>
      <c r="G4" s="17"/>
      <c r="H4" s="17"/>
      <c r="I4" s="17"/>
      <c r="J4" s="39"/>
      <c r="K4" s="17"/>
      <c r="L4" s="17"/>
      <c r="M4" s="17"/>
      <c r="N4" s="51"/>
      <c r="O4" s="61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3">
      <c r="A5" s="23"/>
      <c r="D5" s="65" t="e">
        <f ca="1">_xll.OneStop.ReportPlayer.OSRFunctions.OSRGet("Period","PeriodEnd")</f>
        <v>#NAME?</v>
      </c>
      <c r="E5" s="17"/>
      <c r="F5" s="51"/>
      <c r="G5" s="17"/>
      <c r="H5" s="17"/>
      <c r="I5" s="17"/>
      <c r="J5" s="39"/>
      <c r="K5" s="17"/>
      <c r="L5" s="17"/>
      <c r="M5" s="17"/>
      <c r="N5" s="51"/>
      <c r="O5" s="61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3">
      <c r="A6" s="23"/>
      <c r="B6" s="47"/>
      <c r="C6" s="47"/>
      <c r="D6" s="23" t="s">
        <v>125</v>
      </c>
      <c r="E6" s="17"/>
      <c r="F6" s="51"/>
      <c r="G6" s="17"/>
      <c r="H6" s="17"/>
      <c r="I6" s="17"/>
      <c r="J6" s="39"/>
      <c r="K6" s="17"/>
      <c r="L6" s="17"/>
      <c r="M6" s="17"/>
      <c r="N6" s="51"/>
      <c r="O6" s="60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3">
      <c r="B7" s="63"/>
    </row>
    <row r="8" spans="1:26" x14ac:dyDescent="0.3">
      <c r="B8" s="63"/>
    </row>
    <row r="9" spans="1:26" x14ac:dyDescent="0.3">
      <c r="B9" s="9"/>
      <c r="C9" s="9"/>
      <c r="D9" s="15" t="s">
        <v>292</v>
      </c>
      <c r="E9" s="15"/>
      <c r="F9" s="38"/>
      <c r="G9" s="15"/>
      <c r="H9" s="15"/>
      <c r="I9" s="15"/>
      <c r="J9" s="49"/>
      <c r="K9" s="15"/>
      <c r="L9" s="15"/>
      <c r="M9" s="15"/>
      <c r="N9" s="38"/>
      <c r="P9" s="15" t="s">
        <v>39</v>
      </c>
      <c r="Q9" s="15"/>
      <c r="R9" s="38"/>
      <c r="S9" s="15"/>
      <c r="T9" s="15"/>
      <c r="U9" s="15"/>
      <c r="V9" s="49"/>
      <c r="W9" s="15"/>
      <c r="X9" s="15"/>
      <c r="Y9" s="15"/>
      <c r="Z9" s="38"/>
    </row>
    <row r="10" spans="1:26" x14ac:dyDescent="0.3">
      <c r="A10" s="10"/>
      <c r="B10" s="53"/>
      <c r="C10" s="10"/>
      <c r="D10" s="42" t="s">
        <v>57</v>
      </c>
      <c r="E10" s="34"/>
      <c r="F10" s="40" t="s">
        <v>40</v>
      </c>
      <c r="G10" s="34"/>
      <c r="H10" s="45" t="s">
        <v>238</v>
      </c>
      <c r="I10" s="34"/>
      <c r="J10" s="48" t="s">
        <v>58</v>
      </c>
      <c r="K10" s="10"/>
      <c r="L10" s="42" t="s">
        <v>127</v>
      </c>
      <c r="M10" s="10"/>
      <c r="N10" s="40" t="s">
        <v>258</v>
      </c>
      <c r="O10" s="10"/>
      <c r="P10" s="56" t="s">
        <v>57</v>
      </c>
      <c r="Q10" s="34"/>
      <c r="R10" s="40" t="s">
        <v>40</v>
      </c>
      <c r="S10" s="34"/>
      <c r="T10" s="45" t="s">
        <v>238</v>
      </c>
      <c r="U10" s="34"/>
      <c r="V10" s="48" t="s">
        <v>58</v>
      </c>
      <c r="W10" s="10"/>
      <c r="X10" s="42" t="s">
        <v>127</v>
      </c>
      <c r="Y10" s="10"/>
      <c r="Z10" s="40" t="s">
        <v>258</v>
      </c>
    </row>
    <row r="11" spans="1:26" ht="15.6" x14ac:dyDescent="0.3">
      <c r="A11" s="9"/>
      <c r="B11" s="58"/>
      <c r="C11" s="9"/>
      <c r="D11" s="9"/>
      <c r="E11" s="9"/>
      <c r="F11" s="6"/>
      <c r="G11" s="9"/>
      <c r="H11" s="9"/>
      <c r="I11" s="9"/>
      <c r="J11" s="46"/>
      <c r="K11" s="9"/>
      <c r="L11" s="9"/>
      <c r="M11" s="9"/>
      <c r="N11" s="6"/>
      <c r="P11" s="9"/>
      <c r="Q11" s="9"/>
      <c r="R11" s="6"/>
      <c r="S11" s="9"/>
      <c r="T11" s="9"/>
      <c r="U11" s="9"/>
      <c r="V11" s="46"/>
      <c r="W11" s="9"/>
      <c r="X11" s="9"/>
      <c r="Y11" s="9"/>
      <c r="Z11" s="6"/>
    </row>
    <row r="12" spans="1:26" s="23" customFormat="1" collapsed="1" x14ac:dyDescent="0.3">
      <c r="A12" s="10"/>
      <c r="B12" s="25" t="s">
        <v>140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3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3" t="e">
        <f ca="1">-_xll.OneStop.ReportPlayer.OSRFunctions.OSRGet("GL_F_Trans","Value1")</f>
        <v>#NAME?</v>
      </c>
      <c r="E13" s="3"/>
      <c r="F13" s="19"/>
      <c r="G13" s="3"/>
      <c r="H13" s="3" t="e">
        <f ca="1">_xll.OneStop.ReportPlayer.OSRFunctions.OSRGet("GL_F_Trans","Value1")</f>
        <v>#NAME?</v>
      </c>
      <c r="I13" s="3"/>
      <c r="J13" s="19"/>
      <c r="K13" s="3"/>
      <c r="L13" s="3" t="e">
        <f t="shared" ca="1" si="0"/>
        <v>#NAME?</v>
      </c>
      <c r="M13" s="3"/>
      <c r="N13" s="19" t="e">
        <f t="shared" ca="1" si="1"/>
        <v>#NAME?</v>
      </c>
      <c r="O13" s="11"/>
      <c r="P13" s="3" t="e">
        <f ca="1">-_xll.OneStop.ReportPlayer.OSRFunctions.OSRGet("GL_F_Trans","Value1")</f>
        <v>#NAME?</v>
      </c>
      <c r="Q13" s="3"/>
      <c r="R13" s="19"/>
      <c r="S13" s="3"/>
      <c r="T13" s="3" t="e">
        <f ca="1">_xll.OneStop.ReportPlayer.OSRFunctions.OSRGet("GL_F_Trans","Value1")</f>
        <v>#NAME?</v>
      </c>
      <c r="U13" s="3"/>
      <c r="V13" s="19"/>
      <c r="W13" s="3"/>
      <c r="X13" s="3" t="e">
        <f t="shared" ca="1" si="2"/>
        <v>#NAME?</v>
      </c>
      <c r="Y13" s="3"/>
      <c r="Z13" s="19" t="e">
        <f t="shared" ca="1" si="3"/>
        <v>#NAME?</v>
      </c>
    </row>
    <row r="14" spans="1:26" x14ac:dyDescent="0.3">
      <c r="A14" s="9"/>
      <c r="B14" s="10"/>
      <c r="C14" s="9"/>
      <c r="D14" s="2"/>
      <c r="E14" s="2"/>
      <c r="F14" s="6"/>
      <c r="G14" s="2"/>
      <c r="H14" s="2"/>
      <c r="I14" s="2"/>
      <c r="J14" s="6"/>
      <c r="K14" s="2"/>
      <c r="L14" s="2"/>
      <c r="M14" s="2"/>
      <c r="N14" s="6"/>
      <c r="P14" s="2"/>
      <c r="Q14" s="2"/>
      <c r="R14" s="6"/>
      <c r="S14" s="2"/>
      <c r="T14" s="2"/>
      <c r="U14" s="2"/>
      <c r="V14" s="6"/>
      <c r="W14" s="2"/>
      <c r="X14" s="2"/>
      <c r="Y14" s="2"/>
      <c r="Z14" s="6"/>
    </row>
    <row r="15" spans="1:26" s="23" customFormat="1" collapsed="1" x14ac:dyDescent="0.3">
      <c r="A15" s="10"/>
      <c r="B15" s="25" t="s">
        <v>257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3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3" t="e">
        <f ca="1">_xll.OneStop.ReportPlayer.OSRFunctions.OSRGet("GL_F_Trans","Value1")</f>
        <v>#NAME?</v>
      </c>
      <c r="E16" s="3"/>
      <c r="F16" s="19" t="e">
        <f t="shared" ca="1" si="4"/>
        <v>#NAME?</v>
      </c>
      <c r="G16" s="3"/>
      <c r="H16" s="3" t="e">
        <f ca="1">_xll.OneStop.ReportPlayer.OSRFunctions.OSRGet("GL_F_Trans","Value1")</f>
        <v>#NAME?</v>
      </c>
      <c r="I16" s="3"/>
      <c r="J16" s="19" t="e">
        <f t="shared" ca="1" si="5"/>
        <v>#NAME?</v>
      </c>
      <c r="K16" s="3"/>
      <c r="L16" s="3" t="e">
        <f t="shared" ca="1" si="6"/>
        <v>#NAME?</v>
      </c>
      <c r="M16" s="3"/>
      <c r="N16" s="19" t="e">
        <f t="shared" ca="1" si="7"/>
        <v>#NAME?</v>
      </c>
      <c r="O16" s="11"/>
      <c r="P16" s="3" t="e">
        <f ca="1">_xll.OneStop.ReportPlayer.OSRFunctions.OSRGet("GL_F_Trans","Value1")</f>
        <v>#NAME?</v>
      </c>
      <c r="Q16" s="3"/>
      <c r="R16" s="19" t="e">
        <f t="shared" ca="1" si="8"/>
        <v>#NAME?</v>
      </c>
      <c r="S16" s="3"/>
      <c r="T16" s="3" t="e">
        <f ca="1">_xll.OneStop.ReportPlayer.OSRFunctions.OSRGet("GL_F_Trans","Value1")</f>
        <v>#NAME?</v>
      </c>
      <c r="U16" s="3"/>
      <c r="V16" s="19" t="e">
        <f t="shared" ca="1" si="9"/>
        <v>#NAME?</v>
      </c>
      <c r="W16" s="3"/>
      <c r="X16" s="3" t="e">
        <f t="shared" ca="1" si="10"/>
        <v>#NAME?</v>
      </c>
      <c r="Y16" s="3"/>
      <c r="Z16" s="19" t="e">
        <f t="shared" ca="1" si="11"/>
        <v>#NAME?</v>
      </c>
    </row>
    <row r="17" spans="1:26" x14ac:dyDescent="0.3">
      <c r="A17" s="9"/>
      <c r="B17" s="10"/>
      <c r="C17" s="10"/>
      <c r="D17" s="2"/>
      <c r="E17" s="2"/>
      <c r="F17" s="6"/>
      <c r="G17" s="2"/>
      <c r="H17" s="2"/>
      <c r="I17" s="2"/>
      <c r="J17" s="6"/>
      <c r="K17" s="2"/>
      <c r="L17" s="2"/>
      <c r="M17" s="2"/>
      <c r="N17" s="6"/>
      <c r="O17" s="10"/>
      <c r="P17" s="2"/>
      <c r="Q17" s="2"/>
      <c r="R17" s="6"/>
      <c r="S17" s="2"/>
      <c r="T17" s="2"/>
      <c r="U17" s="2"/>
      <c r="V17" s="6"/>
      <c r="W17" s="2"/>
      <c r="X17" s="2"/>
      <c r="Y17" s="2"/>
      <c r="Z17" s="6"/>
    </row>
    <row r="18" spans="1:26" s="23" customFormat="1" x14ac:dyDescent="0.3">
      <c r="A18" s="10"/>
      <c r="B18" s="26" t="s">
        <v>108</v>
      </c>
      <c r="C18" s="26"/>
      <c r="D18" s="21" t="e">
        <f ca="1">D12-D15</f>
        <v>#NAME?</v>
      </c>
      <c r="E18" s="13"/>
      <c r="F18" s="22" t="e">
        <f ca="1">IF(D$12=0,0,D18/D$12)</f>
        <v>#NAME?</v>
      </c>
      <c r="G18" s="13"/>
      <c r="H18" s="21" t="e">
        <f ca="1">H12-H15</f>
        <v>#NAME?</v>
      </c>
      <c r="I18" s="13"/>
      <c r="J18" s="22" t="e">
        <f ca="1">IF(H$12=0,0,H18/H$12)</f>
        <v>#NAME?</v>
      </c>
      <c r="K18" s="16"/>
      <c r="L18" s="21" t="e">
        <f ca="1">+D18-H18</f>
        <v>#NAME?</v>
      </c>
      <c r="M18" s="16"/>
      <c r="N18" s="22" t="e">
        <f ca="1">IF(H18=0,0,L18/H18)</f>
        <v>#NAME?</v>
      </c>
      <c r="O18" s="25"/>
      <c r="P18" s="21" t="e">
        <f ca="1">P12-P15</f>
        <v>#NAME?</v>
      </c>
      <c r="Q18" s="13"/>
      <c r="R18" s="22" t="e">
        <f ca="1">IF(P$12=0,0,P18/P$12)</f>
        <v>#NAME?</v>
      </c>
      <c r="S18" s="13"/>
      <c r="T18" s="21" t="e">
        <f ca="1">T12-T15</f>
        <v>#NAME?</v>
      </c>
      <c r="U18" s="13"/>
      <c r="V18" s="22" t="e">
        <f ca="1">IF(T$12=0,0,T18/T$12)</f>
        <v>#NAME?</v>
      </c>
      <c r="W18" s="16"/>
      <c r="X18" s="21" t="e">
        <f ca="1">+P18-T18</f>
        <v>#NAME?</v>
      </c>
      <c r="Y18" s="16"/>
      <c r="Z18" s="22" t="e">
        <f ca="1">IF(T18=0,0,X18/T18)</f>
        <v>#NAME?</v>
      </c>
    </row>
    <row r="19" spans="1:26" x14ac:dyDescent="0.3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">
      <c r="A20" s="10"/>
      <c r="B20" s="25" t="s">
        <v>295</v>
      </c>
      <c r="C20" s="10"/>
      <c r="D20" s="20" t="e">
        <f ca="1">SUM(_xll.OneStop.ReportPlayer.OSRFunctions.OSRRef(D22))</f>
        <v>#NAME?</v>
      </c>
      <c r="E20" s="20"/>
      <c r="F20" s="32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2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2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2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2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2" t="e">
        <f t="shared" ref="Z20:Z22" ca="1" si="19">IF(T20=0,0,X20/T20)</f>
        <v>#NAME?</v>
      </c>
    </row>
    <row r="21" spans="1:26" s="27" customFormat="1" outlineLevel="1" collapsed="1" x14ac:dyDescent="0.3">
      <c r="A21" s="28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3">
      <c r="A22" s="29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8" t="e">
        <f ca="1">_xll.OneStop.ReportPlayer.OSRFunctions.OSRGet("GL_F_Trans","Value1")</f>
        <v>#NAME?</v>
      </c>
      <c r="E22" s="3"/>
      <c r="F22" s="7" t="e">
        <f t="shared" ca="1" si="12"/>
        <v>#NAME?</v>
      </c>
      <c r="G22" s="3"/>
      <c r="H22" s="8" t="e">
        <f ca="1">_xll.OneStop.ReportPlayer.OSRFunctions.OSRGet("GL_F_Trans","Value1")</f>
        <v>#NAME?</v>
      </c>
      <c r="I22" s="3"/>
      <c r="J22" s="7" t="e">
        <f t="shared" ca="1" si="13"/>
        <v>#NAME?</v>
      </c>
      <c r="K22" s="3"/>
      <c r="L22" s="8" t="e">
        <f t="shared" ca="1" si="14"/>
        <v>#NAME?</v>
      </c>
      <c r="M22" s="3"/>
      <c r="N22" s="7" t="e">
        <f t="shared" ca="1" si="15"/>
        <v>#NAME?</v>
      </c>
      <c r="O22" s="11"/>
      <c r="P22" s="8" t="e">
        <f ca="1">_xll.OneStop.ReportPlayer.OSRFunctions.OSRGet("GL_F_Trans","Value1")</f>
        <v>#NAME?</v>
      </c>
      <c r="Q22" s="3"/>
      <c r="R22" s="7" t="e">
        <f t="shared" ca="1" si="16"/>
        <v>#NAME?</v>
      </c>
      <c r="S22" s="3"/>
      <c r="T22" s="8" t="e">
        <f ca="1">_xll.OneStop.ReportPlayer.OSRFunctions.OSRGet("GL_F_Trans","Value1")</f>
        <v>#NAME?</v>
      </c>
      <c r="U22" s="3"/>
      <c r="V22" s="7" t="e">
        <f t="shared" ca="1" si="17"/>
        <v>#NAME?</v>
      </c>
      <c r="W22" s="3"/>
      <c r="X22" s="8" t="e">
        <f t="shared" ca="1" si="18"/>
        <v>#NAME?</v>
      </c>
      <c r="Y22" s="3"/>
      <c r="Z22" s="7" t="e">
        <f t="shared" ca="1" si="19"/>
        <v>#NAME?</v>
      </c>
    </row>
    <row r="23" spans="1:26" s="62" customFormat="1" x14ac:dyDescent="0.3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3">
      <c r="A24" s="10"/>
      <c r="B24" s="25" t="s">
        <v>293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3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3" t="e">
        <f ca="1">-_xll.OneStop.ReportPlayer.OSRFunctions.OSRGet("GL_F_Trans","Value1")</f>
        <v>#NAME?</v>
      </c>
      <c r="E25" s="3"/>
      <c r="F25" s="19" t="e">
        <f t="shared" ca="1" si="20"/>
        <v>#NAME?</v>
      </c>
      <c r="G25" s="3"/>
      <c r="H25" s="3" t="e">
        <f ca="1">_xll.OneStop.ReportPlayer.OSRFunctions.OSRGet("GL_F_Trans","Value1")</f>
        <v>#NAME?</v>
      </c>
      <c r="I25" s="3"/>
      <c r="J25" s="19" t="e">
        <f t="shared" ca="1" si="21"/>
        <v>#NAME?</v>
      </c>
      <c r="K25" s="3"/>
      <c r="L25" s="3" t="e">
        <f t="shared" ca="1" si="22"/>
        <v>#NAME?</v>
      </c>
      <c r="M25" s="3"/>
      <c r="N25" s="19" t="e">
        <f t="shared" ca="1" si="23"/>
        <v>#NAME?</v>
      </c>
      <c r="O25" s="11"/>
      <c r="P25" s="3" t="e">
        <f ca="1">-_xll.OneStop.ReportPlayer.OSRFunctions.OSRGet("GL_F_Trans","Value1")</f>
        <v>#NAME?</v>
      </c>
      <c r="Q25" s="3"/>
      <c r="R25" s="19" t="e">
        <f t="shared" ca="1" si="24"/>
        <v>#NAME?</v>
      </c>
      <c r="S25" s="3"/>
      <c r="T25" s="3" t="e">
        <f ca="1">_xll.OneStop.ReportPlayer.OSRFunctions.OSRGet("GL_F_Trans","Value1")</f>
        <v>#NAME?</v>
      </c>
      <c r="U25" s="3"/>
      <c r="V25" s="19" t="e">
        <f t="shared" ca="1" si="25"/>
        <v>#NAME?</v>
      </c>
      <c r="W25" s="3"/>
      <c r="X25" s="3" t="e">
        <f t="shared" ca="1" si="26"/>
        <v>#NAME?</v>
      </c>
      <c r="Y25" s="3"/>
      <c r="Z25" s="19" t="e">
        <f t="shared" ca="1" si="27"/>
        <v>#NAME?</v>
      </c>
    </row>
    <row r="26" spans="1:26" x14ac:dyDescent="0.3">
      <c r="A26" s="9"/>
      <c r="B26" s="10"/>
      <c r="C26" s="10"/>
      <c r="D26" s="2"/>
      <c r="E26" s="2"/>
      <c r="F26" s="6"/>
      <c r="G26" s="2"/>
      <c r="H26" s="2"/>
      <c r="I26" s="2"/>
      <c r="J26" s="6"/>
      <c r="K26" s="2"/>
      <c r="L26" s="2"/>
      <c r="M26" s="2"/>
      <c r="N26" s="6"/>
      <c r="O26" s="10"/>
      <c r="P26" s="2"/>
      <c r="Q26" s="2"/>
      <c r="R26" s="6"/>
      <c r="S26" s="2"/>
      <c r="T26" s="2"/>
      <c r="U26" s="2"/>
      <c r="V26" s="6"/>
      <c r="W26" s="2"/>
      <c r="X26" s="2"/>
      <c r="Y26" s="2"/>
      <c r="Z26" s="6"/>
    </row>
    <row r="27" spans="1:26" s="23" customFormat="1" x14ac:dyDescent="0.3">
      <c r="A27" s="10"/>
      <c r="B27" s="26" t="s">
        <v>277</v>
      </c>
      <c r="C27" s="26"/>
      <c r="D27" s="21" t="e">
        <f ca="1">+D18-D20+D24</f>
        <v>#NAME?</v>
      </c>
      <c r="E27" s="13"/>
      <c r="F27" s="22" t="e">
        <f ca="1">IF(D$12=0,0,D27/D$12)</f>
        <v>#NAME?</v>
      </c>
      <c r="G27" s="13"/>
      <c r="H27" s="21" t="e">
        <f ca="1">+H18-H20+H24</f>
        <v>#NAME?</v>
      </c>
      <c r="I27" s="13"/>
      <c r="J27" s="22" t="e">
        <f ca="1">IF(H$12=0,0,H27/H$12)</f>
        <v>#NAME?</v>
      </c>
      <c r="K27" s="16"/>
      <c r="L27" s="21" t="e">
        <f ca="1">+D27-H27</f>
        <v>#NAME?</v>
      </c>
      <c r="M27" s="16"/>
      <c r="N27" s="22" t="e">
        <f ca="1">IF(H27=0,0,L27/H27)</f>
        <v>#NAME?</v>
      </c>
      <c r="O27" s="25"/>
      <c r="P27" s="21" t="e">
        <f ca="1">+P18-P20+P24</f>
        <v>#NAME?</v>
      </c>
      <c r="Q27" s="13"/>
      <c r="R27" s="22" t="e">
        <f ca="1">IF(P$12=0,0,P27/P$12)</f>
        <v>#NAME?</v>
      </c>
      <c r="S27" s="13"/>
      <c r="T27" s="21" t="e">
        <f ca="1">+T18-T20+T24</f>
        <v>#NAME?</v>
      </c>
      <c r="U27" s="13"/>
      <c r="V27" s="22" t="e">
        <f ca="1">IF(T$12=0,0,T27/T$12)</f>
        <v>#NAME?</v>
      </c>
      <c r="W27" s="16"/>
      <c r="X27" s="21" t="e">
        <f ca="1">+P27-T27</f>
        <v>#NAME?</v>
      </c>
      <c r="Y27" s="16"/>
      <c r="Z27" s="22" t="e">
        <f ca="1">IF(T27=0,0,X27/T27)</f>
        <v>#NAME?</v>
      </c>
    </row>
    <row r="28" spans="1:26" x14ac:dyDescent="0.3">
      <c r="A28" s="9"/>
      <c r="B28" s="10"/>
      <c r="C28" s="9"/>
      <c r="D28" s="2"/>
      <c r="E28" s="2"/>
      <c r="F28" s="6"/>
      <c r="G28" s="2"/>
      <c r="H28" s="2"/>
      <c r="I28" s="2"/>
      <c r="J28" s="6"/>
      <c r="K28" s="2"/>
      <c r="L28" s="2"/>
      <c r="M28" s="2"/>
      <c r="N28" s="6"/>
      <c r="P28" s="2"/>
      <c r="Q28" s="2"/>
      <c r="R28" s="6"/>
      <c r="S28" s="2"/>
      <c r="T28" s="2"/>
      <c r="U28" s="2"/>
      <c r="V28" s="6"/>
      <c r="W28" s="2"/>
      <c r="X28" s="2"/>
      <c r="Y28" s="2"/>
      <c r="Z28" s="6"/>
    </row>
    <row r="29" spans="1:26" s="23" customFormat="1" x14ac:dyDescent="0.3">
      <c r="A29" s="52"/>
      <c r="B29" s="10" t="s">
        <v>128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3">
      <c r="A30" s="9"/>
      <c r="B30" s="10"/>
      <c r="C30" s="10"/>
      <c r="D30" s="2"/>
      <c r="E30" s="2"/>
      <c r="F30" s="6"/>
      <c r="G30" s="2"/>
      <c r="H30" s="2"/>
      <c r="I30" s="2"/>
      <c r="J30" s="6"/>
      <c r="K30" s="2"/>
      <c r="L30" s="2"/>
      <c r="M30" s="2"/>
      <c r="N30" s="6"/>
      <c r="O30" s="10"/>
      <c r="P30" s="2"/>
      <c r="Q30" s="2"/>
      <c r="R30" s="6"/>
      <c r="S30" s="2"/>
      <c r="T30" s="2"/>
      <c r="U30" s="2"/>
      <c r="V30" s="6"/>
      <c r="W30" s="2"/>
      <c r="X30" s="2"/>
      <c r="Y30" s="2"/>
      <c r="Z30" s="6"/>
    </row>
    <row r="31" spans="1:26" s="23" customFormat="1" ht="15" thickBot="1" x14ac:dyDescent="0.35">
      <c r="A31" s="10"/>
      <c r="B31" s="26" t="s">
        <v>126</v>
      </c>
      <c r="C31" s="26"/>
      <c r="D31" s="35" t="e">
        <f ca="1">+D27-D29</f>
        <v>#NAME?</v>
      </c>
      <c r="E31" s="13"/>
      <c r="F31" s="30" t="e">
        <f ca="1">IF(D$12=0,0,D31/D$12)</f>
        <v>#NAME?</v>
      </c>
      <c r="G31" s="13"/>
      <c r="H31" s="35" t="e">
        <f ca="1">+H27-H29</f>
        <v>#NAME?</v>
      </c>
      <c r="I31" s="13"/>
      <c r="J31" s="30" t="e">
        <f ca="1">IF(H$12=0,0,H31/H$12)</f>
        <v>#NAME?</v>
      </c>
      <c r="K31" s="16"/>
      <c r="L31" s="35" t="e">
        <f ca="1">D31-H31</f>
        <v>#NAME?</v>
      </c>
      <c r="M31" s="16"/>
      <c r="N31" s="30" t="e">
        <f ca="1">IF(H31=0,0,L31/H31)</f>
        <v>#NAME?</v>
      </c>
      <c r="O31" s="25"/>
      <c r="P31" s="35" t="e">
        <f ca="1">+P27-P29</f>
        <v>#NAME?</v>
      </c>
      <c r="Q31" s="13"/>
      <c r="R31" s="30" t="e">
        <f ca="1">IF(P$12=0,0,P31/P$12)</f>
        <v>#NAME?</v>
      </c>
      <c r="S31" s="13"/>
      <c r="T31" s="35" t="e">
        <f ca="1">+T27-T29</f>
        <v>#NAME?</v>
      </c>
      <c r="U31" s="13"/>
      <c r="V31" s="30" t="e">
        <f ca="1">IF(T$12=0,0,T31/T$12)</f>
        <v>#NAME?</v>
      </c>
      <c r="W31" s="16"/>
      <c r="X31" s="35" t="e">
        <f ca="1">P31-T31</f>
        <v>#NAME?</v>
      </c>
      <c r="Y31" s="16"/>
      <c r="Z31" s="30" t="e">
        <f ca="1">IF(T31=0,0,X31/T31)</f>
        <v>#NAME?</v>
      </c>
    </row>
    <row r="32" spans="1:26" ht="15" thickTop="1" x14ac:dyDescent="0.3">
      <c r="A32" s="9"/>
      <c r="B32" s="9"/>
      <c r="C32" s="9"/>
      <c r="D32" s="2"/>
      <c r="E32" s="2"/>
      <c r="F32" s="6"/>
      <c r="G32" s="2"/>
      <c r="H32" s="2"/>
      <c r="I32" s="2"/>
      <c r="J32" s="6"/>
      <c r="K32" s="2"/>
      <c r="L32" s="2"/>
      <c r="M32" s="2"/>
      <c r="N32" s="6"/>
      <c r="P32" s="2"/>
      <c r="Q32" s="2"/>
      <c r="R32" s="6"/>
      <c r="S32" s="2"/>
      <c r="T32" s="2"/>
      <c r="U32" s="2"/>
      <c r="V32" s="6"/>
      <c r="W32" s="2"/>
      <c r="X32" s="2"/>
      <c r="Y32" s="2"/>
      <c r="Z32" s="6"/>
    </row>
    <row r="33" spans="1:26" s="23" customFormat="1" x14ac:dyDescent="0.3">
      <c r="A33" s="52"/>
      <c r="B33" s="10" t="s">
        <v>184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3">
      <c r="A34" s="52"/>
      <c r="B34" s="10" t="s">
        <v>82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3">
      <c r="A35" s="9"/>
      <c r="B35" s="9"/>
      <c r="C35" s="9"/>
      <c r="D35" s="2"/>
      <c r="E35" s="2"/>
      <c r="F35" s="6"/>
      <c r="G35" s="2"/>
      <c r="H35" s="2"/>
      <c r="I35" s="2"/>
      <c r="J35" s="6"/>
      <c r="K35" s="2"/>
      <c r="L35" s="2"/>
      <c r="M35" s="2"/>
      <c r="N35" s="6"/>
      <c r="P35" s="2"/>
      <c r="Q35" s="2"/>
      <c r="R35" s="6"/>
      <c r="S35" s="2"/>
      <c r="T35" s="2"/>
      <c r="U35" s="2"/>
      <c r="V35" s="6"/>
      <c r="W35" s="2"/>
      <c r="X35" s="2"/>
      <c r="Y35" s="2"/>
      <c r="Z35" s="6"/>
    </row>
    <row r="36" spans="1:26" s="23" customFormat="1" ht="15" thickBot="1" x14ac:dyDescent="0.35">
      <c r="A36" s="10"/>
      <c r="B36" s="26" t="s">
        <v>294</v>
      </c>
      <c r="C36" s="26"/>
      <c r="D36" s="33" t="e">
        <f ca="1">SUM(D31:D35)</f>
        <v>#NAME?</v>
      </c>
      <c r="E36" s="13"/>
      <c r="F36" s="31" t="e">
        <f ca="1">IF(D$12=0,0,D36/D$12)</f>
        <v>#NAME?</v>
      </c>
      <c r="G36" s="13"/>
      <c r="H36" s="33" t="e">
        <f ca="1">SUM(H31:H35)</f>
        <v>#NAME?</v>
      </c>
      <c r="I36" s="13"/>
      <c r="J36" s="31" t="e">
        <f ca="1">IF(H$12=0,0,H36/H$12)</f>
        <v>#NAME?</v>
      </c>
      <c r="K36" s="16"/>
      <c r="L36" s="33" t="e">
        <f ca="1">+D36-H36</f>
        <v>#NAME?</v>
      </c>
      <c r="M36" s="16"/>
      <c r="N36" s="31" t="e">
        <f ca="1">IF(H36=0,0,L36/H36)</f>
        <v>#NAME?</v>
      </c>
      <c r="O36" s="25"/>
      <c r="P36" s="33" t="e">
        <f ca="1">SUM(P31:P35)</f>
        <v>#NAME?</v>
      </c>
      <c r="Q36" s="13"/>
      <c r="R36" s="31" t="e">
        <f ca="1">IF(P$12=0,0,P36/P$12)</f>
        <v>#NAME?</v>
      </c>
      <c r="S36" s="13"/>
      <c r="T36" s="33" t="e">
        <f ca="1">SUM(T31:T35)</f>
        <v>#NAME?</v>
      </c>
      <c r="U36" s="13"/>
      <c r="V36" s="31" t="e">
        <f ca="1">IF(T$12=0,0,T36/T$12)</f>
        <v>#NAME?</v>
      </c>
      <c r="W36" s="16"/>
      <c r="X36" s="33" t="e">
        <f ca="1">+P36-T36</f>
        <v>#NAME?</v>
      </c>
      <c r="Y36" s="16"/>
      <c r="Z36" s="31" t="e">
        <f ca="1">IF(T36=0,0,X36/T36)</f>
        <v>#NAME?</v>
      </c>
    </row>
    <row r="37" spans="1:26" ht="15" thickTop="1" x14ac:dyDescent="0.3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3">
      <c r="A38" s="9"/>
      <c r="B38" s="54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3">
      <c r="A39" s="9"/>
      <c r="B39" s="59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3">
      <c r="A40" s="9"/>
      <c r="B40" s="55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3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50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7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50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7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7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7" customWidth="1" outlineLevel="1"/>
  </cols>
  <sheetData>
    <row r="2" spans="1:26" x14ac:dyDescent="0.3">
      <c r="D2" s="57" t="s">
        <v>23</v>
      </c>
    </row>
    <row r="3" spans="1:26" x14ac:dyDescent="0.3">
      <c r="D3" s="57" t="s">
        <v>237</v>
      </c>
      <c r="E3" s="17"/>
      <c r="F3" s="51"/>
      <c r="G3" s="17"/>
      <c r="H3" s="17"/>
      <c r="I3" s="17"/>
      <c r="J3" s="39"/>
      <c r="K3" s="17"/>
      <c r="L3" s="17"/>
      <c r="M3" s="17"/>
      <c r="N3" s="51"/>
      <c r="O3" s="61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3">
      <c r="D4" s="57" t="e">
        <f ca="1">CONCATENATE("Period ",RIGHT(_xll.OneStop.ReportPlayer.OSRFunctions.OSRGet("Period","PeriodId"),2),", ",_xll.OneStop.ReportPlayer.OSRFunctions.OSRGet("Period","Year"))</f>
        <v>#NAME?</v>
      </c>
      <c r="E4" s="17"/>
      <c r="F4" s="51"/>
      <c r="G4" s="17"/>
      <c r="H4" s="17"/>
      <c r="I4" s="17"/>
      <c r="J4" s="39"/>
      <c r="K4" s="17"/>
      <c r="L4" s="17"/>
      <c r="M4" s="17"/>
      <c r="N4" s="51"/>
      <c r="O4" s="61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3">
      <c r="A5" s="23"/>
      <c r="D5" s="65" t="e">
        <f ca="1">_xll.OneStop.ReportPlayer.OSRFunctions.OSRGet("Period","PeriodEnd")</f>
        <v>#NAME?</v>
      </c>
      <c r="E5" s="17"/>
      <c r="F5" s="51"/>
      <c r="G5" s="17"/>
      <c r="H5" s="17"/>
      <c r="I5" s="17"/>
      <c r="J5" s="39"/>
      <c r="K5" s="17"/>
      <c r="L5" s="17"/>
      <c r="M5" s="17"/>
      <c r="N5" s="51"/>
      <c r="O5" s="61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3">
      <c r="A6" s="23"/>
      <c r="B6" s="47"/>
      <c r="C6" s="47"/>
      <c r="D6" s="23" t="s">
        <v>200</v>
      </c>
      <c r="E6" s="17"/>
      <c r="F6" s="51"/>
      <c r="G6" s="17"/>
      <c r="H6" s="17"/>
      <c r="I6" s="17"/>
      <c r="J6" s="39"/>
      <c r="K6" s="17"/>
      <c r="L6" s="17"/>
      <c r="M6" s="17"/>
      <c r="N6" s="51"/>
      <c r="O6" s="60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3">
      <c r="B7" s="63"/>
    </row>
    <row r="8" spans="1:26" x14ac:dyDescent="0.3">
      <c r="B8" s="63"/>
    </row>
    <row r="9" spans="1:26" x14ac:dyDescent="0.3">
      <c r="B9" s="9"/>
      <c r="C9" s="9"/>
      <c r="D9" s="15" t="s">
        <v>292</v>
      </c>
      <c r="E9" s="15"/>
      <c r="F9" s="38"/>
      <c r="G9" s="15"/>
      <c r="H9" s="15"/>
      <c r="I9" s="15"/>
      <c r="J9" s="49"/>
      <c r="K9" s="15"/>
      <c r="L9" s="15"/>
      <c r="M9" s="15"/>
      <c r="N9" s="38"/>
      <c r="P9" s="15" t="s">
        <v>39</v>
      </c>
      <c r="Q9" s="15"/>
      <c r="R9" s="38"/>
      <c r="S9" s="15"/>
      <c r="T9" s="15"/>
      <c r="U9" s="15"/>
      <c r="V9" s="49"/>
      <c r="W9" s="15"/>
      <c r="X9" s="15"/>
      <c r="Y9" s="15"/>
      <c r="Z9" s="38"/>
    </row>
    <row r="10" spans="1:26" x14ac:dyDescent="0.3">
      <c r="A10" s="10"/>
      <c r="B10" s="53"/>
      <c r="C10" s="10"/>
      <c r="D10" s="42" t="s">
        <v>57</v>
      </c>
      <c r="E10" s="34"/>
      <c r="F10" s="40" t="s">
        <v>40</v>
      </c>
      <c r="G10" s="34"/>
      <c r="H10" s="45" t="s">
        <v>238</v>
      </c>
      <c r="I10" s="34"/>
      <c r="J10" s="48" t="s">
        <v>58</v>
      </c>
      <c r="K10" s="10"/>
      <c r="L10" s="42" t="s">
        <v>127</v>
      </c>
      <c r="M10" s="10"/>
      <c r="N10" s="40" t="s">
        <v>258</v>
      </c>
      <c r="O10" s="10"/>
      <c r="P10" s="56" t="s">
        <v>57</v>
      </c>
      <c r="Q10" s="34"/>
      <c r="R10" s="40" t="s">
        <v>40</v>
      </c>
      <c r="S10" s="34"/>
      <c r="T10" s="45" t="s">
        <v>238</v>
      </c>
      <c r="U10" s="34"/>
      <c r="V10" s="48" t="s">
        <v>58</v>
      </c>
      <c r="W10" s="10"/>
      <c r="X10" s="42" t="s">
        <v>127</v>
      </c>
      <c r="Y10" s="10"/>
      <c r="Z10" s="40" t="s">
        <v>258</v>
      </c>
    </row>
    <row r="11" spans="1:26" ht="15.6" x14ac:dyDescent="0.3">
      <c r="A11" s="9"/>
      <c r="B11" s="58"/>
      <c r="C11" s="9"/>
      <c r="D11" s="9"/>
      <c r="E11" s="9"/>
      <c r="F11" s="6"/>
      <c r="G11" s="9"/>
      <c r="H11" s="9"/>
      <c r="I11" s="9"/>
      <c r="J11" s="46"/>
      <c r="K11" s="9"/>
      <c r="L11" s="9"/>
      <c r="M11" s="9"/>
      <c r="N11" s="6"/>
      <c r="P11" s="9"/>
      <c r="Q11" s="9"/>
      <c r="R11" s="6"/>
      <c r="S11" s="9"/>
      <c r="T11" s="9"/>
      <c r="U11" s="9"/>
      <c r="V11" s="46"/>
      <c r="W11" s="9"/>
      <c r="X11" s="9"/>
      <c r="Y11" s="9"/>
      <c r="Z11" s="6"/>
    </row>
    <row r="12" spans="1:26" s="23" customFormat="1" collapsed="1" x14ac:dyDescent="0.3">
      <c r="A12" s="10"/>
      <c r="B12" s="25" t="s">
        <v>140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3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3" t="e">
        <f ca="1">-_xll.OneStop.ReportPlayer.OSRFunctions.OSRGet("GL_F_Trans","Value1")</f>
        <v>#NAME?</v>
      </c>
      <c r="E13" s="3"/>
      <c r="F13" s="19"/>
      <c r="G13" s="3"/>
      <c r="H13" s="3" t="e">
        <f ca="1">_xll.OneStop.ReportPlayer.OSRFunctions.OSRGet("GL_F_Trans","Value1")</f>
        <v>#NAME?</v>
      </c>
      <c r="I13" s="3"/>
      <c r="J13" s="19"/>
      <c r="K13" s="3"/>
      <c r="L13" s="3" t="e">
        <f t="shared" ca="1" si="0"/>
        <v>#NAME?</v>
      </c>
      <c r="M13" s="3"/>
      <c r="N13" s="19" t="e">
        <f t="shared" ca="1" si="1"/>
        <v>#NAME?</v>
      </c>
      <c r="O13" s="11"/>
      <c r="P13" s="3" t="e">
        <f ca="1">-_xll.OneStop.ReportPlayer.OSRFunctions.OSRGet("GL_F_Trans","Value1")</f>
        <v>#NAME?</v>
      </c>
      <c r="Q13" s="3"/>
      <c r="R13" s="19"/>
      <c r="S13" s="3"/>
      <c r="T13" s="3" t="e">
        <f ca="1">_xll.OneStop.ReportPlayer.OSRFunctions.OSRGet("GL_F_Trans","Value1")</f>
        <v>#NAME?</v>
      </c>
      <c r="U13" s="3"/>
      <c r="V13" s="19"/>
      <c r="W13" s="3"/>
      <c r="X13" s="3" t="e">
        <f t="shared" ca="1" si="2"/>
        <v>#NAME?</v>
      </c>
      <c r="Y13" s="3"/>
      <c r="Z13" s="19" t="e">
        <f t="shared" ca="1" si="3"/>
        <v>#NAME?</v>
      </c>
    </row>
    <row r="14" spans="1:26" x14ac:dyDescent="0.3">
      <c r="A14" s="9"/>
      <c r="B14" s="10"/>
      <c r="C14" s="9"/>
      <c r="D14" s="2"/>
      <c r="E14" s="2"/>
      <c r="F14" s="6"/>
      <c r="G14" s="2"/>
      <c r="H14" s="2"/>
      <c r="I14" s="2"/>
      <c r="J14" s="6"/>
      <c r="K14" s="2"/>
      <c r="L14" s="2"/>
      <c r="M14" s="2"/>
      <c r="N14" s="6"/>
      <c r="P14" s="2"/>
      <c r="Q14" s="2"/>
      <c r="R14" s="6"/>
      <c r="S14" s="2"/>
      <c r="T14" s="2"/>
      <c r="U14" s="2"/>
      <c r="V14" s="6"/>
      <c r="W14" s="2"/>
      <c r="X14" s="2"/>
      <c r="Y14" s="2"/>
      <c r="Z14" s="6"/>
    </row>
    <row r="15" spans="1:26" s="23" customFormat="1" collapsed="1" x14ac:dyDescent="0.3">
      <c r="A15" s="10"/>
      <c r="B15" s="25" t="s">
        <v>257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3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3" t="e">
        <f ca="1">_xll.OneStop.ReportPlayer.OSRFunctions.OSRGet("GL_F_Trans","Value1")</f>
        <v>#NAME?</v>
      </c>
      <c r="E16" s="3"/>
      <c r="F16" s="19" t="e">
        <f t="shared" ca="1" si="4"/>
        <v>#NAME?</v>
      </c>
      <c r="G16" s="3"/>
      <c r="H16" s="3" t="e">
        <f ca="1">_xll.OneStop.ReportPlayer.OSRFunctions.OSRGet("GL_F_Trans","Value1")</f>
        <v>#NAME?</v>
      </c>
      <c r="I16" s="3"/>
      <c r="J16" s="19" t="e">
        <f t="shared" ca="1" si="5"/>
        <v>#NAME?</v>
      </c>
      <c r="K16" s="3"/>
      <c r="L16" s="3" t="e">
        <f t="shared" ca="1" si="6"/>
        <v>#NAME?</v>
      </c>
      <c r="M16" s="3"/>
      <c r="N16" s="19" t="e">
        <f t="shared" ca="1" si="7"/>
        <v>#NAME?</v>
      </c>
      <c r="O16" s="11"/>
      <c r="P16" s="3" t="e">
        <f ca="1">_xll.OneStop.ReportPlayer.OSRFunctions.OSRGet("GL_F_Trans","Value1")</f>
        <v>#NAME?</v>
      </c>
      <c r="Q16" s="3"/>
      <c r="R16" s="19" t="e">
        <f t="shared" ca="1" si="8"/>
        <v>#NAME?</v>
      </c>
      <c r="S16" s="3"/>
      <c r="T16" s="3" t="e">
        <f ca="1">_xll.OneStop.ReportPlayer.OSRFunctions.OSRGet("GL_F_Trans","Value1")</f>
        <v>#NAME?</v>
      </c>
      <c r="U16" s="3"/>
      <c r="V16" s="19" t="e">
        <f t="shared" ca="1" si="9"/>
        <v>#NAME?</v>
      </c>
      <c r="W16" s="3"/>
      <c r="X16" s="3" t="e">
        <f t="shared" ca="1" si="10"/>
        <v>#NAME?</v>
      </c>
      <c r="Y16" s="3"/>
      <c r="Z16" s="19" t="e">
        <f t="shared" ca="1" si="11"/>
        <v>#NAME?</v>
      </c>
    </row>
    <row r="17" spans="1:26" x14ac:dyDescent="0.3">
      <c r="A17" s="9"/>
      <c r="B17" s="10"/>
      <c r="C17" s="10"/>
      <c r="D17" s="2"/>
      <c r="E17" s="2"/>
      <c r="F17" s="6"/>
      <c r="G17" s="2"/>
      <c r="H17" s="2"/>
      <c r="I17" s="2"/>
      <c r="J17" s="6"/>
      <c r="K17" s="2"/>
      <c r="L17" s="2"/>
      <c r="M17" s="2"/>
      <c r="N17" s="6"/>
      <c r="O17" s="10"/>
      <c r="P17" s="2"/>
      <c r="Q17" s="2"/>
      <c r="R17" s="6"/>
      <c r="S17" s="2"/>
      <c r="T17" s="2"/>
      <c r="U17" s="2"/>
      <c r="V17" s="6"/>
      <c r="W17" s="2"/>
      <c r="X17" s="2"/>
      <c r="Y17" s="2"/>
      <c r="Z17" s="6"/>
    </row>
    <row r="18" spans="1:26" s="23" customFormat="1" x14ac:dyDescent="0.3">
      <c r="A18" s="10"/>
      <c r="B18" s="26" t="s">
        <v>108</v>
      </c>
      <c r="C18" s="26"/>
      <c r="D18" s="21" t="e">
        <f ca="1">D12-D15</f>
        <v>#NAME?</v>
      </c>
      <c r="E18" s="13"/>
      <c r="F18" s="22" t="e">
        <f ca="1">IF(D$12=0,0,D18/D$12)</f>
        <v>#NAME?</v>
      </c>
      <c r="G18" s="13"/>
      <c r="H18" s="21" t="e">
        <f ca="1">H12-H15</f>
        <v>#NAME?</v>
      </c>
      <c r="I18" s="13"/>
      <c r="J18" s="22" t="e">
        <f ca="1">IF(H$12=0,0,H18/H$12)</f>
        <v>#NAME?</v>
      </c>
      <c r="K18" s="16"/>
      <c r="L18" s="21" t="e">
        <f ca="1">+D18-H18</f>
        <v>#NAME?</v>
      </c>
      <c r="M18" s="16"/>
      <c r="N18" s="22" t="e">
        <f ca="1">IF(H18=0,0,L18/H18)</f>
        <v>#NAME?</v>
      </c>
      <c r="O18" s="25"/>
      <c r="P18" s="21" t="e">
        <f ca="1">P12-P15</f>
        <v>#NAME?</v>
      </c>
      <c r="Q18" s="13"/>
      <c r="R18" s="22" t="e">
        <f ca="1">IF(P$12=0,0,P18/P$12)</f>
        <v>#NAME?</v>
      </c>
      <c r="S18" s="13"/>
      <c r="T18" s="21" t="e">
        <f ca="1">T12-T15</f>
        <v>#NAME?</v>
      </c>
      <c r="U18" s="13"/>
      <c r="V18" s="22" t="e">
        <f ca="1">IF(T$12=0,0,T18/T$12)</f>
        <v>#NAME?</v>
      </c>
      <c r="W18" s="16"/>
      <c r="X18" s="21" t="e">
        <f ca="1">+P18-T18</f>
        <v>#NAME?</v>
      </c>
      <c r="Y18" s="16"/>
      <c r="Z18" s="22" t="e">
        <f ca="1">IF(T18=0,0,X18/T18)</f>
        <v>#NAME?</v>
      </c>
    </row>
    <row r="19" spans="1:26" x14ac:dyDescent="0.3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">
      <c r="A20" s="10"/>
      <c r="B20" s="25" t="s">
        <v>295</v>
      </c>
      <c r="C20" s="10"/>
      <c r="D20" s="20" t="e">
        <f ca="1">SUM(_xll.OneStop.ReportPlayer.OSRFunctions.OSRRef(D22))</f>
        <v>#NAME?</v>
      </c>
      <c r="E20" s="20"/>
      <c r="F20" s="32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2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2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2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2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2" t="e">
        <f t="shared" ref="Z20:Z22" ca="1" si="19">IF(T20=0,0,X20/T20)</f>
        <v>#NAME?</v>
      </c>
    </row>
    <row r="21" spans="1:26" s="27" customFormat="1" outlineLevel="1" collapsed="1" x14ac:dyDescent="0.3">
      <c r="A21" s="28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3">
      <c r="A22" s="29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8" t="e">
        <f ca="1">_xll.OneStop.ReportPlayer.OSRFunctions.OSRGet("GL_F_Trans","Value1")</f>
        <v>#NAME?</v>
      </c>
      <c r="E22" s="3"/>
      <c r="F22" s="7" t="e">
        <f t="shared" ca="1" si="12"/>
        <v>#NAME?</v>
      </c>
      <c r="G22" s="3"/>
      <c r="H22" s="8" t="e">
        <f ca="1">_xll.OneStop.ReportPlayer.OSRFunctions.OSRGet("GL_F_Trans","Value1")</f>
        <v>#NAME?</v>
      </c>
      <c r="I22" s="3"/>
      <c r="J22" s="7" t="e">
        <f t="shared" ca="1" si="13"/>
        <v>#NAME?</v>
      </c>
      <c r="K22" s="3"/>
      <c r="L22" s="8" t="e">
        <f t="shared" ca="1" si="14"/>
        <v>#NAME?</v>
      </c>
      <c r="M22" s="3"/>
      <c r="N22" s="7" t="e">
        <f t="shared" ca="1" si="15"/>
        <v>#NAME?</v>
      </c>
      <c r="O22" s="11"/>
      <c r="P22" s="8" t="e">
        <f ca="1">_xll.OneStop.ReportPlayer.OSRFunctions.OSRGet("GL_F_Trans","Value1")</f>
        <v>#NAME?</v>
      </c>
      <c r="Q22" s="3"/>
      <c r="R22" s="7" t="e">
        <f t="shared" ca="1" si="16"/>
        <v>#NAME?</v>
      </c>
      <c r="S22" s="3"/>
      <c r="T22" s="8" t="e">
        <f ca="1">_xll.OneStop.ReportPlayer.OSRFunctions.OSRGet("GL_F_Trans","Value1")</f>
        <v>#NAME?</v>
      </c>
      <c r="U22" s="3"/>
      <c r="V22" s="7" t="e">
        <f t="shared" ca="1" si="17"/>
        <v>#NAME?</v>
      </c>
      <c r="W22" s="3"/>
      <c r="X22" s="8" t="e">
        <f t="shared" ca="1" si="18"/>
        <v>#NAME?</v>
      </c>
      <c r="Y22" s="3"/>
      <c r="Z22" s="7" t="e">
        <f t="shared" ca="1" si="19"/>
        <v>#NAME?</v>
      </c>
    </row>
    <row r="23" spans="1:26" s="62" customFormat="1" x14ac:dyDescent="0.3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3">
      <c r="A24" s="10"/>
      <c r="B24" s="25" t="s">
        <v>293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3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3" t="e">
        <f ca="1">-_xll.OneStop.ReportPlayer.OSRFunctions.OSRGet("GL_F_Trans","Value1")</f>
        <v>#NAME?</v>
      </c>
      <c r="E25" s="3"/>
      <c r="F25" s="19" t="e">
        <f t="shared" ca="1" si="20"/>
        <v>#NAME?</v>
      </c>
      <c r="G25" s="3"/>
      <c r="H25" s="3" t="e">
        <f ca="1">_xll.OneStop.ReportPlayer.OSRFunctions.OSRGet("GL_F_Trans","Value1")</f>
        <v>#NAME?</v>
      </c>
      <c r="I25" s="3"/>
      <c r="J25" s="19" t="e">
        <f t="shared" ca="1" si="21"/>
        <v>#NAME?</v>
      </c>
      <c r="K25" s="3"/>
      <c r="L25" s="3" t="e">
        <f t="shared" ca="1" si="22"/>
        <v>#NAME?</v>
      </c>
      <c r="M25" s="3"/>
      <c r="N25" s="19" t="e">
        <f t="shared" ca="1" si="23"/>
        <v>#NAME?</v>
      </c>
      <c r="O25" s="11"/>
      <c r="P25" s="3" t="e">
        <f ca="1">-_xll.OneStop.ReportPlayer.OSRFunctions.OSRGet("GL_F_Trans","Value1")</f>
        <v>#NAME?</v>
      </c>
      <c r="Q25" s="3"/>
      <c r="R25" s="19" t="e">
        <f t="shared" ca="1" si="24"/>
        <v>#NAME?</v>
      </c>
      <c r="S25" s="3"/>
      <c r="T25" s="3" t="e">
        <f ca="1">_xll.OneStop.ReportPlayer.OSRFunctions.OSRGet("GL_F_Trans","Value1")</f>
        <v>#NAME?</v>
      </c>
      <c r="U25" s="3"/>
      <c r="V25" s="19" t="e">
        <f t="shared" ca="1" si="25"/>
        <v>#NAME?</v>
      </c>
      <c r="W25" s="3"/>
      <c r="X25" s="3" t="e">
        <f t="shared" ca="1" si="26"/>
        <v>#NAME?</v>
      </c>
      <c r="Y25" s="3"/>
      <c r="Z25" s="19" t="e">
        <f t="shared" ca="1" si="27"/>
        <v>#NAME?</v>
      </c>
    </row>
    <row r="26" spans="1:26" x14ac:dyDescent="0.3">
      <c r="A26" s="9"/>
      <c r="B26" s="10"/>
      <c r="C26" s="10"/>
      <c r="D26" s="2"/>
      <c r="E26" s="2"/>
      <c r="F26" s="6"/>
      <c r="G26" s="2"/>
      <c r="H26" s="2"/>
      <c r="I26" s="2"/>
      <c r="J26" s="6"/>
      <c r="K26" s="2"/>
      <c r="L26" s="2"/>
      <c r="M26" s="2"/>
      <c r="N26" s="6"/>
      <c r="O26" s="10"/>
      <c r="P26" s="2"/>
      <c r="Q26" s="2"/>
      <c r="R26" s="6"/>
      <c r="S26" s="2"/>
      <c r="T26" s="2"/>
      <c r="U26" s="2"/>
      <c r="V26" s="6"/>
      <c r="W26" s="2"/>
      <c r="X26" s="2"/>
      <c r="Y26" s="2"/>
      <c r="Z26" s="6"/>
    </row>
    <row r="27" spans="1:26" s="23" customFormat="1" x14ac:dyDescent="0.3">
      <c r="A27" s="10"/>
      <c r="B27" s="26" t="s">
        <v>277</v>
      </c>
      <c r="C27" s="26"/>
      <c r="D27" s="21" t="e">
        <f ca="1">+D18-D20+D24</f>
        <v>#NAME?</v>
      </c>
      <c r="E27" s="13"/>
      <c r="F27" s="22" t="e">
        <f ca="1">IF(D$12=0,0,D27/D$12)</f>
        <v>#NAME?</v>
      </c>
      <c r="G27" s="13"/>
      <c r="H27" s="21" t="e">
        <f ca="1">+H18-H20+H24</f>
        <v>#NAME?</v>
      </c>
      <c r="I27" s="13"/>
      <c r="J27" s="22" t="e">
        <f ca="1">IF(H$12=0,0,H27/H$12)</f>
        <v>#NAME?</v>
      </c>
      <c r="K27" s="16"/>
      <c r="L27" s="21" t="e">
        <f ca="1">+D27-H27</f>
        <v>#NAME?</v>
      </c>
      <c r="M27" s="16"/>
      <c r="N27" s="22" t="e">
        <f ca="1">IF(H27=0,0,L27/H27)</f>
        <v>#NAME?</v>
      </c>
      <c r="O27" s="25"/>
      <c r="P27" s="21" t="e">
        <f ca="1">+P18-P20+P24</f>
        <v>#NAME?</v>
      </c>
      <c r="Q27" s="13"/>
      <c r="R27" s="22" t="e">
        <f ca="1">IF(P$12=0,0,P27/P$12)</f>
        <v>#NAME?</v>
      </c>
      <c r="S27" s="13"/>
      <c r="T27" s="21" t="e">
        <f ca="1">+T18-T20+T24</f>
        <v>#NAME?</v>
      </c>
      <c r="U27" s="13"/>
      <c r="V27" s="22" t="e">
        <f ca="1">IF(T$12=0,0,T27/T$12)</f>
        <v>#NAME?</v>
      </c>
      <c r="W27" s="16"/>
      <c r="X27" s="21" t="e">
        <f ca="1">+P27-T27</f>
        <v>#NAME?</v>
      </c>
      <c r="Y27" s="16"/>
      <c r="Z27" s="22" t="e">
        <f ca="1">IF(T27=0,0,X27/T27)</f>
        <v>#NAME?</v>
      </c>
    </row>
    <row r="28" spans="1:26" x14ac:dyDescent="0.3">
      <c r="A28" s="9"/>
      <c r="B28" s="10"/>
      <c r="C28" s="9"/>
      <c r="D28" s="2"/>
      <c r="E28" s="2"/>
      <c r="F28" s="6"/>
      <c r="G28" s="2"/>
      <c r="H28" s="2"/>
      <c r="I28" s="2"/>
      <c r="J28" s="6"/>
      <c r="K28" s="2"/>
      <c r="L28" s="2"/>
      <c r="M28" s="2"/>
      <c r="N28" s="6"/>
      <c r="P28" s="2"/>
      <c r="Q28" s="2"/>
      <c r="R28" s="6"/>
      <c r="S28" s="2"/>
      <c r="T28" s="2"/>
      <c r="U28" s="2"/>
      <c r="V28" s="6"/>
      <c r="W28" s="2"/>
      <c r="X28" s="2"/>
      <c r="Y28" s="2"/>
      <c r="Z28" s="6"/>
    </row>
    <row r="29" spans="1:26" s="23" customFormat="1" x14ac:dyDescent="0.3">
      <c r="A29" s="52"/>
      <c r="B29" s="10" t="s">
        <v>128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3">
      <c r="A30" s="9"/>
      <c r="B30" s="10"/>
      <c r="C30" s="10"/>
      <c r="D30" s="2"/>
      <c r="E30" s="2"/>
      <c r="F30" s="6"/>
      <c r="G30" s="2"/>
      <c r="H30" s="2"/>
      <c r="I30" s="2"/>
      <c r="J30" s="6"/>
      <c r="K30" s="2"/>
      <c r="L30" s="2"/>
      <c r="M30" s="2"/>
      <c r="N30" s="6"/>
      <c r="O30" s="10"/>
      <c r="P30" s="2"/>
      <c r="Q30" s="2"/>
      <c r="R30" s="6"/>
      <c r="S30" s="2"/>
      <c r="T30" s="2"/>
      <c r="U30" s="2"/>
      <c r="V30" s="6"/>
      <c r="W30" s="2"/>
      <c r="X30" s="2"/>
      <c r="Y30" s="2"/>
      <c r="Z30" s="6"/>
    </row>
    <row r="31" spans="1:26" s="23" customFormat="1" ht="15" thickBot="1" x14ac:dyDescent="0.35">
      <c r="A31" s="10"/>
      <c r="B31" s="26" t="s">
        <v>126</v>
      </c>
      <c r="C31" s="26"/>
      <c r="D31" s="35" t="e">
        <f ca="1">+D27-D29</f>
        <v>#NAME?</v>
      </c>
      <c r="E31" s="13"/>
      <c r="F31" s="30" t="e">
        <f ca="1">IF(D$12=0,0,D31/D$12)</f>
        <v>#NAME?</v>
      </c>
      <c r="G31" s="13"/>
      <c r="H31" s="35" t="e">
        <f ca="1">+H27-H29</f>
        <v>#NAME?</v>
      </c>
      <c r="I31" s="13"/>
      <c r="J31" s="30" t="e">
        <f ca="1">IF(H$12=0,0,H31/H$12)</f>
        <v>#NAME?</v>
      </c>
      <c r="K31" s="16"/>
      <c r="L31" s="35" t="e">
        <f ca="1">D31-H31</f>
        <v>#NAME?</v>
      </c>
      <c r="M31" s="16"/>
      <c r="N31" s="30" t="e">
        <f ca="1">IF(H31=0,0,L31/H31)</f>
        <v>#NAME?</v>
      </c>
      <c r="O31" s="25"/>
      <c r="P31" s="35" t="e">
        <f ca="1">+P27-P29</f>
        <v>#NAME?</v>
      </c>
      <c r="Q31" s="13"/>
      <c r="R31" s="30" t="e">
        <f ca="1">IF(P$12=0,0,P31/P$12)</f>
        <v>#NAME?</v>
      </c>
      <c r="S31" s="13"/>
      <c r="T31" s="35" t="e">
        <f ca="1">+T27-T29</f>
        <v>#NAME?</v>
      </c>
      <c r="U31" s="13"/>
      <c r="V31" s="30" t="e">
        <f ca="1">IF(T$12=0,0,T31/T$12)</f>
        <v>#NAME?</v>
      </c>
      <c r="W31" s="16"/>
      <c r="X31" s="35" t="e">
        <f ca="1">P31-T31</f>
        <v>#NAME?</v>
      </c>
      <c r="Y31" s="16"/>
      <c r="Z31" s="30" t="e">
        <f ca="1">IF(T31=0,0,X31/T31)</f>
        <v>#NAME?</v>
      </c>
    </row>
    <row r="32" spans="1:26" ht="15" thickTop="1" x14ac:dyDescent="0.3">
      <c r="A32" s="9"/>
      <c r="B32" s="9"/>
      <c r="C32" s="9"/>
      <c r="D32" s="2"/>
      <c r="E32" s="2"/>
      <c r="F32" s="6"/>
      <c r="G32" s="2"/>
      <c r="H32" s="2"/>
      <c r="I32" s="2"/>
      <c r="J32" s="6"/>
      <c r="K32" s="2"/>
      <c r="L32" s="2"/>
      <c r="M32" s="2"/>
      <c r="N32" s="6"/>
      <c r="P32" s="2"/>
      <c r="Q32" s="2"/>
      <c r="R32" s="6"/>
      <c r="S32" s="2"/>
      <c r="T32" s="2"/>
      <c r="U32" s="2"/>
      <c r="V32" s="6"/>
      <c r="W32" s="2"/>
      <c r="X32" s="2"/>
      <c r="Y32" s="2"/>
      <c r="Z32" s="6"/>
    </row>
    <row r="33" spans="1:26" s="23" customFormat="1" x14ac:dyDescent="0.3">
      <c r="A33" s="52"/>
      <c r="B33" s="10" t="s">
        <v>184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3">
      <c r="A34" s="52"/>
      <c r="B34" s="10" t="s">
        <v>82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3">
      <c r="A35" s="9"/>
      <c r="B35" s="9"/>
      <c r="C35" s="9"/>
      <c r="D35" s="2"/>
      <c r="E35" s="2"/>
      <c r="F35" s="6"/>
      <c r="G35" s="2"/>
      <c r="H35" s="2"/>
      <c r="I35" s="2"/>
      <c r="J35" s="6"/>
      <c r="K35" s="2"/>
      <c r="L35" s="2"/>
      <c r="M35" s="2"/>
      <c r="N35" s="6"/>
      <c r="P35" s="2"/>
      <c r="Q35" s="2"/>
      <c r="R35" s="6"/>
      <c r="S35" s="2"/>
      <c r="T35" s="2"/>
      <c r="U35" s="2"/>
      <c r="V35" s="6"/>
      <c r="W35" s="2"/>
      <c r="X35" s="2"/>
      <c r="Y35" s="2"/>
      <c r="Z35" s="6"/>
    </row>
    <row r="36" spans="1:26" s="23" customFormat="1" ht="15" thickBot="1" x14ac:dyDescent="0.35">
      <c r="A36" s="10"/>
      <c r="B36" s="26" t="s">
        <v>294</v>
      </c>
      <c r="C36" s="26"/>
      <c r="D36" s="33" t="e">
        <f ca="1">SUM(D31:D35)</f>
        <v>#NAME?</v>
      </c>
      <c r="E36" s="13"/>
      <c r="F36" s="31" t="e">
        <f ca="1">IF(D$12=0,0,D36/D$12)</f>
        <v>#NAME?</v>
      </c>
      <c r="G36" s="13"/>
      <c r="H36" s="33" t="e">
        <f ca="1">SUM(H31:H35)</f>
        <v>#NAME?</v>
      </c>
      <c r="I36" s="13"/>
      <c r="J36" s="31" t="e">
        <f ca="1">IF(H$12=0,0,H36/H$12)</f>
        <v>#NAME?</v>
      </c>
      <c r="K36" s="16"/>
      <c r="L36" s="33" t="e">
        <f ca="1">+D36-H36</f>
        <v>#NAME?</v>
      </c>
      <c r="M36" s="16"/>
      <c r="N36" s="31" t="e">
        <f ca="1">IF(H36=0,0,L36/H36)</f>
        <v>#NAME?</v>
      </c>
      <c r="O36" s="25"/>
      <c r="P36" s="33" t="e">
        <f ca="1">SUM(P31:P35)</f>
        <v>#NAME?</v>
      </c>
      <c r="Q36" s="13"/>
      <c r="R36" s="31" t="e">
        <f ca="1">IF(P$12=0,0,P36/P$12)</f>
        <v>#NAME?</v>
      </c>
      <c r="S36" s="13"/>
      <c r="T36" s="33" t="e">
        <f ca="1">SUM(T31:T35)</f>
        <v>#NAME?</v>
      </c>
      <c r="U36" s="13"/>
      <c r="V36" s="31" t="e">
        <f ca="1">IF(T$12=0,0,T36/T$12)</f>
        <v>#NAME?</v>
      </c>
      <c r="W36" s="16"/>
      <c r="X36" s="33" t="e">
        <f ca="1">+P36-T36</f>
        <v>#NAME?</v>
      </c>
      <c r="Y36" s="16"/>
      <c r="Z36" s="31" t="e">
        <f ca="1">IF(T36=0,0,X36/T36)</f>
        <v>#NAME?</v>
      </c>
    </row>
    <row r="37" spans="1:26" ht="15" thickTop="1" x14ac:dyDescent="0.3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3">
      <c r="A38" s="9"/>
      <c r="B38" s="54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3">
      <c r="A39" s="9"/>
      <c r="B39" s="59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3">
      <c r="A40" s="9"/>
      <c r="B40" s="55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3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50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7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50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7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7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7" customWidth="1" outlineLevel="1"/>
  </cols>
  <sheetData>
    <row r="2" spans="1:26" x14ac:dyDescent="0.3">
      <c r="D2" s="57" t="s">
        <v>23</v>
      </c>
    </row>
    <row r="3" spans="1:26" x14ac:dyDescent="0.3">
      <c r="D3" s="57" t="s">
        <v>237</v>
      </c>
      <c r="E3" s="17"/>
      <c r="F3" s="51"/>
      <c r="G3" s="17"/>
      <c r="H3" s="17"/>
      <c r="I3" s="17"/>
      <c r="J3" s="39"/>
      <c r="K3" s="17"/>
      <c r="L3" s="17"/>
      <c r="M3" s="17"/>
      <c r="N3" s="51"/>
      <c r="O3" s="61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3">
      <c r="D4" s="57" t="e">
        <f ca="1">CONCATENATE("Period ",RIGHT(_xll.OneStop.ReportPlayer.OSRFunctions.OSRGet("Period","PeriodId"),2),", ",_xll.OneStop.ReportPlayer.OSRFunctions.OSRGet("Period","Year"))</f>
        <v>#NAME?</v>
      </c>
      <c r="E4" s="17"/>
      <c r="F4" s="51"/>
      <c r="G4" s="17"/>
      <c r="H4" s="17"/>
      <c r="I4" s="17"/>
      <c r="J4" s="39"/>
      <c r="K4" s="17"/>
      <c r="L4" s="17"/>
      <c r="M4" s="17"/>
      <c r="N4" s="51"/>
      <c r="O4" s="61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3">
      <c r="A5" s="23"/>
      <c r="D5" s="65" t="e">
        <f ca="1">_xll.OneStop.ReportPlayer.OSRFunctions.OSRGet("Period","PeriodEnd")</f>
        <v>#NAME?</v>
      </c>
      <c r="E5" s="17"/>
      <c r="F5" s="51"/>
      <c r="G5" s="17"/>
      <c r="H5" s="17"/>
      <c r="I5" s="17"/>
      <c r="J5" s="39"/>
      <c r="K5" s="17"/>
      <c r="L5" s="17"/>
      <c r="M5" s="17"/>
      <c r="N5" s="51"/>
      <c r="O5" s="61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3">
      <c r="A6" s="23"/>
      <c r="B6" s="47"/>
      <c r="C6" s="47"/>
      <c r="D6" s="23" t="s">
        <v>200</v>
      </c>
      <c r="E6" s="17"/>
      <c r="F6" s="51"/>
      <c r="G6" s="17"/>
      <c r="H6" s="17"/>
      <c r="I6" s="17"/>
      <c r="J6" s="39"/>
      <c r="K6" s="17"/>
      <c r="L6" s="17"/>
      <c r="M6" s="17"/>
      <c r="N6" s="51"/>
      <c r="O6" s="60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3">
      <c r="B7" s="63"/>
    </row>
    <row r="8" spans="1:26" x14ac:dyDescent="0.3">
      <c r="B8" s="63"/>
    </row>
    <row r="9" spans="1:26" x14ac:dyDescent="0.3">
      <c r="B9" s="9"/>
      <c r="C9" s="9"/>
      <c r="D9" s="15" t="s">
        <v>292</v>
      </c>
      <c r="E9" s="15"/>
      <c r="F9" s="38"/>
      <c r="G9" s="15"/>
      <c r="H9" s="15"/>
      <c r="I9" s="15"/>
      <c r="J9" s="49"/>
      <c r="K9" s="15"/>
      <c r="L9" s="15"/>
      <c r="M9" s="15"/>
      <c r="N9" s="38"/>
      <c r="P9" s="15" t="s">
        <v>39</v>
      </c>
      <c r="Q9" s="15"/>
      <c r="R9" s="38"/>
      <c r="S9" s="15"/>
      <c r="T9" s="15"/>
      <c r="U9" s="15"/>
      <c r="V9" s="49"/>
      <c r="W9" s="15"/>
      <c r="X9" s="15"/>
      <c r="Y9" s="15"/>
      <c r="Z9" s="38"/>
    </row>
    <row r="10" spans="1:26" x14ac:dyDescent="0.3">
      <c r="A10" s="10"/>
      <c r="B10" s="53"/>
      <c r="C10" s="10"/>
      <c r="D10" s="42" t="s">
        <v>57</v>
      </c>
      <c r="E10" s="34"/>
      <c r="F10" s="40" t="s">
        <v>40</v>
      </c>
      <c r="G10" s="34"/>
      <c r="H10" s="45" t="s">
        <v>238</v>
      </c>
      <c r="I10" s="34"/>
      <c r="J10" s="48" t="s">
        <v>58</v>
      </c>
      <c r="K10" s="10"/>
      <c r="L10" s="42" t="s">
        <v>127</v>
      </c>
      <c r="M10" s="10"/>
      <c r="N10" s="40" t="s">
        <v>258</v>
      </c>
      <c r="O10" s="10"/>
      <c r="P10" s="56" t="s">
        <v>57</v>
      </c>
      <c r="Q10" s="34"/>
      <c r="R10" s="40" t="s">
        <v>40</v>
      </c>
      <c r="S10" s="34"/>
      <c r="T10" s="45" t="s">
        <v>238</v>
      </c>
      <c r="U10" s="34"/>
      <c r="V10" s="48" t="s">
        <v>58</v>
      </c>
      <c r="W10" s="10"/>
      <c r="X10" s="42" t="s">
        <v>127</v>
      </c>
      <c r="Y10" s="10"/>
      <c r="Z10" s="40" t="s">
        <v>258</v>
      </c>
    </row>
    <row r="11" spans="1:26" ht="15.6" x14ac:dyDescent="0.3">
      <c r="A11" s="9"/>
      <c r="B11" s="58"/>
      <c r="C11" s="9"/>
      <c r="D11" s="9"/>
      <c r="E11" s="9"/>
      <c r="F11" s="6"/>
      <c r="G11" s="9"/>
      <c r="H11" s="9"/>
      <c r="I11" s="9"/>
      <c r="J11" s="46"/>
      <c r="K11" s="9"/>
      <c r="L11" s="9"/>
      <c r="M11" s="9"/>
      <c r="N11" s="6"/>
      <c r="P11" s="9"/>
      <c r="Q11" s="9"/>
      <c r="R11" s="6"/>
      <c r="S11" s="9"/>
      <c r="T11" s="9"/>
      <c r="U11" s="9"/>
      <c r="V11" s="46"/>
      <c r="W11" s="9"/>
      <c r="X11" s="9"/>
      <c r="Y11" s="9"/>
      <c r="Z11" s="6"/>
    </row>
    <row r="12" spans="1:26" s="23" customFormat="1" collapsed="1" x14ac:dyDescent="0.3">
      <c r="A12" s="10"/>
      <c r="B12" s="25" t="s">
        <v>140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3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3" t="e">
        <f ca="1">-_xll.OneStop.ReportPlayer.OSRFunctions.OSRGet("GL_F_Trans","Value1")</f>
        <v>#NAME?</v>
      </c>
      <c r="E13" s="3"/>
      <c r="F13" s="19"/>
      <c r="G13" s="3"/>
      <c r="H13" s="3" t="e">
        <f ca="1">_xll.OneStop.ReportPlayer.OSRFunctions.OSRGet("GL_F_Trans","Value1")</f>
        <v>#NAME?</v>
      </c>
      <c r="I13" s="3"/>
      <c r="J13" s="19"/>
      <c r="K13" s="3"/>
      <c r="L13" s="3" t="e">
        <f t="shared" ca="1" si="0"/>
        <v>#NAME?</v>
      </c>
      <c r="M13" s="3"/>
      <c r="N13" s="19" t="e">
        <f t="shared" ca="1" si="1"/>
        <v>#NAME?</v>
      </c>
      <c r="O13" s="11"/>
      <c r="P13" s="3" t="e">
        <f ca="1">-_xll.OneStop.ReportPlayer.OSRFunctions.OSRGet("GL_F_Trans","Value1")</f>
        <v>#NAME?</v>
      </c>
      <c r="Q13" s="3"/>
      <c r="R13" s="19"/>
      <c r="S13" s="3"/>
      <c r="T13" s="3" t="e">
        <f ca="1">_xll.OneStop.ReportPlayer.OSRFunctions.OSRGet("GL_F_Trans","Value1")</f>
        <v>#NAME?</v>
      </c>
      <c r="U13" s="3"/>
      <c r="V13" s="19"/>
      <c r="W13" s="3"/>
      <c r="X13" s="3" t="e">
        <f t="shared" ca="1" si="2"/>
        <v>#NAME?</v>
      </c>
      <c r="Y13" s="3"/>
      <c r="Z13" s="19" t="e">
        <f t="shared" ca="1" si="3"/>
        <v>#NAME?</v>
      </c>
    </row>
    <row r="14" spans="1:26" x14ac:dyDescent="0.3">
      <c r="A14" s="9"/>
      <c r="B14" s="10"/>
      <c r="C14" s="9"/>
      <c r="D14" s="2"/>
      <c r="E14" s="2"/>
      <c r="F14" s="6"/>
      <c r="G14" s="2"/>
      <c r="H14" s="2"/>
      <c r="I14" s="2"/>
      <c r="J14" s="6"/>
      <c r="K14" s="2"/>
      <c r="L14" s="2"/>
      <c r="M14" s="2"/>
      <c r="N14" s="6"/>
      <c r="P14" s="2"/>
      <c r="Q14" s="2"/>
      <c r="R14" s="6"/>
      <c r="S14" s="2"/>
      <c r="T14" s="2"/>
      <c r="U14" s="2"/>
      <c r="V14" s="6"/>
      <c r="W14" s="2"/>
      <c r="X14" s="2"/>
      <c r="Y14" s="2"/>
      <c r="Z14" s="6"/>
    </row>
    <row r="15" spans="1:26" s="23" customFormat="1" collapsed="1" x14ac:dyDescent="0.3">
      <c r="A15" s="10"/>
      <c r="B15" s="25" t="s">
        <v>257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3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3" t="e">
        <f ca="1">_xll.OneStop.ReportPlayer.OSRFunctions.OSRGet("GL_F_Trans","Value1")</f>
        <v>#NAME?</v>
      </c>
      <c r="E16" s="3"/>
      <c r="F16" s="19" t="e">
        <f t="shared" ca="1" si="4"/>
        <v>#NAME?</v>
      </c>
      <c r="G16" s="3"/>
      <c r="H16" s="3" t="e">
        <f ca="1">_xll.OneStop.ReportPlayer.OSRFunctions.OSRGet("GL_F_Trans","Value1")</f>
        <v>#NAME?</v>
      </c>
      <c r="I16" s="3"/>
      <c r="J16" s="19" t="e">
        <f t="shared" ca="1" si="5"/>
        <v>#NAME?</v>
      </c>
      <c r="K16" s="3"/>
      <c r="L16" s="3" t="e">
        <f t="shared" ca="1" si="6"/>
        <v>#NAME?</v>
      </c>
      <c r="M16" s="3"/>
      <c r="N16" s="19" t="e">
        <f t="shared" ca="1" si="7"/>
        <v>#NAME?</v>
      </c>
      <c r="O16" s="11"/>
      <c r="P16" s="3" t="e">
        <f ca="1">_xll.OneStop.ReportPlayer.OSRFunctions.OSRGet("GL_F_Trans","Value1")</f>
        <v>#NAME?</v>
      </c>
      <c r="Q16" s="3"/>
      <c r="R16" s="19" t="e">
        <f t="shared" ca="1" si="8"/>
        <v>#NAME?</v>
      </c>
      <c r="S16" s="3"/>
      <c r="T16" s="3" t="e">
        <f ca="1">_xll.OneStop.ReportPlayer.OSRFunctions.OSRGet("GL_F_Trans","Value1")</f>
        <v>#NAME?</v>
      </c>
      <c r="U16" s="3"/>
      <c r="V16" s="19" t="e">
        <f t="shared" ca="1" si="9"/>
        <v>#NAME?</v>
      </c>
      <c r="W16" s="3"/>
      <c r="X16" s="3" t="e">
        <f t="shared" ca="1" si="10"/>
        <v>#NAME?</v>
      </c>
      <c r="Y16" s="3"/>
      <c r="Z16" s="19" t="e">
        <f t="shared" ca="1" si="11"/>
        <v>#NAME?</v>
      </c>
    </row>
    <row r="17" spans="1:26" x14ac:dyDescent="0.3">
      <c r="A17" s="9"/>
      <c r="B17" s="10"/>
      <c r="C17" s="10"/>
      <c r="D17" s="2"/>
      <c r="E17" s="2"/>
      <c r="F17" s="6"/>
      <c r="G17" s="2"/>
      <c r="H17" s="2"/>
      <c r="I17" s="2"/>
      <c r="J17" s="6"/>
      <c r="K17" s="2"/>
      <c r="L17" s="2"/>
      <c r="M17" s="2"/>
      <c r="N17" s="6"/>
      <c r="O17" s="10"/>
      <c r="P17" s="2"/>
      <c r="Q17" s="2"/>
      <c r="R17" s="6"/>
      <c r="S17" s="2"/>
      <c r="T17" s="2"/>
      <c r="U17" s="2"/>
      <c r="V17" s="6"/>
      <c r="W17" s="2"/>
      <c r="X17" s="2"/>
      <c r="Y17" s="2"/>
      <c r="Z17" s="6"/>
    </row>
    <row r="18" spans="1:26" s="23" customFormat="1" x14ac:dyDescent="0.3">
      <c r="A18" s="10"/>
      <c r="B18" s="26" t="s">
        <v>108</v>
      </c>
      <c r="C18" s="26"/>
      <c r="D18" s="21" t="e">
        <f ca="1">D12-D15</f>
        <v>#NAME?</v>
      </c>
      <c r="E18" s="13"/>
      <c r="F18" s="22" t="e">
        <f ca="1">IF(D$12=0,0,D18/D$12)</f>
        <v>#NAME?</v>
      </c>
      <c r="G18" s="13"/>
      <c r="H18" s="21" t="e">
        <f ca="1">H12-H15</f>
        <v>#NAME?</v>
      </c>
      <c r="I18" s="13"/>
      <c r="J18" s="22" t="e">
        <f ca="1">IF(H$12=0,0,H18/H$12)</f>
        <v>#NAME?</v>
      </c>
      <c r="K18" s="16"/>
      <c r="L18" s="21" t="e">
        <f ca="1">+D18-H18</f>
        <v>#NAME?</v>
      </c>
      <c r="M18" s="16"/>
      <c r="N18" s="22" t="e">
        <f ca="1">IF(H18=0,0,L18/H18)</f>
        <v>#NAME?</v>
      </c>
      <c r="O18" s="25"/>
      <c r="P18" s="21" t="e">
        <f ca="1">P12-P15</f>
        <v>#NAME?</v>
      </c>
      <c r="Q18" s="13"/>
      <c r="R18" s="22" t="e">
        <f ca="1">IF(P$12=0,0,P18/P$12)</f>
        <v>#NAME?</v>
      </c>
      <c r="S18" s="13"/>
      <c r="T18" s="21" t="e">
        <f ca="1">T12-T15</f>
        <v>#NAME?</v>
      </c>
      <c r="U18" s="13"/>
      <c r="V18" s="22" t="e">
        <f ca="1">IF(T$12=0,0,T18/T$12)</f>
        <v>#NAME?</v>
      </c>
      <c r="W18" s="16"/>
      <c r="X18" s="21" t="e">
        <f ca="1">+P18-T18</f>
        <v>#NAME?</v>
      </c>
      <c r="Y18" s="16"/>
      <c r="Z18" s="22" t="e">
        <f ca="1">IF(T18=0,0,X18/T18)</f>
        <v>#NAME?</v>
      </c>
    </row>
    <row r="19" spans="1:26" x14ac:dyDescent="0.3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">
      <c r="A20" s="10"/>
      <c r="B20" s="25" t="s">
        <v>295</v>
      </c>
      <c r="C20" s="10"/>
      <c r="D20" s="20" t="e">
        <f ca="1">SUM(_xll.OneStop.ReportPlayer.OSRFunctions.OSRRef(D22))</f>
        <v>#NAME?</v>
      </c>
      <c r="E20" s="20"/>
      <c r="F20" s="32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2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2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2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2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2" t="e">
        <f t="shared" ref="Z20:Z22" ca="1" si="19">IF(T20=0,0,X20/T20)</f>
        <v>#NAME?</v>
      </c>
    </row>
    <row r="21" spans="1:26" s="27" customFormat="1" outlineLevel="1" collapsed="1" x14ac:dyDescent="0.3">
      <c r="A21" s="28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3">
      <c r="A22" s="29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8" t="e">
        <f ca="1">_xll.OneStop.ReportPlayer.OSRFunctions.OSRGet("GL_F_Trans","Value1")</f>
        <v>#NAME?</v>
      </c>
      <c r="E22" s="3"/>
      <c r="F22" s="7" t="e">
        <f t="shared" ca="1" si="12"/>
        <v>#NAME?</v>
      </c>
      <c r="G22" s="3"/>
      <c r="H22" s="8" t="e">
        <f ca="1">_xll.OneStop.ReportPlayer.OSRFunctions.OSRGet("GL_F_Trans","Value1")</f>
        <v>#NAME?</v>
      </c>
      <c r="I22" s="3"/>
      <c r="J22" s="7" t="e">
        <f t="shared" ca="1" si="13"/>
        <v>#NAME?</v>
      </c>
      <c r="K22" s="3"/>
      <c r="L22" s="8" t="e">
        <f t="shared" ca="1" si="14"/>
        <v>#NAME?</v>
      </c>
      <c r="M22" s="3"/>
      <c r="N22" s="7" t="e">
        <f t="shared" ca="1" si="15"/>
        <v>#NAME?</v>
      </c>
      <c r="O22" s="11"/>
      <c r="P22" s="8" t="e">
        <f ca="1">_xll.OneStop.ReportPlayer.OSRFunctions.OSRGet("GL_F_Trans","Value1")</f>
        <v>#NAME?</v>
      </c>
      <c r="Q22" s="3"/>
      <c r="R22" s="7" t="e">
        <f t="shared" ca="1" si="16"/>
        <v>#NAME?</v>
      </c>
      <c r="S22" s="3"/>
      <c r="T22" s="8" t="e">
        <f ca="1">_xll.OneStop.ReportPlayer.OSRFunctions.OSRGet("GL_F_Trans","Value1")</f>
        <v>#NAME?</v>
      </c>
      <c r="U22" s="3"/>
      <c r="V22" s="7" t="e">
        <f t="shared" ca="1" si="17"/>
        <v>#NAME?</v>
      </c>
      <c r="W22" s="3"/>
      <c r="X22" s="8" t="e">
        <f t="shared" ca="1" si="18"/>
        <v>#NAME?</v>
      </c>
      <c r="Y22" s="3"/>
      <c r="Z22" s="7" t="e">
        <f t="shared" ca="1" si="19"/>
        <v>#NAME?</v>
      </c>
    </row>
    <row r="23" spans="1:26" s="62" customFormat="1" x14ac:dyDescent="0.3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3">
      <c r="A24" s="10"/>
      <c r="B24" s="25" t="s">
        <v>293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3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3" t="e">
        <f ca="1">-_xll.OneStop.ReportPlayer.OSRFunctions.OSRGet("GL_F_Trans","Value1")</f>
        <v>#NAME?</v>
      </c>
      <c r="E25" s="3"/>
      <c r="F25" s="19" t="e">
        <f t="shared" ca="1" si="20"/>
        <v>#NAME?</v>
      </c>
      <c r="G25" s="3"/>
      <c r="H25" s="3" t="e">
        <f ca="1">_xll.OneStop.ReportPlayer.OSRFunctions.OSRGet("GL_F_Trans","Value1")</f>
        <v>#NAME?</v>
      </c>
      <c r="I25" s="3"/>
      <c r="J25" s="19" t="e">
        <f t="shared" ca="1" si="21"/>
        <v>#NAME?</v>
      </c>
      <c r="K25" s="3"/>
      <c r="L25" s="3" t="e">
        <f t="shared" ca="1" si="22"/>
        <v>#NAME?</v>
      </c>
      <c r="M25" s="3"/>
      <c r="N25" s="19" t="e">
        <f t="shared" ca="1" si="23"/>
        <v>#NAME?</v>
      </c>
      <c r="O25" s="11"/>
      <c r="P25" s="3" t="e">
        <f ca="1">-_xll.OneStop.ReportPlayer.OSRFunctions.OSRGet("GL_F_Trans","Value1")</f>
        <v>#NAME?</v>
      </c>
      <c r="Q25" s="3"/>
      <c r="R25" s="19" t="e">
        <f t="shared" ca="1" si="24"/>
        <v>#NAME?</v>
      </c>
      <c r="S25" s="3"/>
      <c r="T25" s="3" t="e">
        <f ca="1">_xll.OneStop.ReportPlayer.OSRFunctions.OSRGet("GL_F_Trans","Value1")</f>
        <v>#NAME?</v>
      </c>
      <c r="U25" s="3"/>
      <c r="V25" s="19" t="e">
        <f t="shared" ca="1" si="25"/>
        <v>#NAME?</v>
      </c>
      <c r="W25" s="3"/>
      <c r="X25" s="3" t="e">
        <f t="shared" ca="1" si="26"/>
        <v>#NAME?</v>
      </c>
      <c r="Y25" s="3"/>
      <c r="Z25" s="19" t="e">
        <f t="shared" ca="1" si="27"/>
        <v>#NAME?</v>
      </c>
    </row>
    <row r="26" spans="1:26" x14ac:dyDescent="0.3">
      <c r="A26" s="9"/>
      <c r="B26" s="10"/>
      <c r="C26" s="10"/>
      <c r="D26" s="2"/>
      <c r="E26" s="2"/>
      <c r="F26" s="6"/>
      <c r="G26" s="2"/>
      <c r="H26" s="2"/>
      <c r="I26" s="2"/>
      <c r="J26" s="6"/>
      <c r="K26" s="2"/>
      <c r="L26" s="2"/>
      <c r="M26" s="2"/>
      <c r="N26" s="6"/>
      <c r="O26" s="10"/>
      <c r="P26" s="2"/>
      <c r="Q26" s="2"/>
      <c r="R26" s="6"/>
      <c r="S26" s="2"/>
      <c r="T26" s="2"/>
      <c r="U26" s="2"/>
      <c r="V26" s="6"/>
      <c r="W26" s="2"/>
      <c r="X26" s="2"/>
      <c r="Y26" s="2"/>
      <c r="Z26" s="6"/>
    </row>
    <row r="27" spans="1:26" s="23" customFormat="1" x14ac:dyDescent="0.3">
      <c r="A27" s="10"/>
      <c r="B27" s="26" t="s">
        <v>277</v>
      </c>
      <c r="C27" s="26"/>
      <c r="D27" s="21" t="e">
        <f ca="1">+D18-D20+D24</f>
        <v>#NAME?</v>
      </c>
      <c r="E27" s="13"/>
      <c r="F27" s="22" t="e">
        <f ca="1">IF(D$12=0,0,D27/D$12)</f>
        <v>#NAME?</v>
      </c>
      <c r="G27" s="13"/>
      <c r="H27" s="21" t="e">
        <f ca="1">+H18-H20+H24</f>
        <v>#NAME?</v>
      </c>
      <c r="I27" s="13"/>
      <c r="J27" s="22" t="e">
        <f ca="1">IF(H$12=0,0,H27/H$12)</f>
        <v>#NAME?</v>
      </c>
      <c r="K27" s="16"/>
      <c r="L27" s="21" t="e">
        <f ca="1">+D27-H27</f>
        <v>#NAME?</v>
      </c>
      <c r="M27" s="16"/>
      <c r="N27" s="22" t="e">
        <f ca="1">IF(H27=0,0,L27/H27)</f>
        <v>#NAME?</v>
      </c>
      <c r="O27" s="25"/>
      <c r="P27" s="21" t="e">
        <f ca="1">+P18-P20+P24</f>
        <v>#NAME?</v>
      </c>
      <c r="Q27" s="13"/>
      <c r="R27" s="22" t="e">
        <f ca="1">IF(P$12=0,0,P27/P$12)</f>
        <v>#NAME?</v>
      </c>
      <c r="S27" s="13"/>
      <c r="T27" s="21" t="e">
        <f ca="1">+T18-T20+T24</f>
        <v>#NAME?</v>
      </c>
      <c r="U27" s="13"/>
      <c r="V27" s="22" t="e">
        <f ca="1">IF(T$12=0,0,T27/T$12)</f>
        <v>#NAME?</v>
      </c>
      <c r="W27" s="16"/>
      <c r="X27" s="21" t="e">
        <f ca="1">+P27-T27</f>
        <v>#NAME?</v>
      </c>
      <c r="Y27" s="16"/>
      <c r="Z27" s="22" t="e">
        <f ca="1">IF(T27=0,0,X27/T27)</f>
        <v>#NAME?</v>
      </c>
    </row>
    <row r="28" spans="1:26" x14ac:dyDescent="0.3">
      <c r="A28" s="9"/>
      <c r="B28" s="10"/>
      <c r="C28" s="9"/>
      <c r="D28" s="2"/>
      <c r="E28" s="2"/>
      <c r="F28" s="6"/>
      <c r="G28" s="2"/>
      <c r="H28" s="2"/>
      <c r="I28" s="2"/>
      <c r="J28" s="6"/>
      <c r="K28" s="2"/>
      <c r="L28" s="2"/>
      <c r="M28" s="2"/>
      <c r="N28" s="6"/>
      <c r="P28" s="2"/>
      <c r="Q28" s="2"/>
      <c r="R28" s="6"/>
      <c r="S28" s="2"/>
      <c r="T28" s="2"/>
      <c r="U28" s="2"/>
      <c r="V28" s="6"/>
      <c r="W28" s="2"/>
      <c r="X28" s="2"/>
      <c r="Y28" s="2"/>
      <c r="Z28" s="6"/>
    </row>
    <row r="29" spans="1:26" s="23" customFormat="1" x14ac:dyDescent="0.3">
      <c r="A29" s="52"/>
      <c r="B29" s="10" t="s">
        <v>128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3">
      <c r="A30" s="9"/>
      <c r="B30" s="10"/>
      <c r="C30" s="10"/>
      <c r="D30" s="2"/>
      <c r="E30" s="2"/>
      <c r="F30" s="6"/>
      <c r="G30" s="2"/>
      <c r="H30" s="2"/>
      <c r="I30" s="2"/>
      <c r="J30" s="6"/>
      <c r="K30" s="2"/>
      <c r="L30" s="2"/>
      <c r="M30" s="2"/>
      <c r="N30" s="6"/>
      <c r="O30" s="10"/>
      <c r="P30" s="2"/>
      <c r="Q30" s="2"/>
      <c r="R30" s="6"/>
      <c r="S30" s="2"/>
      <c r="T30" s="2"/>
      <c r="U30" s="2"/>
      <c r="V30" s="6"/>
      <c r="W30" s="2"/>
      <c r="X30" s="2"/>
      <c r="Y30" s="2"/>
      <c r="Z30" s="6"/>
    </row>
    <row r="31" spans="1:26" s="23" customFormat="1" ht="15" thickBot="1" x14ac:dyDescent="0.35">
      <c r="A31" s="10"/>
      <c r="B31" s="26" t="s">
        <v>126</v>
      </c>
      <c r="C31" s="26"/>
      <c r="D31" s="35" t="e">
        <f ca="1">+D27-D29</f>
        <v>#NAME?</v>
      </c>
      <c r="E31" s="13"/>
      <c r="F31" s="30" t="e">
        <f ca="1">IF(D$12=0,0,D31/D$12)</f>
        <v>#NAME?</v>
      </c>
      <c r="G31" s="13"/>
      <c r="H31" s="35" t="e">
        <f ca="1">+H27-H29</f>
        <v>#NAME?</v>
      </c>
      <c r="I31" s="13"/>
      <c r="J31" s="30" t="e">
        <f ca="1">IF(H$12=0,0,H31/H$12)</f>
        <v>#NAME?</v>
      </c>
      <c r="K31" s="16"/>
      <c r="L31" s="35" t="e">
        <f ca="1">D31-H31</f>
        <v>#NAME?</v>
      </c>
      <c r="M31" s="16"/>
      <c r="N31" s="30" t="e">
        <f ca="1">IF(H31=0,0,L31/H31)</f>
        <v>#NAME?</v>
      </c>
      <c r="O31" s="25"/>
      <c r="P31" s="35" t="e">
        <f ca="1">+P27-P29</f>
        <v>#NAME?</v>
      </c>
      <c r="Q31" s="13"/>
      <c r="R31" s="30" t="e">
        <f ca="1">IF(P$12=0,0,P31/P$12)</f>
        <v>#NAME?</v>
      </c>
      <c r="S31" s="13"/>
      <c r="T31" s="35" t="e">
        <f ca="1">+T27-T29</f>
        <v>#NAME?</v>
      </c>
      <c r="U31" s="13"/>
      <c r="V31" s="30" t="e">
        <f ca="1">IF(T$12=0,0,T31/T$12)</f>
        <v>#NAME?</v>
      </c>
      <c r="W31" s="16"/>
      <c r="X31" s="35" t="e">
        <f ca="1">P31-T31</f>
        <v>#NAME?</v>
      </c>
      <c r="Y31" s="16"/>
      <c r="Z31" s="30" t="e">
        <f ca="1">IF(T31=0,0,X31/T31)</f>
        <v>#NAME?</v>
      </c>
    </row>
    <row r="32" spans="1:26" ht="15" thickTop="1" x14ac:dyDescent="0.3">
      <c r="A32" s="9"/>
      <c r="B32" s="9"/>
      <c r="C32" s="9"/>
      <c r="D32" s="2"/>
      <c r="E32" s="2"/>
      <c r="F32" s="6"/>
      <c r="G32" s="2"/>
      <c r="H32" s="2"/>
      <c r="I32" s="2"/>
      <c r="J32" s="6"/>
      <c r="K32" s="2"/>
      <c r="L32" s="2"/>
      <c r="M32" s="2"/>
      <c r="N32" s="6"/>
      <c r="P32" s="2"/>
      <c r="Q32" s="2"/>
      <c r="R32" s="6"/>
      <c r="S32" s="2"/>
      <c r="T32" s="2"/>
      <c r="U32" s="2"/>
      <c r="V32" s="6"/>
      <c r="W32" s="2"/>
      <c r="X32" s="2"/>
      <c r="Y32" s="2"/>
      <c r="Z32" s="6"/>
    </row>
    <row r="33" spans="1:26" s="23" customFormat="1" x14ac:dyDescent="0.3">
      <c r="A33" s="52"/>
      <c r="B33" s="10" t="s">
        <v>184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3">
      <c r="A34" s="52"/>
      <c r="B34" s="10" t="s">
        <v>82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3">
      <c r="A35" s="9"/>
      <c r="B35" s="9"/>
      <c r="C35" s="9"/>
      <c r="D35" s="2"/>
      <c r="E35" s="2"/>
      <c r="F35" s="6"/>
      <c r="G35" s="2"/>
      <c r="H35" s="2"/>
      <c r="I35" s="2"/>
      <c r="J35" s="6"/>
      <c r="K35" s="2"/>
      <c r="L35" s="2"/>
      <c r="M35" s="2"/>
      <c r="N35" s="6"/>
      <c r="P35" s="2"/>
      <c r="Q35" s="2"/>
      <c r="R35" s="6"/>
      <c r="S35" s="2"/>
      <c r="T35" s="2"/>
      <c r="U35" s="2"/>
      <c r="V35" s="6"/>
      <c r="W35" s="2"/>
      <c r="X35" s="2"/>
      <c r="Y35" s="2"/>
      <c r="Z35" s="6"/>
    </row>
    <row r="36" spans="1:26" s="23" customFormat="1" ht="15" thickBot="1" x14ac:dyDescent="0.35">
      <c r="A36" s="10"/>
      <c r="B36" s="26" t="s">
        <v>294</v>
      </c>
      <c r="C36" s="26"/>
      <c r="D36" s="33" t="e">
        <f ca="1">SUM(D31:D35)</f>
        <v>#NAME?</v>
      </c>
      <c r="E36" s="13"/>
      <c r="F36" s="31" t="e">
        <f ca="1">IF(D$12=0,0,D36/D$12)</f>
        <v>#NAME?</v>
      </c>
      <c r="G36" s="13"/>
      <c r="H36" s="33" t="e">
        <f ca="1">SUM(H31:H35)</f>
        <v>#NAME?</v>
      </c>
      <c r="I36" s="13"/>
      <c r="J36" s="31" t="e">
        <f ca="1">IF(H$12=0,0,H36/H$12)</f>
        <v>#NAME?</v>
      </c>
      <c r="K36" s="16"/>
      <c r="L36" s="33" t="e">
        <f ca="1">+D36-H36</f>
        <v>#NAME?</v>
      </c>
      <c r="M36" s="16"/>
      <c r="N36" s="31" t="e">
        <f ca="1">IF(H36=0,0,L36/H36)</f>
        <v>#NAME?</v>
      </c>
      <c r="O36" s="25"/>
      <c r="P36" s="33" t="e">
        <f ca="1">SUM(P31:P35)</f>
        <v>#NAME?</v>
      </c>
      <c r="Q36" s="13"/>
      <c r="R36" s="31" t="e">
        <f ca="1">IF(P$12=0,0,P36/P$12)</f>
        <v>#NAME?</v>
      </c>
      <c r="S36" s="13"/>
      <c r="T36" s="33" t="e">
        <f ca="1">SUM(T31:T35)</f>
        <v>#NAME?</v>
      </c>
      <c r="U36" s="13"/>
      <c r="V36" s="31" t="e">
        <f ca="1">IF(T$12=0,0,T36/T$12)</f>
        <v>#NAME?</v>
      </c>
      <c r="W36" s="16"/>
      <c r="X36" s="33" t="e">
        <f ca="1">+P36-T36</f>
        <v>#NAME?</v>
      </c>
      <c r="Y36" s="16"/>
      <c r="Z36" s="31" t="e">
        <f ca="1">IF(T36=0,0,X36/T36)</f>
        <v>#NAME?</v>
      </c>
    </row>
    <row r="37" spans="1:26" ht="15" thickTop="1" x14ac:dyDescent="0.3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3">
      <c r="A38" s="9"/>
      <c r="B38" s="54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3">
      <c r="A39" s="9"/>
      <c r="B39" s="59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3">
      <c r="A40" s="9"/>
      <c r="B40" s="55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3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tabColor theme="5" tint="0.39997558519241921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50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7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50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7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7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7" customWidth="1" outlineLevel="1"/>
  </cols>
  <sheetData>
    <row r="2" spans="1:26" x14ac:dyDescent="0.3">
      <c r="D2" s="57" t="s">
        <v>23</v>
      </c>
    </row>
    <row r="3" spans="1:26" x14ac:dyDescent="0.3">
      <c r="D3" s="57" t="s">
        <v>237</v>
      </c>
      <c r="E3" s="17"/>
      <c r="F3" s="51"/>
      <c r="G3" s="17"/>
      <c r="H3" s="17"/>
      <c r="I3" s="17"/>
      <c r="J3" s="39"/>
      <c r="K3" s="17"/>
      <c r="L3" s="17"/>
      <c r="M3" s="17"/>
      <c r="N3" s="51"/>
      <c r="O3" s="61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3">
      <c r="D4" s="57" t="e">
        <f ca="1">CONCATENATE("Period ",RIGHT(_xll.OneStop.ReportPlayer.OSRFunctions.OSRGet("Period","PeriodId"),2),", ",_xll.OneStop.ReportPlayer.OSRFunctions.OSRGet("Period","Year"))</f>
        <v>#NAME?</v>
      </c>
      <c r="E4" s="17"/>
      <c r="F4" s="51"/>
      <c r="G4" s="17"/>
      <c r="H4" s="17"/>
      <c r="I4" s="17"/>
      <c r="J4" s="39"/>
      <c r="K4" s="17"/>
      <c r="L4" s="17"/>
      <c r="M4" s="17"/>
      <c r="N4" s="51"/>
      <c r="O4" s="61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3">
      <c r="A5" s="23"/>
      <c r="D5" s="65" t="e">
        <f ca="1">_xll.OneStop.ReportPlayer.OSRFunctions.OSRGet("Period","PeriodEnd")</f>
        <v>#NAME?</v>
      </c>
      <c r="E5" s="17"/>
      <c r="F5" s="51"/>
      <c r="G5" s="17"/>
      <c r="H5" s="17"/>
      <c r="I5" s="17"/>
      <c r="J5" s="39"/>
      <c r="K5" s="17"/>
      <c r="L5" s="17"/>
      <c r="M5" s="17"/>
      <c r="N5" s="51"/>
      <c r="O5" s="61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3">
      <c r="A6" s="23"/>
      <c r="B6" s="47"/>
      <c r="C6" s="47"/>
      <c r="D6" s="23" t="s">
        <v>55</v>
      </c>
      <c r="E6" s="17"/>
      <c r="F6" s="51"/>
      <c r="G6" s="17"/>
      <c r="H6" s="17"/>
      <c r="I6" s="17"/>
      <c r="J6" s="39"/>
      <c r="K6" s="17"/>
      <c r="L6" s="17"/>
      <c r="M6" s="17"/>
      <c r="N6" s="51"/>
      <c r="O6" s="60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3">
      <c r="B7" s="63"/>
    </row>
    <row r="8" spans="1:26" x14ac:dyDescent="0.3">
      <c r="B8" s="63"/>
    </row>
    <row r="9" spans="1:26" x14ac:dyDescent="0.3">
      <c r="B9" s="9"/>
      <c r="C9" s="9"/>
      <c r="D9" s="15" t="s">
        <v>292</v>
      </c>
      <c r="E9" s="15"/>
      <c r="F9" s="38"/>
      <c r="G9" s="15"/>
      <c r="H9" s="15"/>
      <c r="I9" s="15"/>
      <c r="J9" s="49"/>
      <c r="K9" s="15"/>
      <c r="L9" s="15"/>
      <c r="M9" s="15"/>
      <c r="N9" s="38"/>
      <c r="P9" s="15" t="s">
        <v>39</v>
      </c>
      <c r="Q9" s="15"/>
      <c r="R9" s="38"/>
      <c r="S9" s="15"/>
      <c r="T9" s="15"/>
      <c r="U9" s="15"/>
      <c r="V9" s="49"/>
      <c r="W9" s="15"/>
      <c r="X9" s="15"/>
      <c r="Y9" s="15"/>
      <c r="Z9" s="38"/>
    </row>
    <row r="10" spans="1:26" x14ac:dyDescent="0.3">
      <c r="A10" s="10"/>
      <c r="B10" s="53"/>
      <c r="C10" s="10"/>
      <c r="D10" s="42" t="s">
        <v>57</v>
      </c>
      <c r="E10" s="34"/>
      <c r="F10" s="40" t="s">
        <v>40</v>
      </c>
      <c r="G10" s="34"/>
      <c r="H10" s="45" t="s">
        <v>238</v>
      </c>
      <c r="I10" s="34"/>
      <c r="J10" s="48" t="s">
        <v>58</v>
      </c>
      <c r="K10" s="10"/>
      <c r="L10" s="42" t="s">
        <v>127</v>
      </c>
      <c r="M10" s="10"/>
      <c r="N10" s="40" t="s">
        <v>258</v>
      </c>
      <c r="O10" s="10"/>
      <c r="P10" s="56" t="s">
        <v>57</v>
      </c>
      <c r="Q10" s="34"/>
      <c r="R10" s="40" t="s">
        <v>40</v>
      </c>
      <c r="S10" s="34"/>
      <c r="T10" s="45" t="s">
        <v>238</v>
      </c>
      <c r="U10" s="34"/>
      <c r="V10" s="48" t="s">
        <v>58</v>
      </c>
      <c r="W10" s="10"/>
      <c r="X10" s="42" t="s">
        <v>127</v>
      </c>
      <c r="Y10" s="10"/>
      <c r="Z10" s="40" t="s">
        <v>258</v>
      </c>
    </row>
    <row r="11" spans="1:26" ht="15.6" x14ac:dyDescent="0.3">
      <c r="A11" s="9"/>
      <c r="B11" s="58"/>
      <c r="C11" s="9"/>
      <c r="D11" s="9"/>
      <c r="E11" s="9"/>
      <c r="F11" s="6"/>
      <c r="G11" s="9"/>
      <c r="H11" s="9"/>
      <c r="I11" s="9"/>
      <c r="J11" s="46"/>
      <c r="K11" s="9"/>
      <c r="L11" s="9"/>
      <c r="M11" s="9"/>
      <c r="N11" s="6"/>
      <c r="P11" s="9"/>
      <c r="Q11" s="9"/>
      <c r="R11" s="6"/>
      <c r="S11" s="9"/>
      <c r="T11" s="9"/>
      <c r="U11" s="9"/>
      <c r="V11" s="46"/>
      <c r="W11" s="9"/>
      <c r="X11" s="9"/>
      <c r="Y11" s="9"/>
      <c r="Z11" s="6"/>
    </row>
    <row r="12" spans="1:26" s="23" customFormat="1" collapsed="1" x14ac:dyDescent="0.3">
      <c r="A12" s="10"/>
      <c r="B12" s="25" t="s">
        <v>140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3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3" t="e">
        <f ca="1">-_xll.OneStop.ReportPlayer.OSRFunctions.OSRGet("GL_F_Trans","Value1")</f>
        <v>#NAME?</v>
      </c>
      <c r="E13" s="3"/>
      <c r="F13" s="19"/>
      <c r="G13" s="3"/>
      <c r="H13" s="3" t="e">
        <f ca="1">_xll.OneStop.ReportPlayer.OSRFunctions.OSRGet("GL_F_Trans","Value1")</f>
        <v>#NAME?</v>
      </c>
      <c r="I13" s="3"/>
      <c r="J13" s="19"/>
      <c r="K13" s="3"/>
      <c r="L13" s="3" t="e">
        <f t="shared" ca="1" si="0"/>
        <v>#NAME?</v>
      </c>
      <c r="M13" s="3"/>
      <c r="N13" s="19" t="e">
        <f t="shared" ca="1" si="1"/>
        <v>#NAME?</v>
      </c>
      <c r="O13" s="11"/>
      <c r="P13" s="3" t="e">
        <f ca="1">-_xll.OneStop.ReportPlayer.OSRFunctions.OSRGet("GL_F_Trans","Value1")</f>
        <v>#NAME?</v>
      </c>
      <c r="Q13" s="3"/>
      <c r="R13" s="19"/>
      <c r="S13" s="3"/>
      <c r="T13" s="3" t="e">
        <f ca="1">_xll.OneStop.ReportPlayer.OSRFunctions.OSRGet("GL_F_Trans","Value1")</f>
        <v>#NAME?</v>
      </c>
      <c r="U13" s="3"/>
      <c r="V13" s="19"/>
      <c r="W13" s="3"/>
      <c r="X13" s="3" t="e">
        <f t="shared" ca="1" si="2"/>
        <v>#NAME?</v>
      </c>
      <c r="Y13" s="3"/>
      <c r="Z13" s="19" t="e">
        <f t="shared" ca="1" si="3"/>
        <v>#NAME?</v>
      </c>
    </row>
    <row r="14" spans="1:26" x14ac:dyDescent="0.3">
      <c r="A14" s="9"/>
      <c r="B14" s="10"/>
      <c r="C14" s="9"/>
      <c r="D14" s="2"/>
      <c r="E14" s="2"/>
      <c r="F14" s="6"/>
      <c r="G14" s="2"/>
      <c r="H14" s="2"/>
      <c r="I14" s="2"/>
      <c r="J14" s="6"/>
      <c r="K14" s="2"/>
      <c r="L14" s="2"/>
      <c r="M14" s="2"/>
      <c r="N14" s="6"/>
      <c r="P14" s="2"/>
      <c r="Q14" s="2"/>
      <c r="R14" s="6"/>
      <c r="S14" s="2"/>
      <c r="T14" s="2"/>
      <c r="U14" s="2"/>
      <c r="V14" s="6"/>
      <c r="W14" s="2"/>
      <c r="X14" s="2"/>
      <c r="Y14" s="2"/>
      <c r="Z14" s="6"/>
    </row>
    <row r="15" spans="1:26" s="23" customFormat="1" collapsed="1" x14ac:dyDescent="0.3">
      <c r="A15" s="10"/>
      <c r="B15" s="25" t="s">
        <v>257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3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3" t="e">
        <f ca="1">_xll.OneStop.ReportPlayer.OSRFunctions.OSRGet("GL_F_Trans","Value1")</f>
        <v>#NAME?</v>
      </c>
      <c r="E16" s="3"/>
      <c r="F16" s="19" t="e">
        <f t="shared" ca="1" si="4"/>
        <v>#NAME?</v>
      </c>
      <c r="G16" s="3"/>
      <c r="H16" s="3" t="e">
        <f ca="1">_xll.OneStop.ReportPlayer.OSRFunctions.OSRGet("GL_F_Trans","Value1")</f>
        <v>#NAME?</v>
      </c>
      <c r="I16" s="3"/>
      <c r="J16" s="19" t="e">
        <f t="shared" ca="1" si="5"/>
        <v>#NAME?</v>
      </c>
      <c r="K16" s="3"/>
      <c r="L16" s="3" t="e">
        <f t="shared" ca="1" si="6"/>
        <v>#NAME?</v>
      </c>
      <c r="M16" s="3"/>
      <c r="N16" s="19" t="e">
        <f t="shared" ca="1" si="7"/>
        <v>#NAME?</v>
      </c>
      <c r="O16" s="11"/>
      <c r="P16" s="3" t="e">
        <f ca="1">_xll.OneStop.ReportPlayer.OSRFunctions.OSRGet("GL_F_Trans","Value1")</f>
        <v>#NAME?</v>
      </c>
      <c r="Q16" s="3"/>
      <c r="R16" s="19" t="e">
        <f t="shared" ca="1" si="8"/>
        <v>#NAME?</v>
      </c>
      <c r="S16" s="3"/>
      <c r="T16" s="3" t="e">
        <f ca="1">_xll.OneStop.ReportPlayer.OSRFunctions.OSRGet("GL_F_Trans","Value1")</f>
        <v>#NAME?</v>
      </c>
      <c r="U16" s="3"/>
      <c r="V16" s="19" t="e">
        <f t="shared" ca="1" si="9"/>
        <v>#NAME?</v>
      </c>
      <c r="W16" s="3"/>
      <c r="X16" s="3" t="e">
        <f t="shared" ca="1" si="10"/>
        <v>#NAME?</v>
      </c>
      <c r="Y16" s="3"/>
      <c r="Z16" s="19" t="e">
        <f t="shared" ca="1" si="11"/>
        <v>#NAME?</v>
      </c>
    </row>
    <row r="17" spans="1:26" x14ac:dyDescent="0.3">
      <c r="A17" s="9"/>
      <c r="B17" s="10"/>
      <c r="C17" s="10"/>
      <c r="D17" s="2"/>
      <c r="E17" s="2"/>
      <c r="F17" s="6"/>
      <c r="G17" s="2"/>
      <c r="H17" s="2"/>
      <c r="I17" s="2"/>
      <c r="J17" s="6"/>
      <c r="K17" s="2"/>
      <c r="L17" s="2"/>
      <c r="M17" s="2"/>
      <c r="N17" s="6"/>
      <c r="O17" s="10"/>
      <c r="P17" s="2"/>
      <c r="Q17" s="2"/>
      <c r="R17" s="6"/>
      <c r="S17" s="2"/>
      <c r="T17" s="2"/>
      <c r="U17" s="2"/>
      <c r="V17" s="6"/>
      <c r="W17" s="2"/>
      <c r="X17" s="2"/>
      <c r="Y17" s="2"/>
      <c r="Z17" s="6"/>
    </row>
    <row r="18" spans="1:26" s="23" customFormat="1" x14ac:dyDescent="0.3">
      <c r="A18" s="10"/>
      <c r="B18" s="26" t="s">
        <v>108</v>
      </c>
      <c r="C18" s="26"/>
      <c r="D18" s="21" t="e">
        <f ca="1">D12-D15</f>
        <v>#NAME?</v>
      </c>
      <c r="E18" s="13"/>
      <c r="F18" s="22" t="e">
        <f ca="1">IF(D$12=0,0,D18/D$12)</f>
        <v>#NAME?</v>
      </c>
      <c r="G18" s="13"/>
      <c r="H18" s="21" t="e">
        <f ca="1">H12-H15</f>
        <v>#NAME?</v>
      </c>
      <c r="I18" s="13"/>
      <c r="J18" s="22" t="e">
        <f ca="1">IF(H$12=0,0,H18/H$12)</f>
        <v>#NAME?</v>
      </c>
      <c r="K18" s="16"/>
      <c r="L18" s="21" t="e">
        <f ca="1">+D18-H18</f>
        <v>#NAME?</v>
      </c>
      <c r="M18" s="16"/>
      <c r="N18" s="22" t="e">
        <f ca="1">IF(H18=0,0,L18/H18)</f>
        <v>#NAME?</v>
      </c>
      <c r="O18" s="25"/>
      <c r="P18" s="21" t="e">
        <f ca="1">P12-P15</f>
        <v>#NAME?</v>
      </c>
      <c r="Q18" s="13"/>
      <c r="R18" s="22" t="e">
        <f ca="1">IF(P$12=0,0,P18/P$12)</f>
        <v>#NAME?</v>
      </c>
      <c r="S18" s="13"/>
      <c r="T18" s="21" t="e">
        <f ca="1">T12-T15</f>
        <v>#NAME?</v>
      </c>
      <c r="U18" s="13"/>
      <c r="V18" s="22" t="e">
        <f ca="1">IF(T$12=0,0,T18/T$12)</f>
        <v>#NAME?</v>
      </c>
      <c r="W18" s="16"/>
      <c r="X18" s="21" t="e">
        <f ca="1">+P18-T18</f>
        <v>#NAME?</v>
      </c>
      <c r="Y18" s="16"/>
      <c r="Z18" s="22" t="e">
        <f ca="1">IF(T18=0,0,X18/T18)</f>
        <v>#NAME?</v>
      </c>
    </row>
    <row r="19" spans="1:26" x14ac:dyDescent="0.3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">
      <c r="A20" s="10"/>
      <c r="B20" s="25" t="s">
        <v>295</v>
      </c>
      <c r="C20" s="10"/>
      <c r="D20" s="20" t="e">
        <f ca="1">SUM(_xll.OneStop.ReportPlayer.OSRFunctions.OSRRef(D22))</f>
        <v>#NAME?</v>
      </c>
      <c r="E20" s="20"/>
      <c r="F20" s="32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2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2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2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2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2" t="e">
        <f t="shared" ref="Z20:Z22" ca="1" si="19">IF(T20=0,0,X20/T20)</f>
        <v>#NAME?</v>
      </c>
    </row>
    <row r="21" spans="1:26" s="27" customFormat="1" outlineLevel="1" collapsed="1" x14ac:dyDescent="0.3">
      <c r="A21" s="28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3">
      <c r="A22" s="29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8" t="e">
        <f ca="1">_xll.OneStop.ReportPlayer.OSRFunctions.OSRGet("GL_F_Trans","Value1")</f>
        <v>#NAME?</v>
      </c>
      <c r="E22" s="3"/>
      <c r="F22" s="7" t="e">
        <f t="shared" ca="1" si="12"/>
        <v>#NAME?</v>
      </c>
      <c r="G22" s="3"/>
      <c r="H22" s="8" t="e">
        <f ca="1">_xll.OneStop.ReportPlayer.OSRFunctions.OSRGet("GL_F_Trans","Value1")</f>
        <v>#NAME?</v>
      </c>
      <c r="I22" s="3"/>
      <c r="J22" s="7" t="e">
        <f t="shared" ca="1" si="13"/>
        <v>#NAME?</v>
      </c>
      <c r="K22" s="3"/>
      <c r="L22" s="8" t="e">
        <f t="shared" ca="1" si="14"/>
        <v>#NAME?</v>
      </c>
      <c r="M22" s="3"/>
      <c r="N22" s="7" t="e">
        <f t="shared" ca="1" si="15"/>
        <v>#NAME?</v>
      </c>
      <c r="O22" s="11"/>
      <c r="P22" s="8" t="e">
        <f ca="1">_xll.OneStop.ReportPlayer.OSRFunctions.OSRGet("GL_F_Trans","Value1")</f>
        <v>#NAME?</v>
      </c>
      <c r="Q22" s="3"/>
      <c r="R22" s="7" t="e">
        <f t="shared" ca="1" si="16"/>
        <v>#NAME?</v>
      </c>
      <c r="S22" s="3"/>
      <c r="T22" s="8" t="e">
        <f ca="1">_xll.OneStop.ReportPlayer.OSRFunctions.OSRGet("GL_F_Trans","Value1")</f>
        <v>#NAME?</v>
      </c>
      <c r="U22" s="3"/>
      <c r="V22" s="7" t="e">
        <f t="shared" ca="1" si="17"/>
        <v>#NAME?</v>
      </c>
      <c r="W22" s="3"/>
      <c r="X22" s="8" t="e">
        <f t="shared" ca="1" si="18"/>
        <v>#NAME?</v>
      </c>
      <c r="Y22" s="3"/>
      <c r="Z22" s="7" t="e">
        <f t="shared" ca="1" si="19"/>
        <v>#NAME?</v>
      </c>
    </row>
    <row r="23" spans="1:26" s="62" customFormat="1" x14ac:dyDescent="0.3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3">
      <c r="A24" s="10"/>
      <c r="B24" s="25" t="s">
        <v>293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3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3" t="e">
        <f ca="1">-_xll.OneStop.ReportPlayer.OSRFunctions.OSRGet("GL_F_Trans","Value1")</f>
        <v>#NAME?</v>
      </c>
      <c r="E25" s="3"/>
      <c r="F25" s="19" t="e">
        <f t="shared" ca="1" si="20"/>
        <v>#NAME?</v>
      </c>
      <c r="G25" s="3"/>
      <c r="H25" s="3" t="e">
        <f ca="1">_xll.OneStop.ReportPlayer.OSRFunctions.OSRGet("GL_F_Trans","Value1")</f>
        <v>#NAME?</v>
      </c>
      <c r="I25" s="3"/>
      <c r="J25" s="19" t="e">
        <f t="shared" ca="1" si="21"/>
        <v>#NAME?</v>
      </c>
      <c r="K25" s="3"/>
      <c r="L25" s="3" t="e">
        <f t="shared" ca="1" si="22"/>
        <v>#NAME?</v>
      </c>
      <c r="M25" s="3"/>
      <c r="N25" s="19" t="e">
        <f t="shared" ca="1" si="23"/>
        <v>#NAME?</v>
      </c>
      <c r="O25" s="11"/>
      <c r="P25" s="3" t="e">
        <f ca="1">-_xll.OneStop.ReportPlayer.OSRFunctions.OSRGet("GL_F_Trans","Value1")</f>
        <v>#NAME?</v>
      </c>
      <c r="Q25" s="3"/>
      <c r="R25" s="19" t="e">
        <f t="shared" ca="1" si="24"/>
        <v>#NAME?</v>
      </c>
      <c r="S25" s="3"/>
      <c r="T25" s="3" t="e">
        <f ca="1">_xll.OneStop.ReportPlayer.OSRFunctions.OSRGet("GL_F_Trans","Value1")</f>
        <v>#NAME?</v>
      </c>
      <c r="U25" s="3"/>
      <c r="V25" s="19" t="e">
        <f t="shared" ca="1" si="25"/>
        <v>#NAME?</v>
      </c>
      <c r="W25" s="3"/>
      <c r="X25" s="3" t="e">
        <f t="shared" ca="1" si="26"/>
        <v>#NAME?</v>
      </c>
      <c r="Y25" s="3"/>
      <c r="Z25" s="19" t="e">
        <f t="shared" ca="1" si="27"/>
        <v>#NAME?</v>
      </c>
    </row>
    <row r="26" spans="1:26" x14ac:dyDescent="0.3">
      <c r="A26" s="9"/>
      <c r="B26" s="10"/>
      <c r="C26" s="10"/>
      <c r="D26" s="2"/>
      <c r="E26" s="2"/>
      <c r="F26" s="6"/>
      <c r="G26" s="2"/>
      <c r="H26" s="2"/>
      <c r="I26" s="2"/>
      <c r="J26" s="6"/>
      <c r="K26" s="2"/>
      <c r="L26" s="2"/>
      <c r="M26" s="2"/>
      <c r="N26" s="6"/>
      <c r="O26" s="10"/>
      <c r="P26" s="2"/>
      <c r="Q26" s="2"/>
      <c r="R26" s="6"/>
      <c r="S26" s="2"/>
      <c r="T26" s="2"/>
      <c r="U26" s="2"/>
      <c r="V26" s="6"/>
      <c r="W26" s="2"/>
      <c r="X26" s="2"/>
      <c r="Y26" s="2"/>
      <c r="Z26" s="6"/>
    </row>
    <row r="27" spans="1:26" s="23" customFormat="1" x14ac:dyDescent="0.3">
      <c r="A27" s="10"/>
      <c r="B27" s="26" t="s">
        <v>277</v>
      </c>
      <c r="C27" s="26"/>
      <c r="D27" s="21" t="e">
        <f ca="1">+D18-D20+D24</f>
        <v>#NAME?</v>
      </c>
      <c r="E27" s="13"/>
      <c r="F27" s="22" t="e">
        <f ca="1">IF(D$12=0,0,D27/D$12)</f>
        <v>#NAME?</v>
      </c>
      <c r="G27" s="13"/>
      <c r="H27" s="21" t="e">
        <f ca="1">+H18-H20+H24</f>
        <v>#NAME?</v>
      </c>
      <c r="I27" s="13"/>
      <c r="J27" s="22" t="e">
        <f ca="1">IF(H$12=0,0,H27/H$12)</f>
        <v>#NAME?</v>
      </c>
      <c r="K27" s="16"/>
      <c r="L27" s="21" t="e">
        <f ca="1">+D27-H27</f>
        <v>#NAME?</v>
      </c>
      <c r="M27" s="16"/>
      <c r="N27" s="22" t="e">
        <f ca="1">IF(H27=0,0,L27/H27)</f>
        <v>#NAME?</v>
      </c>
      <c r="O27" s="25"/>
      <c r="P27" s="21" t="e">
        <f ca="1">+P18-P20+P24</f>
        <v>#NAME?</v>
      </c>
      <c r="Q27" s="13"/>
      <c r="R27" s="22" t="e">
        <f ca="1">IF(P$12=0,0,P27/P$12)</f>
        <v>#NAME?</v>
      </c>
      <c r="S27" s="13"/>
      <c r="T27" s="21" t="e">
        <f ca="1">+T18-T20+T24</f>
        <v>#NAME?</v>
      </c>
      <c r="U27" s="13"/>
      <c r="V27" s="22" t="e">
        <f ca="1">IF(T$12=0,0,T27/T$12)</f>
        <v>#NAME?</v>
      </c>
      <c r="W27" s="16"/>
      <c r="X27" s="21" t="e">
        <f ca="1">+P27-T27</f>
        <v>#NAME?</v>
      </c>
      <c r="Y27" s="16"/>
      <c r="Z27" s="22" t="e">
        <f ca="1">IF(T27=0,0,X27/T27)</f>
        <v>#NAME?</v>
      </c>
    </row>
    <row r="28" spans="1:26" x14ac:dyDescent="0.3">
      <c r="A28" s="9"/>
      <c r="B28" s="10"/>
      <c r="C28" s="9"/>
      <c r="D28" s="2"/>
      <c r="E28" s="2"/>
      <c r="F28" s="6"/>
      <c r="G28" s="2"/>
      <c r="H28" s="2"/>
      <c r="I28" s="2"/>
      <c r="J28" s="6"/>
      <c r="K28" s="2"/>
      <c r="L28" s="2"/>
      <c r="M28" s="2"/>
      <c r="N28" s="6"/>
      <c r="P28" s="2"/>
      <c r="Q28" s="2"/>
      <c r="R28" s="6"/>
      <c r="S28" s="2"/>
      <c r="T28" s="2"/>
      <c r="U28" s="2"/>
      <c r="V28" s="6"/>
      <c r="W28" s="2"/>
      <c r="X28" s="2"/>
      <c r="Y28" s="2"/>
      <c r="Z28" s="6"/>
    </row>
    <row r="29" spans="1:26" s="23" customFormat="1" x14ac:dyDescent="0.3">
      <c r="A29" s="52"/>
      <c r="B29" s="10" t="s">
        <v>128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3">
      <c r="A30" s="9"/>
      <c r="B30" s="10"/>
      <c r="C30" s="10"/>
      <c r="D30" s="2"/>
      <c r="E30" s="2"/>
      <c r="F30" s="6"/>
      <c r="G30" s="2"/>
      <c r="H30" s="2"/>
      <c r="I30" s="2"/>
      <c r="J30" s="6"/>
      <c r="K30" s="2"/>
      <c r="L30" s="2"/>
      <c r="M30" s="2"/>
      <c r="N30" s="6"/>
      <c r="O30" s="10"/>
      <c r="P30" s="2"/>
      <c r="Q30" s="2"/>
      <c r="R30" s="6"/>
      <c r="S30" s="2"/>
      <c r="T30" s="2"/>
      <c r="U30" s="2"/>
      <c r="V30" s="6"/>
      <c r="W30" s="2"/>
      <c r="X30" s="2"/>
      <c r="Y30" s="2"/>
      <c r="Z30" s="6"/>
    </row>
    <row r="31" spans="1:26" s="23" customFormat="1" ht="15" thickBot="1" x14ac:dyDescent="0.35">
      <c r="A31" s="10"/>
      <c r="B31" s="26" t="s">
        <v>126</v>
      </c>
      <c r="C31" s="26"/>
      <c r="D31" s="35" t="e">
        <f ca="1">+D27-D29</f>
        <v>#NAME?</v>
      </c>
      <c r="E31" s="13"/>
      <c r="F31" s="30" t="e">
        <f ca="1">IF(D$12=0,0,D31/D$12)</f>
        <v>#NAME?</v>
      </c>
      <c r="G31" s="13"/>
      <c r="H31" s="35" t="e">
        <f ca="1">+H27-H29</f>
        <v>#NAME?</v>
      </c>
      <c r="I31" s="13"/>
      <c r="J31" s="30" t="e">
        <f ca="1">IF(H$12=0,0,H31/H$12)</f>
        <v>#NAME?</v>
      </c>
      <c r="K31" s="16"/>
      <c r="L31" s="35" t="e">
        <f ca="1">D31-H31</f>
        <v>#NAME?</v>
      </c>
      <c r="M31" s="16"/>
      <c r="N31" s="30" t="e">
        <f ca="1">IF(H31=0,0,L31/H31)</f>
        <v>#NAME?</v>
      </c>
      <c r="O31" s="25"/>
      <c r="P31" s="35" t="e">
        <f ca="1">+P27-P29</f>
        <v>#NAME?</v>
      </c>
      <c r="Q31" s="13"/>
      <c r="R31" s="30" t="e">
        <f ca="1">IF(P$12=0,0,P31/P$12)</f>
        <v>#NAME?</v>
      </c>
      <c r="S31" s="13"/>
      <c r="T31" s="35" t="e">
        <f ca="1">+T27-T29</f>
        <v>#NAME?</v>
      </c>
      <c r="U31" s="13"/>
      <c r="V31" s="30" t="e">
        <f ca="1">IF(T$12=0,0,T31/T$12)</f>
        <v>#NAME?</v>
      </c>
      <c r="W31" s="16"/>
      <c r="X31" s="35" t="e">
        <f ca="1">P31-T31</f>
        <v>#NAME?</v>
      </c>
      <c r="Y31" s="16"/>
      <c r="Z31" s="30" t="e">
        <f ca="1">IF(T31=0,0,X31/T31)</f>
        <v>#NAME?</v>
      </c>
    </row>
    <row r="32" spans="1:26" ht="15" thickTop="1" x14ac:dyDescent="0.3">
      <c r="A32" s="9"/>
      <c r="B32" s="9"/>
      <c r="C32" s="9"/>
      <c r="D32" s="2"/>
      <c r="E32" s="2"/>
      <c r="F32" s="6"/>
      <c r="G32" s="2"/>
      <c r="H32" s="2"/>
      <c r="I32" s="2"/>
      <c r="J32" s="6"/>
      <c r="K32" s="2"/>
      <c r="L32" s="2"/>
      <c r="M32" s="2"/>
      <c r="N32" s="6"/>
      <c r="P32" s="2"/>
      <c r="Q32" s="2"/>
      <c r="R32" s="6"/>
      <c r="S32" s="2"/>
      <c r="T32" s="2"/>
      <c r="U32" s="2"/>
      <c r="V32" s="6"/>
      <c r="W32" s="2"/>
      <c r="X32" s="2"/>
      <c r="Y32" s="2"/>
      <c r="Z32" s="6"/>
    </row>
    <row r="33" spans="1:26" s="23" customFormat="1" x14ac:dyDescent="0.3">
      <c r="A33" s="52"/>
      <c r="B33" s="10" t="s">
        <v>184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3">
      <c r="A34" s="52"/>
      <c r="B34" s="10" t="s">
        <v>82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3">
      <c r="A35" s="9"/>
      <c r="B35" s="9"/>
      <c r="C35" s="9"/>
      <c r="D35" s="2"/>
      <c r="E35" s="2"/>
      <c r="F35" s="6"/>
      <c r="G35" s="2"/>
      <c r="H35" s="2"/>
      <c r="I35" s="2"/>
      <c r="J35" s="6"/>
      <c r="K35" s="2"/>
      <c r="L35" s="2"/>
      <c r="M35" s="2"/>
      <c r="N35" s="6"/>
      <c r="P35" s="2"/>
      <c r="Q35" s="2"/>
      <c r="R35" s="6"/>
      <c r="S35" s="2"/>
      <c r="T35" s="2"/>
      <c r="U35" s="2"/>
      <c r="V35" s="6"/>
      <c r="W35" s="2"/>
      <c r="X35" s="2"/>
      <c r="Y35" s="2"/>
      <c r="Z35" s="6"/>
    </row>
    <row r="36" spans="1:26" s="23" customFormat="1" ht="15" thickBot="1" x14ac:dyDescent="0.35">
      <c r="A36" s="10"/>
      <c r="B36" s="26" t="s">
        <v>294</v>
      </c>
      <c r="C36" s="26"/>
      <c r="D36" s="33" t="e">
        <f ca="1">SUM(D31:D35)</f>
        <v>#NAME?</v>
      </c>
      <c r="E36" s="13"/>
      <c r="F36" s="31" t="e">
        <f ca="1">IF(D$12=0,0,D36/D$12)</f>
        <v>#NAME?</v>
      </c>
      <c r="G36" s="13"/>
      <c r="H36" s="33" t="e">
        <f ca="1">SUM(H31:H35)</f>
        <v>#NAME?</v>
      </c>
      <c r="I36" s="13"/>
      <c r="J36" s="31" t="e">
        <f ca="1">IF(H$12=0,0,H36/H$12)</f>
        <v>#NAME?</v>
      </c>
      <c r="K36" s="16"/>
      <c r="L36" s="33" t="e">
        <f ca="1">+D36-H36</f>
        <v>#NAME?</v>
      </c>
      <c r="M36" s="16"/>
      <c r="N36" s="31" t="e">
        <f ca="1">IF(H36=0,0,L36/H36)</f>
        <v>#NAME?</v>
      </c>
      <c r="O36" s="25"/>
      <c r="P36" s="33" t="e">
        <f ca="1">SUM(P31:P35)</f>
        <v>#NAME?</v>
      </c>
      <c r="Q36" s="13"/>
      <c r="R36" s="31" t="e">
        <f ca="1">IF(P$12=0,0,P36/P$12)</f>
        <v>#NAME?</v>
      </c>
      <c r="S36" s="13"/>
      <c r="T36" s="33" t="e">
        <f ca="1">SUM(T31:T35)</f>
        <v>#NAME?</v>
      </c>
      <c r="U36" s="13"/>
      <c r="V36" s="31" t="e">
        <f ca="1">IF(T$12=0,0,T36/T$12)</f>
        <v>#NAME?</v>
      </c>
      <c r="W36" s="16"/>
      <c r="X36" s="33" t="e">
        <f ca="1">+P36-T36</f>
        <v>#NAME?</v>
      </c>
      <c r="Y36" s="16"/>
      <c r="Z36" s="31" t="e">
        <f ca="1">IF(T36=0,0,X36/T36)</f>
        <v>#NAME?</v>
      </c>
    </row>
    <row r="37" spans="1:26" ht="15" thickTop="1" x14ac:dyDescent="0.3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3">
      <c r="A38" s="9"/>
      <c r="B38" s="54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3">
      <c r="A39" s="9"/>
      <c r="B39" s="59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3">
      <c r="A40" s="9"/>
      <c r="B40" s="55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3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tabColor theme="5" tint="0.39997558519241921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50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7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50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7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7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7" customWidth="1" outlineLevel="1"/>
  </cols>
  <sheetData>
    <row r="2" spans="1:26" x14ac:dyDescent="0.3">
      <c r="D2" s="57" t="s">
        <v>23</v>
      </c>
    </row>
    <row r="3" spans="1:26" x14ac:dyDescent="0.3">
      <c r="D3" s="57" t="s">
        <v>237</v>
      </c>
      <c r="E3" s="17"/>
      <c r="F3" s="51"/>
      <c r="G3" s="17"/>
      <c r="H3" s="17"/>
      <c r="I3" s="17"/>
      <c r="J3" s="39"/>
      <c r="K3" s="17"/>
      <c r="L3" s="17"/>
      <c r="M3" s="17"/>
      <c r="N3" s="51"/>
      <c r="O3" s="61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3">
      <c r="D4" s="57" t="e">
        <f ca="1">CONCATENATE("Period ",RIGHT(_xll.OneStop.ReportPlayer.OSRFunctions.OSRGet("Period","PeriodId"),2),", ",_xll.OneStop.ReportPlayer.OSRFunctions.OSRGet("Period","Year"))</f>
        <v>#NAME?</v>
      </c>
      <c r="E4" s="17"/>
      <c r="F4" s="51"/>
      <c r="G4" s="17"/>
      <c r="H4" s="17"/>
      <c r="I4" s="17"/>
      <c r="J4" s="39"/>
      <c r="K4" s="17"/>
      <c r="L4" s="17"/>
      <c r="M4" s="17"/>
      <c r="N4" s="51"/>
      <c r="O4" s="61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3">
      <c r="A5" s="23"/>
      <c r="D5" s="65" t="e">
        <f ca="1">_xll.OneStop.ReportPlayer.OSRFunctions.OSRGet("Period","PeriodEnd")</f>
        <v>#NAME?</v>
      </c>
      <c r="E5" s="17"/>
      <c r="F5" s="51"/>
      <c r="G5" s="17"/>
      <c r="H5" s="17"/>
      <c r="I5" s="17"/>
      <c r="J5" s="39"/>
      <c r="K5" s="17"/>
      <c r="L5" s="17"/>
      <c r="M5" s="17"/>
      <c r="N5" s="51"/>
      <c r="O5" s="61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3">
      <c r="A6" s="23"/>
      <c r="B6" s="47"/>
      <c r="C6" s="47"/>
      <c r="D6" s="23" t="s">
        <v>55</v>
      </c>
      <c r="E6" s="17"/>
      <c r="F6" s="51"/>
      <c r="G6" s="17"/>
      <c r="H6" s="17"/>
      <c r="I6" s="17"/>
      <c r="J6" s="39"/>
      <c r="K6" s="17"/>
      <c r="L6" s="17"/>
      <c r="M6" s="17"/>
      <c r="N6" s="51"/>
      <c r="O6" s="60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3">
      <c r="B7" s="63"/>
    </row>
    <row r="8" spans="1:26" x14ac:dyDescent="0.3">
      <c r="B8" s="63"/>
    </row>
    <row r="9" spans="1:26" x14ac:dyDescent="0.3">
      <c r="B9" s="9"/>
      <c r="C9" s="9"/>
      <c r="D9" s="15" t="s">
        <v>292</v>
      </c>
      <c r="E9" s="15"/>
      <c r="F9" s="38"/>
      <c r="G9" s="15"/>
      <c r="H9" s="15"/>
      <c r="I9" s="15"/>
      <c r="J9" s="49"/>
      <c r="K9" s="15"/>
      <c r="L9" s="15"/>
      <c r="M9" s="15"/>
      <c r="N9" s="38"/>
      <c r="P9" s="15" t="s">
        <v>39</v>
      </c>
      <c r="Q9" s="15"/>
      <c r="R9" s="38"/>
      <c r="S9" s="15"/>
      <c r="T9" s="15"/>
      <c r="U9" s="15"/>
      <c r="V9" s="49"/>
      <c r="W9" s="15"/>
      <c r="X9" s="15"/>
      <c r="Y9" s="15"/>
      <c r="Z9" s="38"/>
    </row>
    <row r="10" spans="1:26" x14ac:dyDescent="0.3">
      <c r="A10" s="10"/>
      <c r="B10" s="53"/>
      <c r="C10" s="10"/>
      <c r="D10" s="42" t="s">
        <v>57</v>
      </c>
      <c r="E10" s="34"/>
      <c r="F10" s="40" t="s">
        <v>40</v>
      </c>
      <c r="G10" s="34"/>
      <c r="H10" s="45" t="s">
        <v>238</v>
      </c>
      <c r="I10" s="34"/>
      <c r="J10" s="48" t="s">
        <v>58</v>
      </c>
      <c r="K10" s="10"/>
      <c r="L10" s="42" t="s">
        <v>127</v>
      </c>
      <c r="M10" s="10"/>
      <c r="N10" s="40" t="s">
        <v>258</v>
      </c>
      <c r="O10" s="10"/>
      <c r="P10" s="56" t="s">
        <v>57</v>
      </c>
      <c r="Q10" s="34"/>
      <c r="R10" s="40" t="s">
        <v>40</v>
      </c>
      <c r="S10" s="34"/>
      <c r="T10" s="45" t="s">
        <v>238</v>
      </c>
      <c r="U10" s="34"/>
      <c r="V10" s="48" t="s">
        <v>58</v>
      </c>
      <c r="W10" s="10"/>
      <c r="X10" s="42" t="s">
        <v>127</v>
      </c>
      <c r="Y10" s="10"/>
      <c r="Z10" s="40" t="s">
        <v>258</v>
      </c>
    </row>
    <row r="11" spans="1:26" ht="15.6" x14ac:dyDescent="0.3">
      <c r="A11" s="9"/>
      <c r="B11" s="58"/>
      <c r="C11" s="9"/>
      <c r="D11" s="9"/>
      <c r="E11" s="9"/>
      <c r="F11" s="6"/>
      <c r="G11" s="9"/>
      <c r="H11" s="9"/>
      <c r="I11" s="9"/>
      <c r="J11" s="46"/>
      <c r="K11" s="9"/>
      <c r="L11" s="9"/>
      <c r="M11" s="9"/>
      <c r="N11" s="6"/>
      <c r="P11" s="9"/>
      <c r="Q11" s="9"/>
      <c r="R11" s="6"/>
      <c r="S11" s="9"/>
      <c r="T11" s="9"/>
      <c r="U11" s="9"/>
      <c r="V11" s="46"/>
      <c r="W11" s="9"/>
      <c r="X11" s="9"/>
      <c r="Y11" s="9"/>
      <c r="Z11" s="6"/>
    </row>
    <row r="12" spans="1:26" s="23" customFormat="1" collapsed="1" x14ac:dyDescent="0.3">
      <c r="A12" s="10"/>
      <c r="B12" s="25" t="s">
        <v>140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3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3" t="e">
        <f ca="1">-_xll.OneStop.ReportPlayer.OSRFunctions.OSRGet("GL_F_Trans","Value1")</f>
        <v>#NAME?</v>
      </c>
      <c r="E13" s="3"/>
      <c r="F13" s="19"/>
      <c r="G13" s="3"/>
      <c r="H13" s="3" t="e">
        <f ca="1">_xll.OneStop.ReportPlayer.OSRFunctions.OSRGet("GL_F_Trans","Value1")</f>
        <v>#NAME?</v>
      </c>
      <c r="I13" s="3"/>
      <c r="J13" s="19"/>
      <c r="K13" s="3"/>
      <c r="L13" s="3" t="e">
        <f t="shared" ca="1" si="0"/>
        <v>#NAME?</v>
      </c>
      <c r="M13" s="3"/>
      <c r="N13" s="19" t="e">
        <f t="shared" ca="1" si="1"/>
        <v>#NAME?</v>
      </c>
      <c r="O13" s="11"/>
      <c r="P13" s="3" t="e">
        <f ca="1">-_xll.OneStop.ReportPlayer.OSRFunctions.OSRGet("GL_F_Trans","Value1")</f>
        <v>#NAME?</v>
      </c>
      <c r="Q13" s="3"/>
      <c r="R13" s="19"/>
      <c r="S13" s="3"/>
      <c r="T13" s="3" t="e">
        <f ca="1">_xll.OneStop.ReportPlayer.OSRFunctions.OSRGet("GL_F_Trans","Value1")</f>
        <v>#NAME?</v>
      </c>
      <c r="U13" s="3"/>
      <c r="V13" s="19"/>
      <c r="W13" s="3"/>
      <c r="X13" s="3" t="e">
        <f t="shared" ca="1" si="2"/>
        <v>#NAME?</v>
      </c>
      <c r="Y13" s="3"/>
      <c r="Z13" s="19" t="e">
        <f t="shared" ca="1" si="3"/>
        <v>#NAME?</v>
      </c>
    </row>
    <row r="14" spans="1:26" x14ac:dyDescent="0.3">
      <c r="A14" s="9"/>
      <c r="B14" s="10"/>
      <c r="C14" s="9"/>
      <c r="D14" s="2"/>
      <c r="E14" s="2"/>
      <c r="F14" s="6"/>
      <c r="G14" s="2"/>
      <c r="H14" s="2"/>
      <c r="I14" s="2"/>
      <c r="J14" s="6"/>
      <c r="K14" s="2"/>
      <c r="L14" s="2"/>
      <c r="M14" s="2"/>
      <c r="N14" s="6"/>
      <c r="P14" s="2"/>
      <c r="Q14" s="2"/>
      <c r="R14" s="6"/>
      <c r="S14" s="2"/>
      <c r="T14" s="2"/>
      <c r="U14" s="2"/>
      <c r="V14" s="6"/>
      <c r="W14" s="2"/>
      <c r="X14" s="2"/>
      <c r="Y14" s="2"/>
      <c r="Z14" s="6"/>
    </row>
    <row r="15" spans="1:26" s="23" customFormat="1" collapsed="1" x14ac:dyDescent="0.3">
      <c r="A15" s="10"/>
      <c r="B15" s="25" t="s">
        <v>257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3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3" t="e">
        <f ca="1">_xll.OneStop.ReportPlayer.OSRFunctions.OSRGet("GL_F_Trans","Value1")</f>
        <v>#NAME?</v>
      </c>
      <c r="E16" s="3"/>
      <c r="F16" s="19" t="e">
        <f t="shared" ca="1" si="4"/>
        <v>#NAME?</v>
      </c>
      <c r="G16" s="3"/>
      <c r="H16" s="3" t="e">
        <f ca="1">_xll.OneStop.ReportPlayer.OSRFunctions.OSRGet("GL_F_Trans","Value1")</f>
        <v>#NAME?</v>
      </c>
      <c r="I16" s="3"/>
      <c r="J16" s="19" t="e">
        <f t="shared" ca="1" si="5"/>
        <v>#NAME?</v>
      </c>
      <c r="K16" s="3"/>
      <c r="L16" s="3" t="e">
        <f t="shared" ca="1" si="6"/>
        <v>#NAME?</v>
      </c>
      <c r="M16" s="3"/>
      <c r="N16" s="19" t="e">
        <f t="shared" ca="1" si="7"/>
        <v>#NAME?</v>
      </c>
      <c r="O16" s="11"/>
      <c r="P16" s="3" t="e">
        <f ca="1">_xll.OneStop.ReportPlayer.OSRFunctions.OSRGet("GL_F_Trans","Value1")</f>
        <v>#NAME?</v>
      </c>
      <c r="Q16" s="3"/>
      <c r="R16" s="19" t="e">
        <f t="shared" ca="1" si="8"/>
        <v>#NAME?</v>
      </c>
      <c r="S16" s="3"/>
      <c r="T16" s="3" t="e">
        <f ca="1">_xll.OneStop.ReportPlayer.OSRFunctions.OSRGet("GL_F_Trans","Value1")</f>
        <v>#NAME?</v>
      </c>
      <c r="U16" s="3"/>
      <c r="V16" s="19" t="e">
        <f t="shared" ca="1" si="9"/>
        <v>#NAME?</v>
      </c>
      <c r="W16" s="3"/>
      <c r="X16" s="3" t="e">
        <f t="shared" ca="1" si="10"/>
        <v>#NAME?</v>
      </c>
      <c r="Y16" s="3"/>
      <c r="Z16" s="19" t="e">
        <f t="shared" ca="1" si="11"/>
        <v>#NAME?</v>
      </c>
    </row>
    <row r="17" spans="1:26" x14ac:dyDescent="0.3">
      <c r="A17" s="9"/>
      <c r="B17" s="10"/>
      <c r="C17" s="10"/>
      <c r="D17" s="2"/>
      <c r="E17" s="2"/>
      <c r="F17" s="6"/>
      <c r="G17" s="2"/>
      <c r="H17" s="2"/>
      <c r="I17" s="2"/>
      <c r="J17" s="6"/>
      <c r="K17" s="2"/>
      <c r="L17" s="2"/>
      <c r="M17" s="2"/>
      <c r="N17" s="6"/>
      <c r="O17" s="10"/>
      <c r="P17" s="2"/>
      <c r="Q17" s="2"/>
      <c r="R17" s="6"/>
      <c r="S17" s="2"/>
      <c r="T17" s="2"/>
      <c r="U17" s="2"/>
      <c r="V17" s="6"/>
      <c r="W17" s="2"/>
      <c r="X17" s="2"/>
      <c r="Y17" s="2"/>
      <c r="Z17" s="6"/>
    </row>
    <row r="18" spans="1:26" s="23" customFormat="1" x14ac:dyDescent="0.3">
      <c r="A18" s="10"/>
      <c r="B18" s="26" t="s">
        <v>108</v>
      </c>
      <c r="C18" s="26"/>
      <c r="D18" s="21" t="e">
        <f ca="1">D12-D15</f>
        <v>#NAME?</v>
      </c>
      <c r="E18" s="13"/>
      <c r="F18" s="22" t="e">
        <f ca="1">IF(D$12=0,0,D18/D$12)</f>
        <v>#NAME?</v>
      </c>
      <c r="G18" s="13"/>
      <c r="H18" s="21" t="e">
        <f ca="1">H12-H15</f>
        <v>#NAME?</v>
      </c>
      <c r="I18" s="13"/>
      <c r="J18" s="22" t="e">
        <f ca="1">IF(H$12=0,0,H18/H$12)</f>
        <v>#NAME?</v>
      </c>
      <c r="K18" s="16"/>
      <c r="L18" s="21" t="e">
        <f ca="1">+D18-H18</f>
        <v>#NAME?</v>
      </c>
      <c r="M18" s="16"/>
      <c r="N18" s="22" t="e">
        <f ca="1">IF(H18=0,0,L18/H18)</f>
        <v>#NAME?</v>
      </c>
      <c r="O18" s="25"/>
      <c r="P18" s="21" t="e">
        <f ca="1">P12-P15</f>
        <v>#NAME?</v>
      </c>
      <c r="Q18" s="13"/>
      <c r="R18" s="22" t="e">
        <f ca="1">IF(P$12=0,0,P18/P$12)</f>
        <v>#NAME?</v>
      </c>
      <c r="S18" s="13"/>
      <c r="T18" s="21" t="e">
        <f ca="1">T12-T15</f>
        <v>#NAME?</v>
      </c>
      <c r="U18" s="13"/>
      <c r="V18" s="22" t="e">
        <f ca="1">IF(T$12=0,0,T18/T$12)</f>
        <v>#NAME?</v>
      </c>
      <c r="W18" s="16"/>
      <c r="X18" s="21" t="e">
        <f ca="1">+P18-T18</f>
        <v>#NAME?</v>
      </c>
      <c r="Y18" s="16"/>
      <c r="Z18" s="22" t="e">
        <f ca="1">IF(T18=0,0,X18/T18)</f>
        <v>#NAME?</v>
      </c>
    </row>
    <row r="19" spans="1:26" x14ac:dyDescent="0.3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">
      <c r="A20" s="10"/>
      <c r="B20" s="25" t="s">
        <v>295</v>
      </c>
      <c r="C20" s="10"/>
      <c r="D20" s="20" t="e">
        <f ca="1">SUM(_xll.OneStop.ReportPlayer.OSRFunctions.OSRRef(D22))</f>
        <v>#NAME?</v>
      </c>
      <c r="E20" s="20"/>
      <c r="F20" s="32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2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2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2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2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2" t="e">
        <f t="shared" ref="Z20:Z22" ca="1" si="19">IF(T20=0,0,X20/T20)</f>
        <v>#NAME?</v>
      </c>
    </row>
    <row r="21" spans="1:26" s="27" customFormat="1" outlineLevel="1" collapsed="1" x14ac:dyDescent="0.3">
      <c r="A21" s="28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3">
      <c r="A22" s="29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8" t="e">
        <f ca="1">_xll.OneStop.ReportPlayer.OSRFunctions.OSRGet("GL_F_Trans","Value1")</f>
        <v>#NAME?</v>
      </c>
      <c r="E22" s="3"/>
      <c r="F22" s="7" t="e">
        <f t="shared" ca="1" si="12"/>
        <v>#NAME?</v>
      </c>
      <c r="G22" s="3"/>
      <c r="H22" s="8" t="e">
        <f ca="1">_xll.OneStop.ReportPlayer.OSRFunctions.OSRGet("GL_F_Trans","Value1")</f>
        <v>#NAME?</v>
      </c>
      <c r="I22" s="3"/>
      <c r="J22" s="7" t="e">
        <f t="shared" ca="1" si="13"/>
        <v>#NAME?</v>
      </c>
      <c r="K22" s="3"/>
      <c r="L22" s="8" t="e">
        <f t="shared" ca="1" si="14"/>
        <v>#NAME?</v>
      </c>
      <c r="M22" s="3"/>
      <c r="N22" s="7" t="e">
        <f t="shared" ca="1" si="15"/>
        <v>#NAME?</v>
      </c>
      <c r="O22" s="11"/>
      <c r="P22" s="8" t="e">
        <f ca="1">_xll.OneStop.ReportPlayer.OSRFunctions.OSRGet("GL_F_Trans","Value1")</f>
        <v>#NAME?</v>
      </c>
      <c r="Q22" s="3"/>
      <c r="R22" s="7" t="e">
        <f t="shared" ca="1" si="16"/>
        <v>#NAME?</v>
      </c>
      <c r="S22" s="3"/>
      <c r="T22" s="8" t="e">
        <f ca="1">_xll.OneStop.ReportPlayer.OSRFunctions.OSRGet("GL_F_Trans","Value1")</f>
        <v>#NAME?</v>
      </c>
      <c r="U22" s="3"/>
      <c r="V22" s="7" t="e">
        <f t="shared" ca="1" si="17"/>
        <v>#NAME?</v>
      </c>
      <c r="W22" s="3"/>
      <c r="X22" s="8" t="e">
        <f t="shared" ca="1" si="18"/>
        <v>#NAME?</v>
      </c>
      <c r="Y22" s="3"/>
      <c r="Z22" s="7" t="e">
        <f t="shared" ca="1" si="19"/>
        <v>#NAME?</v>
      </c>
    </row>
    <row r="23" spans="1:26" s="62" customFormat="1" x14ac:dyDescent="0.3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3">
      <c r="A24" s="10"/>
      <c r="B24" s="25" t="s">
        <v>293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3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3" t="e">
        <f ca="1">-_xll.OneStop.ReportPlayer.OSRFunctions.OSRGet("GL_F_Trans","Value1")</f>
        <v>#NAME?</v>
      </c>
      <c r="E25" s="3"/>
      <c r="F25" s="19" t="e">
        <f t="shared" ca="1" si="20"/>
        <v>#NAME?</v>
      </c>
      <c r="G25" s="3"/>
      <c r="H25" s="3" t="e">
        <f ca="1">_xll.OneStop.ReportPlayer.OSRFunctions.OSRGet("GL_F_Trans","Value1")</f>
        <v>#NAME?</v>
      </c>
      <c r="I25" s="3"/>
      <c r="J25" s="19" t="e">
        <f t="shared" ca="1" si="21"/>
        <v>#NAME?</v>
      </c>
      <c r="K25" s="3"/>
      <c r="L25" s="3" t="e">
        <f t="shared" ca="1" si="22"/>
        <v>#NAME?</v>
      </c>
      <c r="M25" s="3"/>
      <c r="N25" s="19" t="e">
        <f t="shared" ca="1" si="23"/>
        <v>#NAME?</v>
      </c>
      <c r="O25" s="11"/>
      <c r="P25" s="3" t="e">
        <f ca="1">-_xll.OneStop.ReportPlayer.OSRFunctions.OSRGet("GL_F_Trans","Value1")</f>
        <v>#NAME?</v>
      </c>
      <c r="Q25" s="3"/>
      <c r="R25" s="19" t="e">
        <f t="shared" ca="1" si="24"/>
        <v>#NAME?</v>
      </c>
      <c r="S25" s="3"/>
      <c r="T25" s="3" t="e">
        <f ca="1">_xll.OneStop.ReportPlayer.OSRFunctions.OSRGet("GL_F_Trans","Value1")</f>
        <v>#NAME?</v>
      </c>
      <c r="U25" s="3"/>
      <c r="V25" s="19" t="e">
        <f t="shared" ca="1" si="25"/>
        <v>#NAME?</v>
      </c>
      <c r="W25" s="3"/>
      <c r="X25" s="3" t="e">
        <f t="shared" ca="1" si="26"/>
        <v>#NAME?</v>
      </c>
      <c r="Y25" s="3"/>
      <c r="Z25" s="19" t="e">
        <f t="shared" ca="1" si="27"/>
        <v>#NAME?</v>
      </c>
    </row>
    <row r="26" spans="1:26" x14ac:dyDescent="0.3">
      <c r="A26" s="9"/>
      <c r="B26" s="10"/>
      <c r="C26" s="10"/>
      <c r="D26" s="2"/>
      <c r="E26" s="2"/>
      <c r="F26" s="6"/>
      <c r="G26" s="2"/>
      <c r="H26" s="2"/>
      <c r="I26" s="2"/>
      <c r="J26" s="6"/>
      <c r="K26" s="2"/>
      <c r="L26" s="2"/>
      <c r="M26" s="2"/>
      <c r="N26" s="6"/>
      <c r="O26" s="10"/>
      <c r="P26" s="2"/>
      <c r="Q26" s="2"/>
      <c r="R26" s="6"/>
      <c r="S26" s="2"/>
      <c r="T26" s="2"/>
      <c r="U26" s="2"/>
      <c r="V26" s="6"/>
      <c r="W26" s="2"/>
      <c r="X26" s="2"/>
      <c r="Y26" s="2"/>
      <c r="Z26" s="6"/>
    </row>
    <row r="27" spans="1:26" s="23" customFormat="1" x14ac:dyDescent="0.3">
      <c r="A27" s="10"/>
      <c r="B27" s="26" t="s">
        <v>277</v>
      </c>
      <c r="C27" s="26"/>
      <c r="D27" s="21" t="e">
        <f ca="1">+D18-D20+D24</f>
        <v>#NAME?</v>
      </c>
      <c r="E27" s="13"/>
      <c r="F27" s="22" t="e">
        <f ca="1">IF(D$12=0,0,D27/D$12)</f>
        <v>#NAME?</v>
      </c>
      <c r="G27" s="13"/>
      <c r="H27" s="21" t="e">
        <f ca="1">+H18-H20+H24</f>
        <v>#NAME?</v>
      </c>
      <c r="I27" s="13"/>
      <c r="J27" s="22" t="e">
        <f ca="1">IF(H$12=0,0,H27/H$12)</f>
        <v>#NAME?</v>
      </c>
      <c r="K27" s="16"/>
      <c r="L27" s="21" t="e">
        <f ca="1">+D27-H27</f>
        <v>#NAME?</v>
      </c>
      <c r="M27" s="16"/>
      <c r="N27" s="22" t="e">
        <f ca="1">IF(H27=0,0,L27/H27)</f>
        <v>#NAME?</v>
      </c>
      <c r="O27" s="25"/>
      <c r="P27" s="21" t="e">
        <f ca="1">+P18-P20+P24</f>
        <v>#NAME?</v>
      </c>
      <c r="Q27" s="13"/>
      <c r="R27" s="22" t="e">
        <f ca="1">IF(P$12=0,0,P27/P$12)</f>
        <v>#NAME?</v>
      </c>
      <c r="S27" s="13"/>
      <c r="T27" s="21" t="e">
        <f ca="1">+T18-T20+T24</f>
        <v>#NAME?</v>
      </c>
      <c r="U27" s="13"/>
      <c r="V27" s="22" t="e">
        <f ca="1">IF(T$12=0,0,T27/T$12)</f>
        <v>#NAME?</v>
      </c>
      <c r="W27" s="16"/>
      <c r="X27" s="21" t="e">
        <f ca="1">+P27-T27</f>
        <v>#NAME?</v>
      </c>
      <c r="Y27" s="16"/>
      <c r="Z27" s="22" t="e">
        <f ca="1">IF(T27=0,0,X27/T27)</f>
        <v>#NAME?</v>
      </c>
    </row>
    <row r="28" spans="1:26" x14ac:dyDescent="0.3">
      <c r="A28" s="9"/>
      <c r="B28" s="10"/>
      <c r="C28" s="9"/>
      <c r="D28" s="2"/>
      <c r="E28" s="2"/>
      <c r="F28" s="6"/>
      <c r="G28" s="2"/>
      <c r="H28" s="2"/>
      <c r="I28" s="2"/>
      <c r="J28" s="6"/>
      <c r="K28" s="2"/>
      <c r="L28" s="2"/>
      <c r="M28" s="2"/>
      <c r="N28" s="6"/>
      <c r="P28" s="2"/>
      <c r="Q28" s="2"/>
      <c r="R28" s="6"/>
      <c r="S28" s="2"/>
      <c r="T28" s="2"/>
      <c r="U28" s="2"/>
      <c r="V28" s="6"/>
      <c r="W28" s="2"/>
      <c r="X28" s="2"/>
      <c r="Y28" s="2"/>
      <c r="Z28" s="6"/>
    </row>
    <row r="29" spans="1:26" s="23" customFormat="1" x14ac:dyDescent="0.3">
      <c r="A29" s="52"/>
      <c r="B29" s="10" t="s">
        <v>128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3">
      <c r="A30" s="9"/>
      <c r="B30" s="10"/>
      <c r="C30" s="10"/>
      <c r="D30" s="2"/>
      <c r="E30" s="2"/>
      <c r="F30" s="6"/>
      <c r="G30" s="2"/>
      <c r="H30" s="2"/>
      <c r="I30" s="2"/>
      <c r="J30" s="6"/>
      <c r="K30" s="2"/>
      <c r="L30" s="2"/>
      <c r="M30" s="2"/>
      <c r="N30" s="6"/>
      <c r="O30" s="10"/>
      <c r="P30" s="2"/>
      <c r="Q30" s="2"/>
      <c r="R30" s="6"/>
      <c r="S30" s="2"/>
      <c r="T30" s="2"/>
      <c r="U30" s="2"/>
      <c r="V30" s="6"/>
      <c r="W30" s="2"/>
      <c r="X30" s="2"/>
      <c r="Y30" s="2"/>
      <c r="Z30" s="6"/>
    </row>
    <row r="31" spans="1:26" s="23" customFormat="1" ht="15" thickBot="1" x14ac:dyDescent="0.35">
      <c r="A31" s="10"/>
      <c r="B31" s="26" t="s">
        <v>126</v>
      </c>
      <c r="C31" s="26"/>
      <c r="D31" s="35" t="e">
        <f ca="1">+D27-D29</f>
        <v>#NAME?</v>
      </c>
      <c r="E31" s="13"/>
      <c r="F31" s="30" t="e">
        <f ca="1">IF(D$12=0,0,D31/D$12)</f>
        <v>#NAME?</v>
      </c>
      <c r="G31" s="13"/>
      <c r="H31" s="35" t="e">
        <f ca="1">+H27-H29</f>
        <v>#NAME?</v>
      </c>
      <c r="I31" s="13"/>
      <c r="J31" s="30" t="e">
        <f ca="1">IF(H$12=0,0,H31/H$12)</f>
        <v>#NAME?</v>
      </c>
      <c r="K31" s="16"/>
      <c r="L31" s="35" t="e">
        <f ca="1">D31-H31</f>
        <v>#NAME?</v>
      </c>
      <c r="M31" s="16"/>
      <c r="N31" s="30" t="e">
        <f ca="1">IF(H31=0,0,L31/H31)</f>
        <v>#NAME?</v>
      </c>
      <c r="O31" s="25"/>
      <c r="P31" s="35" t="e">
        <f ca="1">+P27-P29</f>
        <v>#NAME?</v>
      </c>
      <c r="Q31" s="13"/>
      <c r="R31" s="30" t="e">
        <f ca="1">IF(P$12=0,0,P31/P$12)</f>
        <v>#NAME?</v>
      </c>
      <c r="S31" s="13"/>
      <c r="T31" s="35" t="e">
        <f ca="1">+T27-T29</f>
        <v>#NAME?</v>
      </c>
      <c r="U31" s="13"/>
      <c r="V31" s="30" t="e">
        <f ca="1">IF(T$12=0,0,T31/T$12)</f>
        <v>#NAME?</v>
      </c>
      <c r="W31" s="16"/>
      <c r="X31" s="35" t="e">
        <f ca="1">P31-T31</f>
        <v>#NAME?</v>
      </c>
      <c r="Y31" s="16"/>
      <c r="Z31" s="30" t="e">
        <f ca="1">IF(T31=0,0,X31/T31)</f>
        <v>#NAME?</v>
      </c>
    </row>
    <row r="32" spans="1:26" ht="15" thickTop="1" x14ac:dyDescent="0.3">
      <c r="A32" s="9"/>
      <c r="B32" s="9"/>
      <c r="C32" s="9"/>
      <c r="D32" s="2"/>
      <c r="E32" s="2"/>
      <c r="F32" s="6"/>
      <c r="G32" s="2"/>
      <c r="H32" s="2"/>
      <c r="I32" s="2"/>
      <c r="J32" s="6"/>
      <c r="K32" s="2"/>
      <c r="L32" s="2"/>
      <c r="M32" s="2"/>
      <c r="N32" s="6"/>
      <c r="P32" s="2"/>
      <c r="Q32" s="2"/>
      <c r="R32" s="6"/>
      <c r="S32" s="2"/>
      <c r="T32" s="2"/>
      <c r="U32" s="2"/>
      <c r="V32" s="6"/>
      <c r="W32" s="2"/>
      <c r="X32" s="2"/>
      <c r="Y32" s="2"/>
      <c r="Z32" s="6"/>
    </row>
    <row r="33" spans="1:26" s="23" customFormat="1" x14ac:dyDescent="0.3">
      <c r="A33" s="52"/>
      <c r="B33" s="10" t="s">
        <v>184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3">
      <c r="A34" s="52"/>
      <c r="B34" s="10" t="s">
        <v>82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3">
      <c r="A35" s="9"/>
      <c r="B35" s="9"/>
      <c r="C35" s="9"/>
      <c r="D35" s="2"/>
      <c r="E35" s="2"/>
      <c r="F35" s="6"/>
      <c r="G35" s="2"/>
      <c r="H35" s="2"/>
      <c r="I35" s="2"/>
      <c r="J35" s="6"/>
      <c r="K35" s="2"/>
      <c r="L35" s="2"/>
      <c r="M35" s="2"/>
      <c r="N35" s="6"/>
      <c r="P35" s="2"/>
      <c r="Q35" s="2"/>
      <c r="R35" s="6"/>
      <c r="S35" s="2"/>
      <c r="T35" s="2"/>
      <c r="U35" s="2"/>
      <c r="V35" s="6"/>
      <c r="W35" s="2"/>
      <c r="X35" s="2"/>
      <c r="Y35" s="2"/>
      <c r="Z35" s="6"/>
    </row>
    <row r="36" spans="1:26" s="23" customFormat="1" ht="15" thickBot="1" x14ac:dyDescent="0.35">
      <c r="A36" s="10"/>
      <c r="B36" s="26" t="s">
        <v>294</v>
      </c>
      <c r="C36" s="26"/>
      <c r="D36" s="33" t="e">
        <f ca="1">SUM(D31:D35)</f>
        <v>#NAME?</v>
      </c>
      <c r="E36" s="13"/>
      <c r="F36" s="31" t="e">
        <f ca="1">IF(D$12=0,0,D36/D$12)</f>
        <v>#NAME?</v>
      </c>
      <c r="G36" s="13"/>
      <c r="H36" s="33" t="e">
        <f ca="1">SUM(H31:H35)</f>
        <v>#NAME?</v>
      </c>
      <c r="I36" s="13"/>
      <c r="J36" s="31" t="e">
        <f ca="1">IF(H$12=0,0,H36/H$12)</f>
        <v>#NAME?</v>
      </c>
      <c r="K36" s="16"/>
      <c r="L36" s="33" t="e">
        <f ca="1">+D36-H36</f>
        <v>#NAME?</v>
      </c>
      <c r="M36" s="16"/>
      <c r="N36" s="31" t="e">
        <f ca="1">IF(H36=0,0,L36/H36)</f>
        <v>#NAME?</v>
      </c>
      <c r="O36" s="25"/>
      <c r="P36" s="33" t="e">
        <f ca="1">SUM(P31:P35)</f>
        <v>#NAME?</v>
      </c>
      <c r="Q36" s="13"/>
      <c r="R36" s="31" t="e">
        <f ca="1">IF(P$12=0,0,P36/P$12)</f>
        <v>#NAME?</v>
      </c>
      <c r="S36" s="13"/>
      <c r="T36" s="33" t="e">
        <f ca="1">SUM(T31:T35)</f>
        <v>#NAME?</v>
      </c>
      <c r="U36" s="13"/>
      <c r="V36" s="31" t="e">
        <f ca="1">IF(T$12=0,0,T36/T$12)</f>
        <v>#NAME?</v>
      </c>
      <c r="W36" s="16"/>
      <c r="X36" s="33" t="e">
        <f ca="1">+P36-T36</f>
        <v>#NAME?</v>
      </c>
      <c r="Y36" s="16"/>
      <c r="Z36" s="31" t="e">
        <f ca="1">IF(T36=0,0,X36/T36)</f>
        <v>#NAME?</v>
      </c>
    </row>
    <row r="37" spans="1:26" ht="15" thickTop="1" x14ac:dyDescent="0.3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3">
      <c r="A38" s="9"/>
      <c r="B38" s="54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3">
      <c r="A39" s="9"/>
      <c r="B39" s="59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3">
      <c r="A40" s="9"/>
      <c r="B40" s="55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3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B0F0"/>
    <outlinePr summaryBelow="0" summaryRight="0"/>
  </sheetPr>
  <dimension ref="A2:Z179"/>
  <sheetViews>
    <sheetView tabSelected="1" zoomScale="80" workbookViewId="0">
      <pane xSplit="3" ySplit="10" topLeftCell="D134" activePane="bottomRight" state="frozen"/>
      <selection pane="topRight" activeCell="D1" sqref="D1"/>
      <selection pane="bottomLeft" activeCell="A11" sqref="A11"/>
      <selection pane="bottomRight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50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7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50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7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7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7" customWidth="1" outlineLevel="1"/>
  </cols>
  <sheetData>
    <row r="2" spans="1:26" x14ac:dyDescent="0.3">
      <c r="D2" s="57" t="s">
        <v>23</v>
      </c>
    </row>
    <row r="3" spans="1:26" x14ac:dyDescent="0.3">
      <c r="D3" s="57" t="s">
        <v>237</v>
      </c>
      <c r="E3" s="17"/>
      <c r="F3" s="51"/>
      <c r="G3" s="17"/>
      <c r="H3" s="17"/>
      <c r="I3" s="17"/>
      <c r="J3" s="39"/>
      <c r="K3" s="17"/>
      <c r="L3" s="17"/>
      <c r="M3" s="17"/>
      <c r="N3" s="51"/>
      <c r="O3" s="61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3">
      <c r="D4" s="57" t="str">
        <f>CONCATENATE("Period ",RIGHT(202201,2),", ",2022)</f>
        <v>Period 01, 2022</v>
      </c>
      <c r="E4" s="17"/>
      <c r="F4" s="51"/>
      <c r="G4" s="17"/>
      <c r="H4" s="17"/>
      <c r="I4" s="17"/>
      <c r="J4" s="39"/>
      <c r="K4" s="17"/>
      <c r="L4" s="17"/>
      <c r="M4" s="17"/>
      <c r="N4" s="51"/>
      <c r="O4" s="61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3">
      <c r="A5" s="23"/>
      <c r="D5" s="64">
        <v>44408</v>
      </c>
      <c r="E5" s="17"/>
      <c r="F5" s="51"/>
      <c r="G5" s="17"/>
      <c r="H5" s="17"/>
      <c r="I5" s="17"/>
      <c r="J5" s="39"/>
      <c r="K5" s="17"/>
      <c r="L5" s="17"/>
      <c r="M5" s="17"/>
      <c r="N5" s="51"/>
      <c r="O5" s="61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3">
      <c r="A6" s="23"/>
      <c r="B6" s="47"/>
      <c r="C6" s="47"/>
      <c r="D6" s="23" t="s">
        <v>313</v>
      </c>
      <c r="E6" s="17"/>
      <c r="F6" s="51"/>
      <c r="G6" s="17"/>
      <c r="H6" s="17"/>
      <c r="I6" s="17"/>
      <c r="J6" s="39"/>
      <c r="K6" s="17"/>
      <c r="L6" s="17"/>
      <c r="M6" s="17"/>
      <c r="N6" s="51"/>
      <c r="O6" s="60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3">
      <c r="B7" s="63"/>
    </row>
    <row r="8" spans="1:26" x14ac:dyDescent="0.3">
      <c r="B8" s="63"/>
    </row>
    <row r="9" spans="1:26" x14ac:dyDescent="0.3">
      <c r="B9" s="9"/>
      <c r="C9" s="9"/>
      <c r="D9" s="15" t="s">
        <v>292</v>
      </c>
      <c r="E9" s="15"/>
      <c r="F9" s="38"/>
      <c r="G9" s="15"/>
      <c r="H9" s="15"/>
      <c r="I9" s="15"/>
      <c r="J9" s="49"/>
      <c r="K9" s="15"/>
      <c r="L9" s="15"/>
      <c r="M9" s="15"/>
      <c r="N9" s="38"/>
      <c r="P9" s="15" t="s">
        <v>39</v>
      </c>
      <c r="Q9" s="15"/>
      <c r="R9" s="38"/>
      <c r="S9" s="15"/>
      <c r="T9" s="15"/>
      <c r="U9" s="15"/>
      <c r="V9" s="49"/>
      <c r="W9" s="15"/>
      <c r="X9" s="15"/>
      <c r="Y9" s="15"/>
      <c r="Z9" s="38"/>
    </row>
    <row r="10" spans="1:26" x14ac:dyDescent="0.3">
      <c r="A10" s="10"/>
      <c r="B10" s="53"/>
      <c r="C10" s="10"/>
      <c r="D10" s="42" t="s">
        <v>57</v>
      </c>
      <c r="E10" s="34"/>
      <c r="F10" s="40" t="s">
        <v>40</v>
      </c>
      <c r="G10" s="34"/>
      <c r="H10" s="45" t="s">
        <v>238</v>
      </c>
      <c r="I10" s="34"/>
      <c r="J10" s="48" t="s">
        <v>58</v>
      </c>
      <c r="K10" s="10"/>
      <c r="L10" s="42" t="s">
        <v>127</v>
      </c>
      <c r="M10" s="10"/>
      <c r="N10" s="40" t="s">
        <v>258</v>
      </c>
      <c r="O10" s="10"/>
      <c r="P10" s="56" t="s">
        <v>57</v>
      </c>
      <c r="Q10" s="34"/>
      <c r="R10" s="40" t="s">
        <v>40</v>
      </c>
      <c r="S10" s="34"/>
      <c r="T10" s="45" t="s">
        <v>238</v>
      </c>
      <c r="U10" s="34"/>
      <c r="V10" s="48" t="s">
        <v>58</v>
      </c>
      <c r="W10" s="10"/>
      <c r="X10" s="42" t="s">
        <v>127</v>
      </c>
      <c r="Y10" s="10"/>
      <c r="Z10" s="40" t="s">
        <v>258</v>
      </c>
    </row>
    <row r="11" spans="1:26" ht="15.6" x14ac:dyDescent="0.3">
      <c r="A11" s="9"/>
      <c r="B11" s="58"/>
      <c r="C11" s="9"/>
      <c r="D11" s="9"/>
      <c r="E11" s="9"/>
      <c r="F11" s="6"/>
      <c r="G11" s="9"/>
      <c r="H11" s="9"/>
      <c r="I11" s="9"/>
      <c r="J11" s="46"/>
      <c r="K11" s="9"/>
      <c r="L11" s="9"/>
      <c r="M11" s="9"/>
      <c r="N11" s="6"/>
      <c r="P11" s="9"/>
      <c r="Q11" s="9"/>
      <c r="R11" s="6"/>
      <c r="S11" s="9"/>
      <c r="T11" s="9"/>
      <c r="U11" s="9"/>
      <c r="V11" s="46"/>
      <c r="W11" s="9"/>
      <c r="X11" s="9"/>
      <c r="Y11" s="9"/>
      <c r="Z11" s="6"/>
    </row>
    <row r="12" spans="1:26" s="23" customFormat="1" collapsed="1" x14ac:dyDescent="0.3">
      <c r="A12" s="10"/>
      <c r="B12" s="25" t="s">
        <v>140</v>
      </c>
      <c r="C12" s="10"/>
      <c r="D12" s="4">
        <f>SUM(OSRRefD13x_0)</f>
        <v>504149.17999999993</v>
      </c>
      <c r="E12" s="4"/>
      <c r="F12" s="12"/>
      <c r="G12" s="4"/>
      <c r="H12" s="4">
        <f>SUM(OSRRefH13x_0)</f>
        <v>658468</v>
      </c>
      <c r="I12" s="4"/>
      <c r="J12" s="12"/>
      <c r="K12" s="4"/>
      <c r="L12" s="4">
        <f t="shared" ref="L12:L21" si="0">+D12-H12</f>
        <v>-154318.82000000007</v>
      </c>
      <c r="M12" s="4"/>
      <c r="N12" s="12">
        <f t="shared" ref="N12:N21" si="1">IF(H12=0,0,L12/H12)</f>
        <v>-0.23436039412697363</v>
      </c>
      <c r="O12" s="10"/>
      <c r="P12" s="4">
        <f>SUM(OSRRefP13x_0)</f>
        <v>504149.17999999993</v>
      </c>
      <c r="Q12" s="4"/>
      <c r="R12" s="12"/>
      <c r="S12" s="4"/>
      <c r="T12" s="4">
        <f>SUM(OSRRefT13x_0)</f>
        <v>658468</v>
      </c>
      <c r="U12" s="4"/>
      <c r="V12" s="12"/>
      <c r="W12" s="4"/>
      <c r="X12" s="4">
        <f t="shared" ref="X12:X21" si="2">+P12-T12</f>
        <v>-154318.82000000007</v>
      </c>
      <c r="Y12" s="4"/>
      <c r="Z12" s="12">
        <f t="shared" ref="Z12:Z21" si="3">IF(T12=0,0,X12/T12)</f>
        <v>-0.23436039412697363</v>
      </c>
    </row>
    <row r="13" spans="1:26" s="24" customFormat="1" hidden="1" outlineLevel="1" x14ac:dyDescent="0.3">
      <c r="A13" s="44"/>
      <c r="B13" s="11" t="str">
        <f>CONCATENATE("          ", "4000", " - ", "TAXABLE SALES")</f>
        <v xml:space="preserve">          4000 - TAXABLE SALES</v>
      </c>
      <c r="C13" s="11"/>
      <c r="D13" s="3">
        <f>--270004.59</f>
        <v>270004.59000000003</v>
      </c>
      <c r="E13" s="3"/>
      <c r="F13" s="19"/>
      <c r="G13" s="3"/>
      <c r="H13" s="3">
        <v>600417</v>
      </c>
      <c r="I13" s="3"/>
      <c r="J13" s="19"/>
      <c r="K13" s="3"/>
      <c r="L13" s="3">
        <f t="shared" si="0"/>
        <v>-330412.40999999997</v>
      </c>
      <c r="M13" s="3"/>
      <c r="N13" s="19">
        <f t="shared" si="1"/>
        <v>-0.55030488810276856</v>
      </c>
      <c r="O13" s="11"/>
      <c r="P13" s="3">
        <f>--270004.59</f>
        <v>270004.59000000003</v>
      </c>
      <c r="Q13" s="3"/>
      <c r="R13" s="19"/>
      <c r="S13" s="3"/>
      <c r="T13" s="3">
        <v>600417</v>
      </c>
      <c r="U13" s="3"/>
      <c r="V13" s="19"/>
      <c r="W13" s="3"/>
      <c r="X13" s="3">
        <f t="shared" si="2"/>
        <v>-330412.40999999997</v>
      </c>
      <c r="Y13" s="3"/>
      <c r="Z13" s="19">
        <f t="shared" si="3"/>
        <v>-0.55030488810276856</v>
      </c>
    </row>
    <row r="14" spans="1:26" s="24" customFormat="1" hidden="1" outlineLevel="1" x14ac:dyDescent="0.3">
      <c r="A14" s="44"/>
      <c r="B14" s="11" t="str">
        <f>CONCATENATE("          ", "4051", " - ", "TAXABLE SALES-FOOD")</f>
        <v xml:space="preserve">          4051 - TAXABLE SALES-FOOD</v>
      </c>
      <c r="C14" s="11"/>
      <c r="D14" s="3">
        <f>--10630.93</f>
        <v>10630.93</v>
      </c>
      <c r="E14" s="3"/>
      <c r="F14" s="19"/>
      <c r="G14" s="3"/>
      <c r="H14" s="3"/>
      <c r="I14" s="3"/>
      <c r="J14" s="19"/>
      <c r="K14" s="3"/>
      <c r="L14" s="3">
        <f t="shared" si="0"/>
        <v>10630.93</v>
      </c>
      <c r="M14" s="3"/>
      <c r="N14" s="19">
        <f t="shared" si="1"/>
        <v>0</v>
      </c>
      <c r="O14" s="11"/>
      <c r="P14" s="3">
        <f>--10630.93</f>
        <v>10630.93</v>
      </c>
      <c r="Q14" s="3"/>
      <c r="R14" s="19"/>
      <c r="S14" s="3"/>
      <c r="T14" s="3"/>
      <c r="U14" s="3"/>
      <c r="V14" s="19"/>
      <c r="W14" s="3"/>
      <c r="X14" s="3">
        <f t="shared" si="2"/>
        <v>10630.93</v>
      </c>
      <c r="Y14" s="3"/>
      <c r="Z14" s="19">
        <f t="shared" si="3"/>
        <v>0</v>
      </c>
    </row>
    <row r="15" spans="1:26" s="24" customFormat="1" hidden="1" outlineLevel="1" x14ac:dyDescent="0.3">
      <c r="A15" s="44"/>
      <c r="B15" s="11" t="str">
        <f>CONCATENATE("          ", "4053", " - ", "TAXABLE SALES-FOOD")</f>
        <v xml:space="preserve">          4053 - TAXABLE SALES-FOOD</v>
      </c>
      <c r="C15" s="11"/>
      <c r="D15" s="3">
        <f>--106.64</f>
        <v>106.64</v>
      </c>
      <c r="E15" s="3"/>
      <c r="F15" s="19"/>
      <c r="G15" s="3"/>
      <c r="H15" s="3"/>
      <c r="I15" s="3"/>
      <c r="J15" s="19"/>
      <c r="K15" s="3"/>
      <c r="L15" s="3">
        <f t="shared" si="0"/>
        <v>106.64</v>
      </c>
      <c r="M15" s="3"/>
      <c r="N15" s="19">
        <f t="shared" si="1"/>
        <v>0</v>
      </c>
      <c r="O15" s="11"/>
      <c r="P15" s="3">
        <f>--106.64</f>
        <v>106.64</v>
      </c>
      <c r="Q15" s="3"/>
      <c r="R15" s="19"/>
      <c r="S15" s="3"/>
      <c r="T15" s="3"/>
      <c r="U15" s="3"/>
      <c r="V15" s="19"/>
      <c r="W15" s="3"/>
      <c r="X15" s="3">
        <f t="shared" si="2"/>
        <v>106.64</v>
      </c>
      <c r="Y15" s="3"/>
      <c r="Z15" s="19">
        <f t="shared" si="3"/>
        <v>0</v>
      </c>
    </row>
    <row r="16" spans="1:26" s="24" customFormat="1" hidden="1" outlineLevel="1" x14ac:dyDescent="0.3">
      <c r="A16" s="44"/>
      <c r="B16" s="11" t="str">
        <f>CONCATENATE("          ", "4100", " - ", "NON-TAXABLE SALES")</f>
        <v xml:space="preserve">          4100 - NON-TAXABLE SALES</v>
      </c>
      <c r="C16" s="11"/>
      <c r="D16" s="3">
        <f>--225721.52</f>
        <v>225721.52</v>
      </c>
      <c r="E16" s="3"/>
      <c r="F16" s="19"/>
      <c r="G16" s="3"/>
      <c r="H16" s="3">
        <v>58051</v>
      </c>
      <c r="I16" s="3"/>
      <c r="J16" s="19"/>
      <c r="K16" s="3"/>
      <c r="L16" s="3">
        <f t="shared" si="0"/>
        <v>167670.51999999999</v>
      </c>
      <c r="M16" s="3"/>
      <c r="N16" s="19">
        <f t="shared" si="1"/>
        <v>2.8883312948958673</v>
      </c>
      <c r="O16" s="11"/>
      <c r="P16" s="3">
        <f>--225721.52</f>
        <v>225721.52</v>
      </c>
      <c r="Q16" s="3"/>
      <c r="R16" s="19"/>
      <c r="S16" s="3"/>
      <c r="T16" s="3">
        <v>58051</v>
      </c>
      <c r="U16" s="3"/>
      <c r="V16" s="19"/>
      <c r="W16" s="3"/>
      <c r="X16" s="3">
        <f t="shared" si="2"/>
        <v>167670.51999999999</v>
      </c>
      <c r="Y16" s="3"/>
      <c r="Z16" s="19">
        <f t="shared" si="3"/>
        <v>2.8883312948958673</v>
      </c>
    </row>
    <row r="17" spans="1:26" s="24" customFormat="1" hidden="1" outlineLevel="1" x14ac:dyDescent="0.3">
      <c r="A17" s="44"/>
      <c r="B17" s="11" t="str">
        <f>CONCATENATE("          ", "4146", " - ", "NON-TAXABLE SALES-COIN OP MACH")</f>
        <v xml:space="preserve">          4146 - NON-TAXABLE SALES-COIN OP MACH</v>
      </c>
      <c r="C17" s="11"/>
      <c r="D17" s="3">
        <f>--20.2</f>
        <v>20.2</v>
      </c>
      <c r="E17" s="3"/>
      <c r="F17" s="19"/>
      <c r="G17" s="3"/>
      <c r="H17" s="3"/>
      <c r="I17" s="3"/>
      <c r="J17" s="19"/>
      <c r="K17" s="3"/>
      <c r="L17" s="3">
        <f t="shared" si="0"/>
        <v>20.2</v>
      </c>
      <c r="M17" s="3"/>
      <c r="N17" s="19">
        <f t="shared" si="1"/>
        <v>0</v>
      </c>
      <c r="O17" s="11"/>
      <c r="P17" s="3">
        <f>--20.2</f>
        <v>20.2</v>
      </c>
      <c r="Q17" s="3"/>
      <c r="R17" s="19"/>
      <c r="S17" s="3"/>
      <c r="T17" s="3"/>
      <c r="U17" s="3"/>
      <c r="V17" s="19"/>
      <c r="W17" s="3"/>
      <c r="X17" s="3">
        <f t="shared" si="2"/>
        <v>20.2</v>
      </c>
      <c r="Y17" s="3"/>
      <c r="Z17" s="19">
        <f t="shared" si="3"/>
        <v>0</v>
      </c>
    </row>
    <row r="18" spans="1:26" s="24" customFormat="1" hidden="1" outlineLevel="1" x14ac:dyDescent="0.3">
      <c r="A18" s="44"/>
      <c r="B18" s="11" t="str">
        <f>CONCATENATE("          ", "4151", " - ", "NON-TAXABLE SALES-FOOD")</f>
        <v xml:space="preserve">          4151 - NON-TAXABLE SALES-FOOD</v>
      </c>
      <c r="C18" s="11"/>
      <c r="D18" s="3">
        <f>--28671.38</f>
        <v>28671.38</v>
      </c>
      <c r="E18" s="3"/>
      <c r="F18" s="19"/>
      <c r="G18" s="3"/>
      <c r="H18" s="3"/>
      <c r="I18" s="3"/>
      <c r="J18" s="19"/>
      <c r="K18" s="3"/>
      <c r="L18" s="3">
        <f t="shared" si="0"/>
        <v>28671.38</v>
      </c>
      <c r="M18" s="3"/>
      <c r="N18" s="19">
        <f t="shared" si="1"/>
        <v>0</v>
      </c>
      <c r="O18" s="11"/>
      <c r="P18" s="3">
        <f>--28671.38</f>
        <v>28671.38</v>
      </c>
      <c r="Q18" s="3"/>
      <c r="R18" s="19"/>
      <c r="S18" s="3"/>
      <c r="T18" s="3"/>
      <c r="U18" s="3"/>
      <c r="V18" s="19"/>
      <c r="W18" s="3"/>
      <c r="X18" s="3">
        <f t="shared" si="2"/>
        <v>28671.38</v>
      </c>
      <c r="Y18" s="3"/>
      <c r="Z18" s="19">
        <f t="shared" si="3"/>
        <v>0</v>
      </c>
    </row>
    <row r="19" spans="1:26" s="24" customFormat="1" hidden="1" outlineLevel="1" x14ac:dyDescent="0.3">
      <c r="A19" s="44"/>
      <c r="B19" s="11" t="str">
        <f>CONCATENATE("          ", "4153", " - ", "NON-TAXABLE SALES-FOOD")</f>
        <v xml:space="preserve">          4153 - NON-TAXABLE SALES-FOOD</v>
      </c>
      <c r="C19" s="11"/>
      <c r="D19" s="3">
        <f>--3280.71</f>
        <v>3280.71</v>
      </c>
      <c r="E19" s="3"/>
      <c r="F19" s="19"/>
      <c r="G19" s="3"/>
      <c r="H19" s="3"/>
      <c r="I19" s="3"/>
      <c r="J19" s="19"/>
      <c r="K19" s="3"/>
      <c r="L19" s="3">
        <f t="shared" si="0"/>
        <v>3280.71</v>
      </c>
      <c r="M19" s="3"/>
      <c r="N19" s="19">
        <f t="shared" si="1"/>
        <v>0</v>
      </c>
      <c r="O19" s="11"/>
      <c r="P19" s="3">
        <f>--3280.71</f>
        <v>3280.71</v>
      </c>
      <c r="Q19" s="3"/>
      <c r="R19" s="19"/>
      <c r="S19" s="3"/>
      <c r="T19" s="3"/>
      <c r="U19" s="3"/>
      <c r="V19" s="19"/>
      <c r="W19" s="3"/>
      <c r="X19" s="3">
        <f t="shared" si="2"/>
        <v>3280.71</v>
      </c>
      <c r="Y19" s="3"/>
      <c r="Z19" s="19">
        <f t="shared" si="3"/>
        <v>0</v>
      </c>
    </row>
    <row r="20" spans="1:26" s="24" customFormat="1" hidden="1" outlineLevel="1" x14ac:dyDescent="0.3">
      <c r="A20" s="44"/>
      <c r="B20" s="11" t="str">
        <f>CONCATENATE("          ", "4200", " - ", "TAXABLE RETURNS")</f>
        <v xml:space="preserve">          4200 - TAXABLE RETURNS</v>
      </c>
      <c r="C20" s="11"/>
      <c r="D20" s="3">
        <f>-32785.21</f>
        <v>-32785.21</v>
      </c>
      <c r="E20" s="3"/>
      <c r="F20" s="19"/>
      <c r="G20" s="3"/>
      <c r="H20" s="3"/>
      <c r="I20" s="3"/>
      <c r="J20" s="19"/>
      <c r="K20" s="3"/>
      <c r="L20" s="3">
        <f t="shared" si="0"/>
        <v>-32785.21</v>
      </c>
      <c r="M20" s="3"/>
      <c r="N20" s="19">
        <f t="shared" si="1"/>
        <v>0</v>
      </c>
      <c r="O20" s="11"/>
      <c r="P20" s="3">
        <f>-32785.21</f>
        <v>-32785.21</v>
      </c>
      <c r="Q20" s="3"/>
      <c r="R20" s="19"/>
      <c r="S20" s="3"/>
      <c r="T20" s="3"/>
      <c r="U20" s="3"/>
      <c r="V20" s="19"/>
      <c r="W20" s="3"/>
      <c r="X20" s="3">
        <f t="shared" si="2"/>
        <v>-32785.21</v>
      </c>
      <c r="Y20" s="3"/>
      <c r="Z20" s="19">
        <f t="shared" si="3"/>
        <v>0</v>
      </c>
    </row>
    <row r="21" spans="1:26" s="24" customFormat="1" hidden="1" outlineLevel="1" x14ac:dyDescent="0.3">
      <c r="A21" s="44"/>
      <c r="B21" s="11" t="str">
        <f>CONCATENATE("          ", "4300", " - ", "NON-TAX RETURNS")</f>
        <v xml:space="preserve">          4300 - NON-TAX RETURNS</v>
      </c>
      <c r="C21" s="11"/>
      <c r="D21" s="3">
        <f>-1501.58</f>
        <v>-1501.58</v>
      </c>
      <c r="E21" s="3"/>
      <c r="F21" s="19"/>
      <c r="G21" s="3"/>
      <c r="H21" s="3"/>
      <c r="I21" s="3"/>
      <c r="J21" s="19"/>
      <c r="K21" s="3"/>
      <c r="L21" s="3">
        <f t="shared" si="0"/>
        <v>-1501.58</v>
      </c>
      <c r="M21" s="3"/>
      <c r="N21" s="19">
        <f t="shared" si="1"/>
        <v>0</v>
      </c>
      <c r="O21" s="11"/>
      <c r="P21" s="3">
        <f>-1501.58</f>
        <v>-1501.58</v>
      </c>
      <c r="Q21" s="3"/>
      <c r="R21" s="19"/>
      <c r="S21" s="3"/>
      <c r="T21" s="3"/>
      <c r="U21" s="3"/>
      <c r="V21" s="19"/>
      <c r="W21" s="3"/>
      <c r="X21" s="3">
        <f t="shared" si="2"/>
        <v>-1501.58</v>
      </c>
      <c r="Y21" s="3"/>
      <c r="Z21" s="19">
        <f t="shared" si="3"/>
        <v>0</v>
      </c>
    </row>
    <row r="22" spans="1:26" x14ac:dyDescent="0.3">
      <c r="A22" s="9"/>
      <c r="B22" s="10"/>
      <c r="C22" s="9"/>
      <c r="D22" s="2"/>
      <c r="E22" s="2"/>
      <c r="F22" s="6"/>
      <c r="G22" s="2"/>
      <c r="H22" s="2"/>
      <c r="I22" s="2"/>
      <c r="J22" s="6"/>
      <c r="K22" s="2"/>
      <c r="L22" s="2"/>
      <c r="M22" s="2"/>
      <c r="N22" s="6"/>
      <c r="P22" s="2"/>
      <c r="Q22" s="2"/>
      <c r="R22" s="6"/>
      <c r="S22" s="2"/>
      <c r="T22" s="2"/>
      <c r="U22" s="2"/>
      <c r="V22" s="6"/>
      <c r="W22" s="2"/>
      <c r="X22" s="2"/>
      <c r="Y22" s="2"/>
      <c r="Z22" s="6"/>
    </row>
    <row r="23" spans="1:26" s="23" customFormat="1" collapsed="1" x14ac:dyDescent="0.3">
      <c r="A23" s="10"/>
      <c r="B23" s="25" t="s">
        <v>257</v>
      </c>
      <c r="C23" s="10"/>
      <c r="D23" s="4">
        <f>SUM(OSRRefD16x_0)</f>
        <v>231981.13000000006</v>
      </c>
      <c r="E23" s="4"/>
      <c r="F23" s="12">
        <f t="shared" ref="F23:F52" si="4">IF(D$12=0,0,D23/D$12)</f>
        <v>0.46014382092221212</v>
      </c>
      <c r="G23" s="4"/>
      <c r="H23" s="4">
        <f>SUM(OSRRefH16x_0)</f>
        <v>455634</v>
      </c>
      <c r="I23" s="4"/>
      <c r="J23" s="12">
        <f t="shared" ref="J23:J52" si="5">IF(H$12=0,0,H23/H$12)</f>
        <v>0.69196073309560979</v>
      </c>
      <c r="K23" s="4"/>
      <c r="L23" s="4">
        <f t="shared" ref="L23:L52" si="6">+D23-H23</f>
        <v>-223652.86999999994</v>
      </c>
      <c r="M23" s="4"/>
      <c r="N23" s="12">
        <f t="shared" ref="N23:N52" si="7">IF(H23=0,0,L23/H23)</f>
        <v>-0.49086080055483117</v>
      </c>
      <c r="O23" s="10"/>
      <c r="P23" s="4">
        <f>SUM(OSRRefP16x_0)</f>
        <v>231981.13000000006</v>
      </c>
      <c r="Q23" s="4"/>
      <c r="R23" s="12">
        <f t="shared" ref="R23:R52" si="8">IF(P$12=0,0,P23/P$12)</f>
        <v>0.46014382092221212</v>
      </c>
      <c r="S23" s="4"/>
      <c r="T23" s="4">
        <f>SUM(OSRRefT16x_0)</f>
        <v>455634</v>
      </c>
      <c r="U23" s="4"/>
      <c r="V23" s="12">
        <f t="shared" ref="V23:V52" si="9">IF(T$12=0,0,T23/T$12)</f>
        <v>0.69196073309560979</v>
      </c>
      <c r="W23" s="4"/>
      <c r="X23" s="4">
        <f t="shared" ref="X23:X52" si="10">+P23-T23</f>
        <v>-223652.86999999994</v>
      </c>
      <c r="Y23" s="4"/>
      <c r="Z23" s="12">
        <f t="shared" ref="Z23:Z52" si="11">IF(T23=0,0,X23/T23)</f>
        <v>-0.49086080055483117</v>
      </c>
    </row>
    <row r="24" spans="1:26" s="24" customFormat="1" hidden="1" outlineLevel="1" x14ac:dyDescent="0.3">
      <c r="A24" s="44"/>
      <c r="B24" s="11" t="str">
        <f>CONCATENATE("          ", "5000", " - ", "PURCHASES @ COST")</f>
        <v xml:space="preserve">          5000 - PURCHASES @ COST</v>
      </c>
      <c r="C24" s="11"/>
      <c r="D24" s="3">
        <v>442136.21</v>
      </c>
      <c r="E24" s="3"/>
      <c r="F24" s="19">
        <f t="shared" si="4"/>
        <v>0.87699480141969099</v>
      </c>
      <c r="G24" s="3"/>
      <c r="H24" s="3">
        <v>455634</v>
      </c>
      <c r="I24" s="3"/>
      <c r="J24" s="19">
        <f t="shared" si="5"/>
        <v>0.69196073309560979</v>
      </c>
      <c r="K24" s="3"/>
      <c r="L24" s="3">
        <f t="shared" si="6"/>
        <v>-13497.789999999979</v>
      </c>
      <c r="M24" s="3"/>
      <c r="N24" s="19">
        <f t="shared" si="7"/>
        <v>-2.9624193980256036E-2</v>
      </c>
      <c r="O24" s="11"/>
      <c r="P24" s="3">
        <v>442136.21</v>
      </c>
      <c r="Q24" s="3"/>
      <c r="R24" s="19">
        <f t="shared" si="8"/>
        <v>0.87699480141969099</v>
      </c>
      <c r="S24" s="3"/>
      <c r="T24" s="3">
        <v>455634</v>
      </c>
      <c r="U24" s="3"/>
      <c r="V24" s="19">
        <f t="shared" si="9"/>
        <v>0.69196073309560979</v>
      </c>
      <c r="W24" s="3"/>
      <c r="X24" s="3">
        <f t="shared" si="10"/>
        <v>-13497.789999999979</v>
      </c>
      <c r="Y24" s="3"/>
      <c r="Z24" s="19">
        <f t="shared" si="11"/>
        <v>-2.9624193980256036E-2</v>
      </c>
    </row>
    <row r="25" spans="1:26" s="24" customFormat="1" hidden="1" outlineLevel="1" x14ac:dyDescent="0.3">
      <c r="A25" s="44"/>
      <c r="B25" s="11" t="str">
        <f>CONCATENATE("          ", "5001", " - ", "PURCHASES @ COST-NEW TEXT")</f>
        <v xml:space="preserve">          5001 - PURCHASES @ COST-NEW TEXT</v>
      </c>
      <c r="C25" s="11"/>
      <c r="D25" s="3">
        <v>0</v>
      </c>
      <c r="E25" s="3"/>
      <c r="F25" s="19">
        <f t="shared" si="4"/>
        <v>0</v>
      </c>
      <c r="G25" s="3"/>
      <c r="H25" s="3"/>
      <c r="I25" s="3"/>
      <c r="J25" s="19">
        <f t="shared" si="5"/>
        <v>0</v>
      </c>
      <c r="K25" s="3"/>
      <c r="L25" s="3">
        <f t="shared" si="6"/>
        <v>0</v>
      </c>
      <c r="M25" s="3"/>
      <c r="N25" s="19">
        <f t="shared" si="7"/>
        <v>0</v>
      </c>
      <c r="O25" s="11"/>
      <c r="P25" s="3">
        <v>0</v>
      </c>
      <c r="Q25" s="3"/>
      <c r="R25" s="19">
        <f t="shared" si="8"/>
        <v>0</v>
      </c>
      <c r="S25" s="3"/>
      <c r="T25" s="3"/>
      <c r="U25" s="3"/>
      <c r="V25" s="19">
        <f t="shared" si="9"/>
        <v>0</v>
      </c>
      <c r="W25" s="3"/>
      <c r="X25" s="3">
        <f t="shared" si="10"/>
        <v>0</v>
      </c>
      <c r="Y25" s="3"/>
      <c r="Z25" s="19">
        <f t="shared" si="11"/>
        <v>0</v>
      </c>
    </row>
    <row r="26" spans="1:26" s="24" customFormat="1" hidden="1" outlineLevel="1" x14ac:dyDescent="0.3">
      <c r="A26" s="44"/>
      <c r="B26" s="11" t="str">
        <f>CONCATENATE("          ", "5002", " - ", "PURCHASES @ COST-USED TEXT")</f>
        <v xml:space="preserve">          5002 - PURCHASES @ COST-USED TEXT</v>
      </c>
      <c r="C26" s="11"/>
      <c r="D26" s="3">
        <v>0</v>
      </c>
      <c r="E26" s="3"/>
      <c r="F26" s="19">
        <f t="shared" si="4"/>
        <v>0</v>
      </c>
      <c r="G26" s="3"/>
      <c r="H26" s="3"/>
      <c r="I26" s="3"/>
      <c r="J26" s="19">
        <f t="shared" si="5"/>
        <v>0</v>
      </c>
      <c r="K26" s="3"/>
      <c r="L26" s="3">
        <f t="shared" si="6"/>
        <v>0</v>
      </c>
      <c r="M26" s="3"/>
      <c r="N26" s="19">
        <f t="shared" si="7"/>
        <v>0</v>
      </c>
      <c r="O26" s="11"/>
      <c r="P26" s="3">
        <v>0</v>
      </c>
      <c r="Q26" s="3"/>
      <c r="R26" s="19">
        <f t="shared" si="8"/>
        <v>0</v>
      </c>
      <c r="S26" s="3"/>
      <c r="T26" s="3"/>
      <c r="U26" s="3"/>
      <c r="V26" s="19">
        <f t="shared" si="9"/>
        <v>0</v>
      </c>
      <c r="W26" s="3"/>
      <c r="X26" s="3">
        <f t="shared" si="10"/>
        <v>0</v>
      </c>
      <c r="Y26" s="3"/>
      <c r="Z26" s="19">
        <f t="shared" si="11"/>
        <v>0</v>
      </c>
    </row>
    <row r="27" spans="1:26" s="24" customFormat="1" hidden="1" outlineLevel="1" x14ac:dyDescent="0.3">
      <c r="A27" s="44"/>
      <c r="B27" s="11" t="str">
        <f>CONCATENATE("          ", "5004", " - ", "PURCHASES @ COST-DIGITAL TEXT")</f>
        <v xml:space="preserve">          5004 - PURCHASES @ COST-DIGITAL TEXT</v>
      </c>
      <c r="C27" s="11"/>
      <c r="D27" s="3">
        <v>0</v>
      </c>
      <c r="E27" s="3"/>
      <c r="F27" s="19">
        <f t="shared" si="4"/>
        <v>0</v>
      </c>
      <c r="G27" s="3"/>
      <c r="H27" s="3"/>
      <c r="I27" s="3"/>
      <c r="J27" s="19">
        <f t="shared" si="5"/>
        <v>0</v>
      </c>
      <c r="K27" s="3"/>
      <c r="L27" s="3">
        <f t="shared" si="6"/>
        <v>0</v>
      </c>
      <c r="M27" s="3"/>
      <c r="N27" s="19">
        <f t="shared" si="7"/>
        <v>0</v>
      </c>
      <c r="O27" s="11"/>
      <c r="P27" s="3">
        <v>0</v>
      </c>
      <c r="Q27" s="3"/>
      <c r="R27" s="19">
        <f t="shared" si="8"/>
        <v>0</v>
      </c>
      <c r="S27" s="3"/>
      <c r="T27" s="3"/>
      <c r="U27" s="3"/>
      <c r="V27" s="19">
        <f t="shared" si="9"/>
        <v>0</v>
      </c>
      <c r="W27" s="3"/>
      <c r="X27" s="3">
        <f t="shared" si="10"/>
        <v>0</v>
      </c>
      <c r="Y27" s="3"/>
      <c r="Z27" s="19">
        <f t="shared" si="11"/>
        <v>0</v>
      </c>
    </row>
    <row r="28" spans="1:26" s="24" customFormat="1" hidden="1" outlineLevel="1" x14ac:dyDescent="0.3">
      <c r="A28" s="44"/>
      <c r="B28" s="11" t="str">
        <f>CONCATENATE("          ", "5040", " - ", "PURCHASES @ COST-LOGO CLOTHING")</f>
        <v xml:space="preserve">          5040 - PURCHASES @ COST-LOGO CLOTHING</v>
      </c>
      <c r="C28" s="11"/>
      <c r="D28" s="3">
        <v>0</v>
      </c>
      <c r="E28" s="3"/>
      <c r="F28" s="19">
        <f t="shared" si="4"/>
        <v>0</v>
      </c>
      <c r="G28" s="3"/>
      <c r="H28" s="3"/>
      <c r="I28" s="3"/>
      <c r="J28" s="19">
        <f t="shared" si="5"/>
        <v>0</v>
      </c>
      <c r="K28" s="3"/>
      <c r="L28" s="3">
        <f t="shared" si="6"/>
        <v>0</v>
      </c>
      <c r="M28" s="3"/>
      <c r="N28" s="19">
        <f t="shared" si="7"/>
        <v>0</v>
      </c>
      <c r="O28" s="11"/>
      <c r="P28" s="3">
        <v>0</v>
      </c>
      <c r="Q28" s="3"/>
      <c r="R28" s="19">
        <f t="shared" si="8"/>
        <v>0</v>
      </c>
      <c r="S28" s="3"/>
      <c r="T28" s="3"/>
      <c r="U28" s="3"/>
      <c r="V28" s="19">
        <f t="shared" si="9"/>
        <v>0</v>
      </c>
      <c r="W28" s="3"/>
      <c r="X28" s="3">
        <f t="shared" si="10"/>
        <v>0</v>
      </c>
      <c r="Y28" s="3"/>
      <c r="Z28" s="19">
        <f t="shared" si="11"/>
        <v>0</v>
      </c>
    </row>
    <row r="29" spans="1:26" s="24" customFormat="1" hidden="1" outlineLevel="1" x14ac:dyDescent="0.3">
      <c r="A29" s="44"/>
      <c r="B29" s="11" t="str">
        <f>CONCATENATE("          ", "5041", " - ", "PURCHASES @ COST-LOGO GIFTS")</f>
        <v xml:space="preserve">          5041 - PURCHASES @ COST-LOGO GIFTS</v>
      </c>
      <c r="C29" s="11"/>
      <c r="D29" s="3">
        <v>0</v>
      </c>
      <c r="E29" s="3"/>
      <c r="F29" s="19">
        <f t="shared" si="4"/>
        <v>0</v>
      </c>
      <c r="G29" s="3"/>
      <c r="H29" s="3"/>
      <c r="I29" s="3"/>
      <c r="J29" s="19">
        <f t="shared" si="5"/>
        <v>0</v>
      </c>
      <c r="K29" s="3"/>
      <c r="L29" s="3">
        <f t="shared" si="6"/>
        <v>0</v>
      </c>
      <c r="M29" s="3"/>
      <c r="N29" s="19">
        <f t="shared" si="7"/>
        <v>0</v>
      </c>
      <c r="O29" s="11"/>
      <c r="P29" s="3">
        <v>0</v>
      </c>
      <c r="Q29" s="3"/>
      <c r="R29" s="19">
        <f t="shared" si="8"/>
        <v>0</v>
      </c>
      <c r="S29" s="3"/>
      <c r="T29" s="3"/>
      <c r="U29" s="3"/>
      <c r="V29" s="19">
        <f t="shared" si="9"/>
        <v>0</v>
      </c>
      <c r="W29" s="3"/>
      <c r="X29" s="3">
        <f t="shared" si="10"/>
        <v>0</v>
      </c>
      <c r="Y29" s="3"/>
      <c r="Z29" s="19">
        <f t="shared" si="11"/>
        <v>0</v>
      </c>
    </row>
    <row r="30" spans="1:26" s="24" customFormat="1" hidden="1" outlineLevel="1" x14ac:dyDescent="0.3">
      <c r="A30" s="44"/>
      <c r="B30" s="11" t="str">
        <f>CONCATENATE("          ", "5042", " - ", "PURCHASES @ COST-EVERYDAY GIFT")</f>
        <v xml:space="preserve">          5042 - PURCHASES @ COST-EVERYDAY GIFT</v>
      </c>
      <c r="C30" s="11"/>
      <c r="D30" s="3">
        <v>0</v>
      </c>
      <c r="E30" s="3"/>
      <c r="F30" s="19">
        <f t="shared" si="4"/>
        <v>0</v>
      </c>
      <c r="G30" s="3"/>
      <c r="H30" s="3"/>
      <c r="I30" s="3"/>
      <c r="J30" s="19">
        <f t="shared" si="5"/>
        <v>0</v>
      </c>
      <c r="K30" s="3"/>
      <c r="L30" s="3">
        <f t="shared" si="6"/>
        <v>0</v>
      </c>
      <c r="M30" s="3"/>
      <c r="N30" s="19">
        <f t="shared" si="7"/>
        <v>0</v>
      </c>
      <c r="O30" s="11"/>
      <c r="P30" s="3">
        <v>0</v>
      </c>
      <c r="Q30" s="3"/>
      <c r="R30" s="19">
        <f t="shared" si="8"/>
        <v>0</v>
      </c>
      <c r="S30" s="3"/>
      <c r="T30" s="3"/>
      <c r="U30" s="3"/>
      <c r="V30" s="19">
        <f t="shared" si="9"/>
        <v>0</v>
      </c>
      <c r="W30" s="3"/>
      <c r="X30" s="3">
        <f t="shared" si="10"/>
        <v>0</v>
      </c>
      <c r="Y30" s="3"/>
      <c r="Z30" s="19">
        <f t="shared" si="11"/>
        <v>0</v>
      </c>
    </row>
    <row r="31" spans="1:26" s="24" customFormat="1" hidden="1" outlineLevel="1" x14ac:dyDescent="0.3">
      <c r="A31" s="44"/>
      <c r="B31" s="11" t="str">
        <f>CONCATENATE("          ", "5043", " - ", "PURCHASES @ COST-CARDS")</f>
        <v xml:space="preserve">          5043 - PURCHASES @ COST-CARDS</v>
      </c>
      <c r="C31" s="11"/>
      <c r="D31" s="3">
        <v>0</v>
      </c>
      <c r="E31" s="3"/>
      <c r="F31" s="19">
        <f t="shared" si="4"/>
        <v>0</v>
      </c>
      <c r="G31" s="3"/>
      <c r="H31" s="3"/>
      <c r="I31" s="3"/>
      <c r="J31" s="19">
        <f t="shared" si="5"/>
        <v>0</v>
      </c>
      <c r="K31" s="3"/>
      <c r="L31" s="3">
        <f t="shared" si="6"/>
        <v>0</v>
      </c>
      <c r="M31" s="3"/>
      <c r="N31" s="19">
        <f t="shared" si="7"/>
        <v>0</v>
      </c>
      <c r="O31" s="11"/>
      <c r="P31" s="3">
        <v>0</v>
      </c>
      <c r="Q31" s="3"/>
      <c r="R31" s="19">
        <f t="shared" si="8"/>
        <v>0</v>
      </c>
      <c r="S31" s="3"/>
      <c r="T31" s="3"/>
      <c r="U31" s="3"/>
      <c r="V31" s="19">
        <f t="shared" si="9"/>
        <v>0</v>
      </c>
      <c r="W31" s="3"/>
      <c r="X31" s="3">
        <f t="shared" si="10"/>
        <v>0</v>
      </c>
      <c r="Y31" s="3"/>
      <c r="Z31" s="19">
        <f t="shared" si="11"/>
        <v>0</v>
      </c>
    </row>
    <row r="32" spans="1:26" s="24" customFormat="1" hidden="1" outlineLevel="1" x14ac:dyDescent="0.3">
      <c r="A32" s="44"/>
      <c r="B32" s="11" t="str">
        <f>CONCATENATE("          ", "5044", " - ", "PURCHASES @ COST-ACCESSORIES")</f>
        <v xml:space="preserve">          5044 - PURCHASES @ COST-ACCESSORIES</v>
      </c>
      <c r="C32" s="11"/>
      <c r="D32" s="3">
        <v>0</v>
      </c>
      <c r="E32" s="3"/>
      <c r="F32" s="19">
        <f t="shared" si="4"/>
        <v>0</v>
      </c>
      <c r="G32" s="3"/>
      <c r="H32" s="3"/>
      <c r="I32" s="3"/>
      <c r="J32" s="19">
        <f t="shared" si="5"/>
        <v>0</v>
      </c>
      <c r="K32" s="3"/>
      <c r="L32" s="3">
        <f t="shared" si="6"/>
        <v>0</v>
      </c>
      <c r="M32" s="3"/>
      <c r="N32" s="19">
        <f t="shared" si="7"/>
        <v>0</v>
      </c>
      <c r="O32" s="11"/>
      <c r="P32" s="3">
        <v>0</v>
      </c>
      <c r="Q32" s="3"/>
      <c r="R32" s="19">
        <f t="shared" si="8"/>
        <v>0</v>
      </c>
      <c r="S32" s="3"/>
      <c r="T32" s="3"/>
      <c r="U32" s="3"/>
      <c r="V32" s="19">
        <f t="shared" si="9"/>
        <v>0</v>
      </c>
      <c r="W32" s="3"/>
      <c r="X32" s="3">
        <f t="shared" si="10"/>
        <v>0</v>
      </c>
      <c r="Y32" s="3"/>
      <c r="Z32" s="19">
        <f t="shared" si="11"/>
        <v>0</v>
      </c>
    </row>
    <row r="33" spans="1:26" s="24" customFormat="1" hidden="1" outlineLevel="1" x14ac:dyDescent="0.3">
      <c r="A33" s="44"/>
      <c r="B33" s="11" t="str">
        <f>CONCATENATE("          ", "5045", " - ", "PURCHASES @ COST-SPECIAL ORDER")</f>
        <v xml:space="preserve">          5045 - PURCHASES @ COST-SPECIAL ORDER</v>
      </c>
      <c r="C33" s="11"/>
      <c r="D33" s="3">
        <v>0</v>
      </c>
      <c r="E33" s="3"/>
      <c r="F33" s="19">
        <f t="shared" si="4"/>
        <v>0</v>
      </c>
      <c r="G33" s="3"/>
      <c r="H33" s="3"/>
      <c r="I33" s="3"/>
      <c r="J33" s="19">
        <f t="shared" si="5"/>
        <v>0</v>
      </c>
      <c r="K33" s="3"/>
      <c r="L33" s="3">
        <f t="shared" si="6"/>
        <v>0</v>
      </c>
      <c r="M33" s="3"/>
      <c r="N33" s="19">
        <f t="shared" si="7"/>
        <v>0</v>
      </c>
      <c r="O33" s="11"/>
      <c r="P33" s="3">
        <v>0</v>
      </c>
      <c r="Q33" s="3"/>
      <c r="R33" s="19">
        <f t="shared" si="8"/>
        <v>0</v>
      </c>
      <c r="S33" s="3"/>
      <c r="T33" s="3"/>
      <c r="U33" s="3"/>
      <c r="V33" s="19">
        <f t="shared" si="9"/>
        <v>0</v>
      </c>
      <c r="W33" s="3"/>
      <c r="X33" s="3">
        <f t="shared" si="10"/>
        <v>0</v>
      </c>
      <c r="Y33" s="3"/>
      <c r="Z33" s="19">
        <f t="shared" si="11"/>
        <v>0</v>
      </c>
    </row>
    <row r="34" spans="1:26" s="24" customFormat="1" hidden="1" outlineLevel="1" x14ac:dyDescent="0.3">
      <c r="A34" s="44"/>
      <c r="B34" s="11" t="str">
        <f>CONCATENATE("          ", "5053", " - ", "PURCHASES @ COST-FOOD")</f>
        <v xml:space="preserve">          5053 - PURCHASES @ COST-FOOD</v>
      </c>
      <c r="C34" s="11"/>
      <c r="D34" s="3">
        <v>26193.22</v>
      </c>
      <c r="E34" s="3"/>
      <c r="F34" s="19">
        <f t="shared" si="4"/>
        <v>5.1955296247828874E-2</v>
      </c>
      <c r="G34" s="3"/>
      <c r="H34" s="3"/>
      <c r="I34" s="3"/>
      <c r="J34" s="19">
        <f t="shared" si="5"/>
        <v>0</v>
      </c>
      <c r="K34" s="3"/>
      <c r="L34" s="3">
        <f t="shared" si="6"/>
        <v>26193.22</v>
      </c>
      <c r="M34" s="3"/>
      <c r="N34" s="19">
        <f t="shared" si="7"/>
        <v>0</v>
      </c>
      <c r="O34" s="11"/>
      <c r="P34" s="3">
        <v>26193.22</v>
      </c>
      <c r="Q34" s="3"/>
      <c r="R34" s="19">
        <f t="shared" si="8"/>
        <v>5.1955296247828874E-2</v>
      </c>
      <c r="S34" s="3"/>
      <c r="T34" s="3"/>
      <c r="U34" s="3"/>
      <c r="V34" s="19">
        <f t="shared" si="9"/>
        <v>0</v>
      </c>
      <c r="W34" s="3"/>
      <c r="X34" s="3">
        <f t="shared" si="10"/>
        <v>26193.22</v>
      </c>
      <c r="Y34" s="3"/>
      <c r="Z34" s="19">
        <f t="shared" si="11"/>
        <v>0</v>
      </c>
    </row>
    <row r="35" spans="1:26" s="24" customFormat="1" hidden="1" outlineLevel="1" x14ac:dyDescent="0.3">
      <c r="A35" s="44"/>
      <c r="B35" s="11" t="str">
        <f>CONCATENATE("          ", "5059", " - ", "PURCHASES @ COST-FOOD")</f>
        <v xml:space="preserve">          5059 - PURCHASES @ COST-FOOD</v>
      </c>
      <c r="C35" s="11"/>
      <c r="D35" s="3">
        <v>-4005</v>
      </c>
      <c r="E35" s="3"/>
      <c r="F35" s="19">
        <f t="shared" si="4"/>
        <v>-7.9440771876292653E-3</v>
      </c>
      <c r="G35" s="3"/>
      <c r="H35" s="3"/>
      <c r="I35" s="3"/>
      <c r="J35" s="19">
        <f t="shared" si="5"/>
        <v>0</v>
      </c>
      <c r="K35" s="3"/>
      <c r="L35" s="3">
        <f t="shared" si="6"/>
        <v>-4005</v>
      </c>
      <c r="M35" s="3"/>
      <c r="N35" s="19">
        <f t="shared" si="7"/>
        <v>0</v>
      </c>
      <c r="O35" s="11"/>
      <c r="P35" s="3">
        <v>-4005</v>
      </c>
      <c r="Q35" s="3"/>
      <c r="R35" s="19">
        <f t="shared" si="8"/>
        <v>-7.9440771876292653E-3</v>
      </c>
      <c r="S35" s="3"/>
      <c r="T35" s="3"/>
      <c r="U35" s="3"/>
      <c r="V35" s="19">
        <f t="shared" si="9"/>
        <v>0</v>
      </c>
      <c r="W35" s="3"/>
      <c r="X35" s="3">
        <f t="shared" si="10"/>
        <v>-4005</v>
      </c>
      <c r="Y35" s="3"/>
      <c r="Z35" s="19">
        <f t="shared" si="11"/>
        <v>0</v>
      </c>
    </row>
    <row r="36" spans="1:26" s="24" customFormat="1" hidden="1" outlineLevel="1" x14ac:dyDescent="0.3">
      <c r="A36" s="44"/>
      <c r="B36" s="11" t="str">
        <f>CONCATENATE("          ", "5081", " - ", "PURCHASES @ COST-ELECTRONICS")</f>
        <v xml:space="preserve">          5081 - PURCHASES @ COST-ELECTRONICS</v>
      </c>
      <c r="C36" s="11"/>
      <c r="D36" s="3">
        <v>0</v>
      </c>
      <c r="E36" s="3"/>
      <c r="F36" s="19">
        <f t="shared" si="4"/>
        <v>0</v>
      </c>
      <c r="G36" s="3"/>
      <c r="H36" s="3"/>
      <c r="I36" s="3"/>
      <c r="J36" s="19">
        <f t="shared" si="5"/>
        <v>0</v>
      </c>
      <c r="K36" s="3"/>
      <c r="L36" s="3">
        <f t="shared" si="6"/>
        <v>0</v>
      </c>
      <c r="M36" s="3"/>
      <c r="N36" s="19">
        <f t="shared" si="7"/>
        <v>0</v>
      </c>
      <c r="O36" s="11"/>
      <c r="P36" s="3">
        <v>0</v>
      </c>
      <c r="Q36" s="3"/>
      <c r="R36" s="19">
        <f t="shared" si="8"/>
        <v>0</v>
      </c>
      <c r="S36" s="3"/>
      <c r="T36" s="3"/>
      <c r="U36" s="3"/>
      <c r="V36" s="19">
        <f t="shared" si="9"/>
        <v>0</v>
      </c>
      <c r="W36" s="3"/>
      <c r="X36" s="3">
        <f t="shared" si="10"/>
        <v>0</v>
      </c>
      <c r="Y36" s="3"/>
      <c r="Z36" s="19">
        <f t="shared" si="11"/>
        <v>0</v>
      </c>
    </row>
    <row r="37" spans="1:26" s="24" customFormat="1" hidden="1" outlineLevel="1" x14ac:dyDescent="0.3">
      <c r="A37" s="44"/>
      <c r="B37" s="11" t="str">
        <f>CONCATENATE("          ", "5082", " - ", "PURCHASES @ COST-COMPUTER HARD")</f>
        <v xml:space="preserve">          5082 - PURCHASES @ COST-COMPUTER HARD</v>
      </c>
      <c r="C37" s="11"/>
      <c r="D37" s="3">
        <v>-10902.62</v>
      </c>
      <c r="E37" s="3"/>
      <c r="F37" s="19">
        <f t="shared" si="4"/>
        <v>-2.1625781479997649E-2</v>
      </c>
      <c r="G37" s="3"/>
      <c r="H37" s="3"/>
      <c r="I37" s="3"/>
      <c r="J37" s="19">
        <f t="shared" si="5"/>
        <v>0</v>
      </c>
      <c r="K37" s="3"/>
      <c r="L37" s="3">
        <f t="shared" si="6"/>
        <v>-10902.62</v>
      </c>
      <c r="M37" s="3"/>
      <c r="N37" s="19">
        <f t="shared" si="7"/>
        <v>0</v>
      </c>
      <c r="O37" s="11"/>
      <c r="P37" s="3">
        <v>-10902.62</v>
      </c>
      <c r="Q37" s="3"/>
      <c r="R37" s="19">
        <f t="shared" si="8"/>
        <v>-2.1625781479997649E-2</v>
      </c>
      <c r="S37" s="3"/>
      <c r="T37" s="3"/>
      <c r="U37" s="3"/>
      <c r="V37" s="19">
        <f t="shared" si="9"/>
        <v>0</v>
      </c>
      <c r="W37" s="3"/>
      <c r="X37" s="3">
        <f t="shared" si="10"/>
        <v>-10902.62</v>
      </c>
      <c r="Y37" s="3"/>
      <c r="Z37" s="19">
        <f t="shared" si="11"/>
        <v>0</v>
      </c>
    </row>
    <row r="38" spans="1:26" s="24" customFormat="1" hidden="1" outlineLevel="1" x14ac:dyDescent="0.3">
      <c r="A38" s="44"/>
      <c r="B38" s="11" t="str">
        <f>CONCATENATE("          ", "5083", " - ", "PURCHASES @ COST-COMPUTER EQUI")</f>
        <v xml:space="preserve">          5083 - PURCHASES @ COST-COMPUTER EQUI</v>
      </c>
      <c r="C38" s="11"/>
      <c r="D38" s="3">
        <v>0</v>
      </c>
      <c r="E38" s="3"/>
      <c r="F38" s="19">
        <f t="shared" si="4"/>
        <v>0</v>
      </c>
      <c r="G38" s="3"/>
      <c r="H38" s="3"/>
      <c r="I38" s="3"/>
      <c r="J38" s="19">
        <f t="shared" si="5"/>
        <v>0</v>
      </c>
      <c r="K38" s="3"/>
      <c r="L38" s="3">
        <f t="shared" si="6"/>
        <v>0</v>
      </c>
      <c r="M38" s="3"/>
      <c r="N38" s="19">
        <f t="shared" si="7"/>
        <v>0</v>
      </c>
      <c r="O38" s="11"/>
      <c r="P38" s="3">
        <v>0</v>
      </c>
      <c r="Q38" s="3"/>
      <c r="R38" s="19">
        <f t="shared" si="8"/>
        <v>0</v>
      </c>
      <c r="S38" s="3"/>
      <c r="T38" s="3"/>
      <c r="U38" s="3"/>
      <c r="V38" s="19">
        <f t="shared" si="9"/>
        <v>0</v>
      </c>
      <c r="W38" s="3"/>
      <c r="X38" s="3">
        <f t="shared" si="10"/>
        <v>0</v>
      </c>
      <c r="Y38" s="3"/>
      <c r="Z38" s="19">
        <f t="shared" si="11"/>
        <v>0</v>
      </c>
    </row>
    <row r="39" spans="1:26" s="24" customFormat="1" hidden="1" outlineLevel="1" x14ac:dyDescent="0.3">
      <c r="A39" s="44"/>
      <c r="B39" s="11" t="str">
        <f>CONCATENATE("          ", "5085", " - ", "PURCHASES @ COST-SOFTWARE")</f>
        <v xml:space="preserve">          5085 - PURCHASES @ COST-SOFTWARE</v>
      </c>
      <c r="C39" s="11"/>
      <c r="D39" s="3">
        <v>0</v>
      </c>
      <c r="E39" s="3"/>
      <c r="F39" s="19">
        <f t="shared" si="4"/>
        <v>0</v>
      </c>
      <c r="G39" s="3"/>
      <c r="H39" s="3"/>
      <c r="I39" s="3"/>
      <c r="J39" s="19">
        <f t="shared" si="5"/>
        <v>0</v>
      </c>
      <c r="K39" s="3"/>
      <c r="L39" s="3">
        <f t="shared" si="6"/>
        <v>0</v>
      </c>
      <c r="M39" s="3"/>
      <c r="N39" s="19">
        <f t="shared" si="7"/>
        <v>0</v>
      </c>
      <c r="O39" s="11"/>
      <c r="P39" s="3">
        <v>0</v>
      </c>
      <c r="Q39" s="3"/>
      <c r="R39" s="19">
        <f t="shared" si="8"/>
        <v>0</v>
      </c>
      <c r="S39" s="3"/>
      <c r="T39" s="3"/>
      <c r="U39" s="3"/>
      <c r="V39" s="19">
        <f t="shared" si="9"/>
        <v>0</v>
      </c>
      <c r="W39" s="3"/>
      <c r="X39" s="3">
        <f t="shared" si="10"/>
        <v>0</v>
      </c>
      <c r="Y39" s="3"/>
      <c r="Z39" s="19">
        <f t="shared" si="11"/>
        <v>0</v>
      </c>
    </row>
    <row r="40" spans="1:26" s="24" customFormat="1" hidden="1" outlineLevel="1" x14ac:dyDescent="0.3">
      <c r="A40" s="44"/>
      <c r="B40" s="11" t="str">
        <f>CONCATENATE("          ", "5086", " - ", "PURCHASES @ COST-COMPUTER SUPP")</f>
        <v xml:space="preserve">          5086 - PURCHASES @ COST-COMPUTER SUPP</v>
      </c>
      <c r="C40" s="11"/>
      <c r="D40" s="3">
        <v>0</v>
      </c>
      <c r="E40" s="3"/>
      <c r="F40" s="19">
        <f t="shared" si="4"/>
        <v>0</v>
      </c>
      <c r="G40" s="3"/>
      <c r="H40" s="3"/>
      <c r="I40" s="3"/>
      <c r="J40" s="19">
        <f t="shared" si="5"/>
        <v>0</v>
      </c>
      <c r="K40" s="3"/>
      <c r="L40" s="3">
        <f t="shared" si="6"/>
        <v>0</v>
      </c>
      <c r="M40" s="3"/>
      <c r="N40" s="19">
        <f t="shared" si="7"/>
        <v>0</v>
      </c>
      <c r="O40" s="11"/>
      <c r="P40" s="3">
        <v>0</v>
      </c>
      <c r="Q40" s="3"/>
      <c r="R40" s="19">
        <f t="shared" si="8"/>
        <v>0</v>
      </c>
      <c r="S40" s="3"/>
      <c r="T40" s="3"/>
      <c r="U40" s="3"/>
      <c r="V40" s="19">
        <f t="shared" si="9"/>
        <v>0</v>
      </c>
      <c r="W40" s="3"/>
      <c r="X40" s="3">
        <f t="shared" si="10"/>
        <v>0</v>
      </c>
      <c r="Y40" s="3"/>
      <c r="Z40" s="19">
        <f t="shared" si="11"/>
        <v>0</v>
      </c>
    </row>
    <row r="41" spans="1:26" s="24" customFormat="1" hidden="1" outlineLevel="1" x14ac:dyDescent="0.3">
      <c r="A41" s="44"/>
      <c r="B41" s="11" t="str">
        <f>CONCATENATE("          ", "5200", " - ", "PURCHASES OFFSET")</f>
        <v xml:space="preserve">          5200 - PURCHASES OFFSET</v>
      </c>
      <c r="C41" s="11"/>
      <c r="D41" s="3">
        <v>-443731.32</v>
      </c>
      <c r="E41" s="3"/>
      <c r="F41" s="19">
        <f t="shared" si="4"/>
        <v>-0.88015876570502416</v>
      </c>
      <c r="G41" s="3"/>
      <c r="H41" s="3"/>
      <c r="I41" s="3"/>
      <c r="J41" s="19">
        <f t="shared" si="5"/>
        <v>0</v>
      </c>
      <c r="K41" s="3"/>
      <c r="L41" s="3">
        <f t="shared" si="6"/>
        <v>-443731.32</v>
      </c>
      <c r="M41" s="3"/>
      <c r="N41" s="19">
        <f t="shared" si="7"/>
        <v>0</v>
      </c>
      <c r="O41" s="11"/>
      <c r="P41" s="3">
        <v>-443731.32</v>
      </c>
      <c r="Q41" s="3"/>
      <c r="R41" s="19">
        <f t="shared" si="8"/>
        <v>-0.88015876570502416</v>
      </c>
      <c r="S41" s="3"/>
      <c r="T41" s="3"/>
      <c r="U41" s="3"/>
      <c r="V41" s="19">
        <f t="shared" si="9"/>
        <v>0</v>
      </c>
      <c r="W41" s="3"/>
      <c r="X41" s="3">
        <f t="shared" si="10"/>
        <v>-443731.32</v>
      </c>
      <c r="Y41" s="3"/>
      <c r="Z41" s="19">
        <f t="shared" si="11"/>
        <v>0</v>
      </c>
    </row>
    <row r="42" spans="1:26" s="24" customFormat="1" hidden="1" outlineLevel="1" x14ac:dyDescent="0.3">
      <c r="A42" s="44"/>
      <c r="B42" s="11" t="str">
        <f>CONCATENATE("          ", "5300", " - ", "COG$ OFFSET")</f>
        <v xml:space="preserve">          5300 - COG$ OFFSET</v>
      </c>
      <c r="C42" s="11"/>
      <c r="D42" s="3">
        <v>218685.5</v>
      </c>
      <c r="E42" s="3"/>
      <c r="F42" s="19">
        <f t="shared" si="4"/>
        <v>0.43377140869295877</v>
      </c>
      <c r="G42" s="3"/>
      <c r="H42" s="3"/>
      <c r="I42" s="3"/>
      <c r="J42" s="19">
        <f t="shared" si="5"/>
        <v>0</v>
      </c>
      <c r="K42" s="3"/>
      <c r="L42" s="3">
        <f t="shared" si="6"/>
        <v>218685.5</v>
      </c>
      <c r="M42" s="3"/>
      <c r="N42" s="19">
        <f t="shared" si="7"/>
        <v>0</v>
      </c>
      <c r="O42" s="11"/>
      <c r="P42" s="3">
        <v>218685.5</v>
      </c>
      <c r="Q42" s="3"/>
      <c r="R42" s="19">
        <f t="shared" si="8"/>
        <v>0.43377140869295877</v>
      </c>
      <c r="S42" s="3"/>
      <c r="T42" s="3"/>
      <c r="U42" s="3"/>
      <c r="V42" s="19">
        <f t="shared" si="9"/>
        <v>0</v>
      </c>
      <c r="W42" s="3"/>
      <c r="X42" s="3">
        <f t="shared" si="10"/>
        <v>218685.5</v>
      </c>
      <c r="Y42" s="3"/>
      <c r="Z42" s="19">
        <f t="shared" si="11"/>
        <v>0</v>
      </c>
    </row>
    <row r="43" spans="1:26" s="24" customFormat="1" hidden="1" outlineLevel="1" x14ac:dyDescent="0.3">
      <c r="A43" s="44"/>
      <c r="B43" s="11" t="str">
        <f>CONCATENATE("          ", "5500", " - ", "FREIGHT-IN")</f>
        <v xml:space="preserve">          5500 - FREIGHT-IN</v>
      </c>
      <c r="C43" s="11"/>
      <c r="D43" s="3">
        <v>3605.14</v>
      </c>
      <c r="E43" s="3"/>
      <c r="F43" s="19">
        <f t="shared" si="4"/>
        <v>7.1509389343844621E-3</v>
      </c>
      <c r="G43" s="3"/>
      <c r="H43" s="3"/>
      <c r="I43" s="3"/>
      <c r="J43" s="19">
        <f t="shared" si="5"/>
        <v>0</v>
      </c>
      <c r="K43" s="3"/>
      <c r="L43" s="3">
        <f t="shared" si="6"/>
        <v>3605.14</v>
      </c>
      <c r="M43" s="3"/>
      <c r="N43" s="19">
        <f t="shared" si="7"/>
        <v>0</v>
      </c>
      <c r="O43" s="11"/>
      <c r="P43" s="3">
        <v>3605.14</v>
      </c>
      <c r="Q43" s="3"/>
      <c r="R43" s="19">
        <f t="shared" si="8"/>
        <v>7.1509389343844621E-3</v>
      </c>
      <c r="S43" s="3"/>
      <c r="T43" s="3"/>
      <c r="U43" s="3"/>
      <c r="V43" s="19">
        <f t="shared" si="9"/>
        <v>0</v>
      </c>
      <c r="W43" s="3"/>
      <c r="X43" s="3">
        <f t="shared" si="10"/>
        <v>3605.14</v>
      </c>
      <c r="Y43" s="3"/>
      <c r="Z43" s="19">
        <f t="shared" si="11"/>
        <v>0</v>
      </c>
    </row>
    <row r="44" spans="1:26" s="24" customFormat="1" hidden="1" outlineLevel="1" x14ac:dyDescent="0.3">
      <c r="A44" s="44"/>
      <c r="B44" s="11" t="str">
        <f>CONCATENATE("          ", "5501", " - ", "FREIGHT-IN-NEW TEXT")</f>
        <v xml:space="preserve">          5501 - FREIGHT-IN-NEW TEXT</v>
      </c>
      <c r="C44" s="11"/>
      <c r="D44" s="3">
        <v>0</v>
      </c>
      <c r="E44" s="3"/>
      <c r="F44" s="19">
        <f t="shared" si="4"/>
        <v>0</v>
      </c>
      <c r="G44" s="3"/>
      <c r="H44" s="3"/>
      <c r="I44" s="3"/>
      <c r="J44" s="19">
        <f t="shared" si="5"/>
        <v>0</v>
      </c>
      <c r="K44" s="3"/>
      <c r="L44" s="3">
        <f t="shared" si="6"/>
        <v>0</v>
      </c>
      <c r="M44" s="3"/>
      <c r="N44" s="19">
        <f t="shared" si="7"/>
        <v>0</v>
      </c>
      <c r="O44" s="11"/>
      <c r="P44" s="3">
        <v>0</v>
      </c>
      <c r="Q44" s="3"/>
      <c r="R44" s="19">
        <f t="shared" si="8"/>
        <v>0</v>
      </c>
      <c r="S44" s="3"/>
      <c r="T44" s="3"/>
      <c r="U44" s="3"/>
      <c r="V44" s="19">
        <f t="shared" si="9"/>
        <v>0</v>
      </c>
      <c r="W44" s="3"/>
      <c r="X44" s="3">
        <f t="shared" si="10"/>
        <v>0</v>
      </c>
      <c r="Y44" s="3"/>
      <c r="Z44" s="19">
        <f t="shared" si="11"/>
        <v>0</v>
      </c>
    </row>
    <row r="45" spans="1:26" s="24" customFormat="1" hidden="1" outlineLevel="1" x14ac:dyDescent="0.3">
      <c r="A45" s="44"/>
      <c r="B45" s="11" t="str">
        <f>CONCATENATE("          ", "5502", " - ", "FREIGHT-IN-USED TEXT")</f>
        <v xml:space="preserve">          5502 - FREIGHT-IN-USED TEXT</v>
      </c>
      <c r="C45" s="11"/>
      <c r="D45" s="3">
        <v>0</v>
      </c>
      <c r="E45" s="3"/>
      <c r="F45" s="19">
        <f t="shared" si="4"/>
        <v>0</v>
      </c>
      <c r="G45" s="3"/>
      <c r="H45" s="3"/>
      <c r="I45" s="3"/>
      <c r="J45" s="19">
        <f t="shared" si="5"/>
        <v>0</v>
      </c>
      <c r="K45" s="3"/>
      <c r="L45" s="3">
        <f t="shared" si="6"/>
        <v>0</v>
      </c>
      <c r="M45" s="3"/>
      <c r="N45" s="19">
        <f t="shared" si="7"/>
        <v>0</v>
      </c>
      <c r="O45" s="11"/>
      <c r="P45" s="3">
        <v>0</v>
      </c>
      <c r="Q45" s="3"/>
      <c r="R45" s="19">
        <f t="shared" si="8"/>
        <v>0</v>
      </c>
      <c r="S45" s="3"/>
      <c r="T45" s="3"/>
      <c r="U45" s="3"/>
      <c r="V45" s="19">
        <f t="shared" si="9"/>
        <v>0</v>
      </c>
      <c r="W45" s="3"/>
      <c r="X45" s="3">
        <f t="shared" si="10"/>
        <v>0</v>
      </c>
      <c r="Y45" s="3"/>
      <c r="Z45" s="19">
        <f t="shared" si="11"/>
        <v>0</v>
      </c>
    </row>
    <row r="46" spans="1:26" s="24" customFormat="1" hidden="1" outlineLevel="1" x14ac:dyDescent="0.3">
      <c r="A46" s="44"/>
      <c r="B46" s="11" t="str">
        <f>CONCATENATE("          ", "5518", " - ", "FREIGHT-IN-STUDY GUIDES")</f>
        <v xml:space="preserve">          5518 - FREIGHT-IN-STUDY GUIDES</v>
      </c>
      <c r="C46" s="11"/>
      <c r="D46" s="3">
        <v>0</v>
      </c>
      <c r="E46" s="3"/>
      <c r="F46" s="19">
        <f t="shared" si="4"/>
        <v>0</v>
      </c>
      <c r="G46" s="3"/>
      <c r="H46" s="3"/>
      <c r="I46" s="3"/>
      <c r="J46" s="19">
        <f t="shared" si="5"/>
        <v>0</v>
      </c>
      <c r="K46" s="3"/>
      <c r="L46" s="3">
        <f t="shared" si="6"/>
        <v>0</v>
      </c>
      <c r="M46" s="3"/>
      <c r="N46" s="19">
        <f t="shared" si="7"/>
        <v>0</v>
      </c>
      <c r="O46" s="11"/>
      <c r="P46" s="3">
        <v>0</v>
      </c>
      <c r="Q46" s="3"/>
      <c r="R46" s="19">
        <f t="shared" si="8"/>
        <v>0</v>
      </c>
      <c r="S46" s="3"/>
      <c r="T46" s="3"/>
      <c r="U46" s="3"/>
      <c r="V46" s="19">
        <f t="shared" si="9"/>
        <v>0</v>
      </c>
      <c r="W46" s="3"/>
      <c r="X46" s="3">
        <f t="shared" si="10"/>
        <v>0</v>
      </c>
      <c r="Y46" s="3"/>
      <c r="Z46" s="19">
        <f t="shared" si="11"/>
        <v>0</v>
      </c>
    </row>
    <row r="47" spans="1:26" s="24" customFormat="1" hidden="1" outlineLevel="1" x14ac:dyDescent="0.3">
      <c r="A47" s="44"/>
      <c r="B47" s="11" t="str">
        <f>CONCATENATE("          ", "5540", " - ", "FREIGHT-IN-LOGO CLOTHING")</f>
        <v xml:space="preserve">          5540 - FREIGHT-IN-LOGO CLOTHING</v>
      </c>
      <c r="C47" s="11"/>
      <c r="D47" s="3">
        <v>0</v>
      </c>
      <c r="E47" s="3"/>
      <c r="F47" s="19">
        <f t="shared" si="4"/>
        <v>0</v>
      </c>
      <c r="G47" s="3"/>
      <c r="H47" s="3"/>
      <c r="I47" s="3"/>
      <c r="J47" s="19">
        <f t="shared" si="5"/>
        <v>0</v>
      </c>
      <c r="K47" s="3"/>
      <c r="L47" s="3">
        <f t="shared" si="6"/>
        <v>0</v>
      </c>
      <c r="M47" s="3"/>
      <c r="N47" s="19">
        <f t="shared" si="7"/>
        <v>0</v>
      </c>
      <c r="O47" s="11"/>
      <c r="P47" s="3">
        <v>0</v>
      </c>
      <c r="Q47" s="3"/>
      <c r="R47" s="19">
        <f t="shared" si="8"/>
        <v>0</v>
      </c>
      <c r="S47" s="3"/>
      <c r="T47" s="3"/>
      <c r="U47" s="3"/>
      <c r="V47" s="19">
        <f t="shared" si="9"/>
        <v>0</v>
      </c>
      <c r="W47" s="3"/>
      <c r="X47" s="3">
        <f t="shared" si="10"/>
        <v>0</v>
      </c>
      <c r="Y47" s="3"/>
      <c r="Z47" s="19">
        <f t="shared" si="11"/>
        <v>0</v>
      </c>
    </row>
    <row r="48" spans="1:26" s="24" customFormat="1" hidden="1" outlineLevel="1" x14ac:dyDescent="0.3">
      <c r="A48" s="44"/>
      <c r="B48" s="11" t="str">
        <f>CONCATENATE("          ", "5541", " - ", "FREIGHT-IN-LOGO GIFTS")</f>
        <v xml:space="preserve">          5541 - FREIGHT-IN-LOGO GIFTS</v>
      </c>
      <c r="C48" s="11"/>
      <c r="D48" s="3">
        <v>0</v>
      </c>
      <c r="E48" s="3"/>
      <c r="F48" s="19">
        <f t="shared" si="4"/>
        <v>0</v>
      </c>
      <c r="G48" s="3"/>
      <c r="H48" s="3"/>
      <c r="I48" s="3"/>
      <c r="J48" s="19">
        <f t="shared" si="5"/>
        <v>0</v>
      </c>
      <c r="K48" s="3"/>
      <c r="L48" s="3">
        <f t="shared" si="6"/>
        <v>0</v>
      </c>
      <c r="M48" s="3"/>
      <c r="N48" s="19">
        <f t="shared" si="7"/>
        <v>0</v>
      </c>
      <c r="O48" s="11"/>
      <c r="P48" s="3">
        <v>0</v>
      </c>
      <c r="Q48" s="3"/>
      <c r="R48" s="19">
        <f t="shared" si="8"/>
        <v>0</v>
      </c>
      <c r="S48" s="3"/>
      <c r="T48" s="3"/>
      <c r="U48" s="3"/>
      <c r="V48" s="19">
        <f t="shared" si="9"/>
        <v>0</v>
      </c>
      <c r="W48" s="3"/>
      <c r="X48" s="3">
        <f t="shared" si="10"/>
        <v>0</v>
      </c>
      <c r="Y48" s="3"/>
      <c r="Z48" s="19">
        <f t="shared" si="11"/>
        <v>0</v>
      </c>
    </row>
    <row r="49" spans="1:26" s="24" customFormat="1" hidden="1" outlineLevel="1" x14ac:dyDescent="0.3">
      <c r="A49" s="44"/>
      <c r="B49" s="11" t="str">
        <f>CONCATENATE("          ", "5542", " - ", "FREIGHT-IN-EVERYDAY GIFTS")</f>
        <v xml:space="preserve">          5542 - FREIGHT-IN-EVERYDAY GIFTS</v>
      </c>
      <c r="C49" s="11"/>
      <c r="D49" s="3">
        <v>0</v>
      </c>
      <c r="E49" s="3"/>
      <c r="F49" s="19">
        <f t="shared" si="4"/>
        <v>0</v>
      </c>
      <c r="G49" s="3"/>
      <c r="H49" s="3"/>
      <c r="I49" s="3"/>
      <c r="J49" s="19">
        <f t="shared" si="5"/>
        <v>0</v>
      </c>
      <c r="K49" s="3"/>
      <c r="L49" s="3">
        <f t="shared" si="6"/>
        <v>0</v>
      </c>
      <c r="M49" s="3"/>
      <c r="N49" s="19">
        <f t="shared" si="7"/>
        <v>0</v>
      </c>
      <c r="O49" s="11"/>
      <c r="P49" s="3">
        <v>0</v>
      </c>
      <c r="Q49" s="3"/>
      <c r="R49" s="19">
        <f t="shared" si="8"/>
        <v>0</v>
      </c>
      <c r="S49" s="3"/>
      <c r="T49" s="3"/>
      <c r="U49" s="3"/>
      <c r="V49" s="19">
        <f t="shared" si="9"/>
        <v>0</v>
      </c>
      <c r="W49" s="3"/>
      <c r="X49" s="3">
        <f t="shared" si="10"/>
        <v>0</v>
      </c>
      <c r="Y49" s="3"/>
      <c r="Z49" s="19">
        <f t="shared" si="11"/>
        <v>0</v>
      </c>
    </row>
    <row r="50" spans="1:26" s="24" customFormat="1" hidden="1" outlineLevel="1" x14ac:dyDescent="0.3">
      <c r="A50" s="44"/>
      <c r="B50" s="11" t="str">
        <f>CONCATENATE("          ", "5544", " - ", "FREIGHT-IN-ACCESSORIES")</f>
        <v xml:space="preserve">          5544 - FREIGHT-IN-ACCESSORIES</v>
      </c>
      <c r="C50" s="11"/>
      <c r="D50" s="3">
        <v>0</v>
      </c>
      <c r="E50" s="3"/>
      <c r="F50" s="19">
        <f t="shared" si="4"/>
        <v>0</v>
      </c>
      <c r="G50" s="3"/>
      <c r="H50" s="3"/>
      <c r="I50" s="3"/>
      <c r="J50" s="19">
        <f t="shared" si="5"/>
        <v>0</v>
      </c>
      <c r="K50" s="3"/>
      <c r="L50" s="3">
        <f t="shared" si="6"/>
        <v>0</v>
      </c>
      <c r="M50" s="3"/>
      <c r="N50" s="19">
        <f t="shared" si="7"/>
        <v>0</v>
      </c>
      <c r="O50" s="11"/>
      <c r="P50" s="3">
        <v>0</v>
      </c>
      <c r="Q50" s="3"/>
      <c r="R50" s="19">
        <f t="shared" si="8"/>
        <v>0</v>
      </c>
      <c r="S50" s="3"/>
      <c r="T50" s="3"/>
      <c r="U50" s="3"/>
      <c r="V50" s="19">
        <f t="shared" si="9"/>
        <v>0</v>
      </c>
      <c r="W50" s="3"/>
      <c r="X50" s="3">
        <f t="shared" si="10"/>
        <v>0</v>
      </c>
      <c r="Y50" s="3"/>
      <c r="Z50" s="19">
        <f t="shared" si="11"/>
        <v>0</v>
      </c>
    </row>
    <row r="51" spans="1:26" s="24" customFormat="1" hidden="1" outlineLevel="1" x14ac:dyDescent="0.3">
      <c r="A51" s="44"/>
      <c r="B51" s="11" t="str">
        <f>CONCATENATE("          ", "5545", " - ", "FREIGHT-IN-SPECIAL ORDERS")</f>
        <v xml:space="preserve">          5545 - FREIGHT-IN-SPECIAL ORDERS</v>
      </c>
      <c r="C51" s="11"/>
      <c r="D51" s="3">
        <v>0</v>
      </c>
      <c r="E51" s="3"/>
      <c r="F51" s="19">
        <f t="shared" si="4"/>
        <v>0</v>
      </c>
      <c r="G51" s="3"/>
      <c r="H51" s="3"/>
      <c r="I51" s="3"/>
      <c r="J51" s="19">
        <f t="shared" si="5"/>
        <v>0</v>
      </c>
      <c r="K51" s="3"/>
      <c r="L51" s="3">
        <f t="shared" si="6"/>
        <v>0</v>
      </c>
      <c r="M51" s="3"/>
      <c r="N51" s="19">
        <f t="shared" si="7"/>
        <v>0</v>
      </c>
      <c r="O51" s="11"/>
      <c r="P51" s="3">
        <v>0</v>
      </c>
      <c r="Q51" s="3"/>
      <c r="R51" s="19">
        <f t="shared" si="8"/>
        <v>0</v>
      </c>
      <c r="S51" s="3"/>
      <c r="T51" s="3"/>
      <c r="U51" s="3"/>
      <c r="V51" s="19">
        <f t="shared" si="9"/>
        <v>0</v>
      </c>
      <c r="W51" s="3"/>
      <c r="X51" s="3">
        <f t="shared" si="10"/>
        <v>0</v>
      </c>
      <c r="Y51" s="3"/>
      <c r="Z51" s="19">
        <f t="shared" si="11"/>
        <v>0</v>
      </c>
    </row>
    <row r="52" spans="1:26" s="24" customFormat="1" hidden="1" outlineLevel="1" x14ac:dyDescent="0.3">
      <c r="A52" s="44"/>
      <c r="B52" s="11" t="str">
        <f>CONCATENATE("          ", "5583", " - ", "FREIGHT-IN-COMPUTER EQUIPMENT")</f>
        <v xml:space="preserve">          5583 - FREIGHT-IN-COMPUTER EQUIPMENT</v>
      </c>
      <c r="C52" s="11"/>
      <c r="D52" s="3">
        <v>0</v>
      </c>
      <c r="E52" s="3"/>
      <c r="F52" s="19">
        <f t="shared" si="4"/>
        <v>0</v>
      </c>
      <c r="G52" s="3"/>
      <c r="H52" s="3"/>
      <c r="I52" s="3"/>
      <c r="J52" s="19">
        <f t="shared" si="5"/>
        <v>0</v>
      </c>
      <c r="K52" s="3"/>
      <c r="L52" s="3">
        <f t="shared" si="6"/>
        <v>0</v>
      </c>
      <c r="M52" s="3"/>
      <c r="N52" s="19">
        <f t="shared" si="7"/>
        <v>0</v>
      </c>
      <c r="O52" s="11"/>
      <c r="P52" s="3">
        <v>0</v>
      </c>
      <c r="Q52" s="3"/>
      <c r="R52" s="19">
        <f t="shared" si="8"/>
        <v>0</v>
      </c>
      <c r="S52" s="3"/>
      <c r="T52" s="3"/>
      <c r="U52" s="3"/>
      <c r="V52" s="19">
        <f t="shared" si="9"/>
        <v>0</v>
      </c>
      <c r="W52" s="3"/>
      <c r="X52" s="3">
        <f t="shared" si="10"/>
        <v>0</v>
      </c>
      <c r="Y52" s="3"/>
      <c r="Z52" s="19">
        <f t="shared" si="11"/>
        <v>0</v>
      </c>
    </row>
    <row r="53" spans="1:26" x14ac:dyDescent="0.3">
      <c r="A53" s="9"/>
      <c r="B53" s="10"/>
      <c r="C53" s="10"/>
      <c r="D53" s="2"/>
      <c r="E53" s="2"/>
      <c r="F53" s="6"/>
      <c r="G53" s="2"/>
      <c r="H53" s="2"/>
      <c r="I53" s="2"/>
      <c r="J53" s="6"/>
      <c r="K53" s="2"/>
      <c r="L53" s="2"/>
      <c r="M53" s="2"/>
      <c r="N53" s="6"/>
      <c r="O53" s="10"/>
      <c r="P53" s="2"/>
      <c r="Q53" s="2"/>
      <c r="R53" s="6"/>
      <c r="S53" s="2"/>
      <c r="T53" s="2"/>
      <c r="U53" s="2"/>
      <c r="V53" s="6"/>
      <c r="W53" s="2"/>
      <c r="X53" s="2"/>
      <c r="Y53" s="2"/>
      <c r="Z53" s="6"/>
    </row>
    <row r="54" spans="1:26" s="23" customFormat="1" x14ac:dyDescent="0.3">
      <c r="A54" s="10"/>
      <c r="B54" s="26" t="s">
        <v>108</v>
      </c>
      <c r="C54" s="26"/>
      <c r="D54" s="21">
        <f>D12-D23</f>
        <v>272168.04999999987</v>
      </c>
      <c r="E54" s="13"/>
      <c r="F54" s="22">
        <f>IF(D$12=0,0,D54/D$12)</f>
        <v>0.53985617907778782</v>
      </c>
      <c r="G54" s="13"/>
      <c r="H54" s="21">
        <f>H12-H23</f>
        <v>202834</v>
      </c>
      <c r="I54" s="13"/>
      <c r="J54" s="22">
        <f>IF(H$12=0,0,H54/H$12)</f>
        <v>0.30803926690439021</v>
      </c>
      <c r="K54" s="16"/>
      <c r="L54" s="21">
        <f>+D54-H54</f>
        <v>69334.049999999872</v>
      </c>
      <c r="M54" s="16"/>
      <c r="N54" s="22">
        <f>IF(H54=0,0,L54/H54)</f>
        <v>0.34182656753798607</v>
      </c>
      <c r="O54" s="25"/>
      <c r="P54" s="21">
        <f>P12-P23</f>
        <v>272168.04999999987</v>
      </c>
      <c r="Q54" s="13"/>
      <c r="R54" s="22">
        <f>IF(P$12=0,0,P54/P$12)</f>
        <v>0.53985617907778782</v>
      </c>
      <c r="S54" s="13"/>
      <c r="T54" s="21">
        <f>T12-T23</f>
        <v>202834</v>
      </c>
      <c r="U54" s="13"/>
      <c r="V54" s="22">
        <f>IF(T$12=0,0,T54/T$12)</f>
        <v>0.30803926690439021</v>
      </c>
      <c r="W54" s="16"/>
      <c r="X54" s="21">
        <f>+P54-T54</f>
        <v>69334.049999999872</v>
      </c>
      <c r="Y54" s="16"/>
      <c r="Z54" s="22">
        <f>IF(T54=0,0,X54/T54)</f>
        <v>0.34182656753798607</v>
      </c>
    </row>
    <row r="55" spans="1:26" x14ac:dyDescent="0.3">
      <c r="A55" s="9"/>
      <c r="B55" s="10"/>
      <c r="C55" s="9"/>
      <c r="D55" s="1"/>
      <c r="E55" s="1"/>
      <c r="F55" s="5"/>
      <c r="G55" s="1"/>
      <c r="H55" s="1"/>
      <c r="I55" s="1"/>
      <c r="J55" s="5"/>
      <c r="K55" s="1"/>
      <c r="L55" s="1"/>
      <c r="M55" s="1"/>
      <c r="N55" s="5"/>
      <c r="O55" s="36"/>
      <c r="P55" s="1"/>
      <c r="Q55" s="1"/>
      <c r="R55" s="5"/>
      <c r="S55" s="1"/>
      <c r="T55" s="1"/>
      <c r="U55" s="1"/>
      <c r="V55" s="5"/>
      <c r="W55" s="1"/>
      <c r="X55" s="1"/>
      <c r="Y55" s="1"/>
      <c r="Z55" s="5"/>
    </row>
    <row r="56" spans="1:26" s="23" customFormat="1" x14ac:dyDescent="0.3">
      <c r="A56" s="10"/>
      <c r="B56" s="25" t="s">
        <v>295</v>
      </c>
      <c r="C56" s="10"/>
      <c r="D56" s="20">
        <f>SUM(OSRRefD22x_0)</f>
        <v>878488.93999999971</v>
      </c>
      <c r="E56" s="20"/>
      <c r="F56" s="32">
        <f t="shared" ref="F56:F67" si="12">IF(D$12=0,0,D56/D$12)</f>
        <v>1.742517839660078</v>
      </c>
      <c r="G56" s="20"/>
      <c r="H56" s="20">
        <f>SUM(OSRRefH22x_0)</f>
        <v>990279.13981687301</v>
      </c>
      <c r="I56" s="20"/>
      <c r="J56" s="32">
        <f t="shared" ref="J56:J67" si="13">IF(H$12=0,0,H56/H$12)</f>
        <v>1.5039138421561458</v>
      </c>
      <c r="K56" s="4"/>
      <c r="L56" s="20">
        <f t="shared" ref="L56:L67" si="14">+D56-H56</f>
        <v>-111790.1998168733</v>
      </c>
      <c r="M56" s="4"/>
      <c r="N56" s="32">
        <f t="shared" ref="N56:N67" si="15">IF(H56=0,0,L56/H56)</f>
        <v>-0.11288756404335253</v>
      </c>
      <c r="O56" s="10"/>
      <c r="P56" s="20">
        <f>SUM(OSRRefP22x_0)</f>
        <v>878488.93999999971</v>
      </c>
      <c r="Q56" s="20"/>
      <c r="R56" s="32">
        <f t="shared" ref="R56:R67" si="16">IF(P$12=0,0,P56/P$12)</f>
        <v>1.742517839660078</v>
      </c>
      <c r="S56" s="20"/>
      <c r="T56" s="20">
        <f>SUM(OSRRefT22x_0)</f>
        <v>990279.13981687301</v>
      </c>
      <c r="U56" s="20"/>
      <c r="V56" s="32">
        <f t="shared" ref="V56:V67" si="17">IF(T$12=0,0,T56/T$12)</f>
        <v>1.5039138421561458</v>
      </c>
      <c r="W56" s="4"/>
      <c r="X56" s="20">
        <f t="shared" ref="X56:X67" si="18">+P56-T56</f>
        <v>-111790.1998168733</v>
      </c>
      <c r="Y56" s="4"/>
      <c r="Z56" s="32">
        <f t="shared" ref="Z56:Z67" si="19">IF(T56=0,0,X56/T56)</f>
        <v>-0.11288756404335253</v>
      </c>
    </row>
    <row r="57" spans="1:26" s="27" customFormat="1" outlineLevel="1" collapsed="1" x14ac:dyDescent="0.3">
      <c r="A57" s="28"/>
      <c r="B57" s="14" t="str">
        <f>CONCATENATE("     ","*Benefits                                         ")</f>
        <v xml:space="preserve">     *Benefits                                         </v>
      </c>
      <c r="C57" s="14"/>
      <c r="D57" s="1">
        <f>SUM(OSRRefD22_0x_0)</f>
        <v>146522.37</v>
      </c>
      <c r="E57" s="1"/>
      <c r="F57" s="5">
        <f t="shared" si="12"/>
        <v>0.2906329630447877</v>
      </c>
      <c r="G57" s="1"/>
      <c r="H57" s="1">
        <f>SUM(OSRRefH22_0x_0)</f>
        <v>212614.51396222913</v>
      </c>
      <c r="I57" s="1"/>
      <c r="J57" s="5">
        <f t="shared" si="13"/>
        <v>0.3228927054347806</v>
      </c>
      <c r="K57" s="1"/>
      <c r="L57" s="1">
        <f t="shared" si="14"/>
        <v>-66092.143962229136</v>
      </c>
      <c r="M57" s="1"/>
      <c r="N57" s="5">
        <f t="shared" si="15"/>
        <v>-0.31085433788386796</v>
      </c>
      <c r="O57" s="14"/>
      <c r="P57" s="1">
        <f>SUM(OSRRefP22_0x_0)</f>
        <v>146522.37</v>
      </c>
      <c r="Q57" s="1"/>
      <c r="R57" s="5">
        <f t="shared" si="16"/>
        <v>0.2906329630447877</v>
      </c>
      <c r="S57" s="1"/>
      <c r="T57" s="1">
        <f>SUM(OSRRefT22_0x_0)</f>
        <v>212614.51396222913</v>
      </c>
      <c r="U57" s="1"/>
      <c r="V57" s="5">
        <f t="shared" si="17"/>
        <v>0.3228927054347806</v>
      </c>
      <c r="W57" s="1"/>
      <c r="X57" s="1">
        <f t="shared" si="18"/>
        <v>-66092.143962229136</v>
      </c>
      <c r="Y57" s="1"/>
      <c r="Z57" s="5">
        <f t="shared" si="19"/>
        <v>-0.31085433788386796</v>
      </c>
    </row>
    <row r="58" spans="1:26" s="24" customFormat="1" hidden="1" outlineLevel="2" x14ac:dyDescent="0.3">
      <c r="A58" s="29"/>
      <c r="B58" s="11" t="str">
        <f>CONCATENATE("          ", "6111", " - ", "F.I.C.A.")</f>
        <v xml:space="preserve">          6111 - F.I.C.A.</v>
      </c>
      <c r="C58" s="11"/>
      <c r="D58" s="8">
        <v>21298.06</v>
      </c>
      <c r="E58" s="3"/>
      <c r="F58" s="7">
        <f t="shared" si="12"/>
        <v>4.224555120768024E-2</v>
      </c>
      <c r="G58" s="3"/>
      <c r="H58" s="8">
        <v>32806.044875630498</v>
      </c>
      <c r="I58" s="3"/>
      <c r="J58" s="7">
        <f t="shared" si="13"/>
        <v>4.9821775508651141E-2</v>
      </c>
      <c r="K58" s="3"/>
      <c r="L58" s="8">
        <f t="shared" si="14"/>
        <v>-11507.984875630496</v>
      </c>
      <c r="M58" s="3"/>
      <c r="N58" s="7">
        <f t="shared" si="15"/>
        <v>-0.35078854885609934</v>
      </c>
      <c r="O58" s="11"/>
      <c r="P58" s="8">
        <v>21298.06</v>
      </c>
      <c r="Q58" s="3"/>
      <c r="R58" s="7">
        <f t="shared" si="16"/>
        <v>4.224555120768024E-2</v>
      </c>
      <c r="S58" s="3"/>
      <c r="T58" s="8">
        <v>32806.044875630498</v>
      </c>
      <c r="U58" s="3"/>
      <c r="V58" s="7">
        <f t="shared" si="17"/>
        <v>4.9821775508651141E-2</v>
      </c>
      <c r="W58" s="3"/>
      <c r="X58" s="8">
        <f t="shared" si="18"/>
        <v>-11507.984875630496</v>
      </c>
      <c r="Y58" s="3"/>
      <c r="Z58" s="7">
        <f t="shared" si="19"/>
        <v>-0.35078854885609934</v>
      </c>
    </row>
    <row r="59" spans="1:26" s="24" customFormat="1" hidden="1" outlineLevel="2" x14ac:dyDescent="0.3">
      <c r="A59" s="29"/>
      <c r="B59" s="11" t="str">
        <f>CONCATENATE("          ", "6112", " - ", "COMPENSATION INSURANCE")</f>
        <v xml:space="preserve">          6112 - COMPENSATION INSURANCE</v>
      </c>
      <c r="C59" s="11"/>
      <c r="D59" s="8">
        <v>6528.35</v>
      </c>
      <c r="E59" s="3"/>
      <c r="F59" s="7">
        <f t="shared" si="12"/>
        <v>1.2949242523810118E-2</v>
      </c>
      <c r="G59" s="3"/>
      <c r="H59" s="8">
        <v>12421.985680542301</v>
      </c>
      <c r="I59" s="3"/>
      <c r="J59" s="7">
        <f t="shared" si="13"/>
        <v>1.8864980045411928E-2</v>
      </c>
      <c r="K59" s="3"/>
      <c r="L59" s="8">
        <f t="shared" si="14"/>
        <v>-5893.6356805423002</v>
      </c>
      <c r="M59" s="3"/>
      <c r="N59" s="7">
        <f t="shared" si="15"/>
        <v>-0.47445197829957608</v>
      </c>
      <c r="O59" s="11"/>
      <c r="P59" s="8">
        <v>6528.35</v>
      </c>
      <c r="Q59" s="3"/>
      <c r="R59" s="7">
        <f t="shared" si="16"/>
        <v>1.2949242523810118E-2</v>
      </c>
      <c r="S59" s="3"/>
      <c r="T59" s="8">
        <v>12421.985680542301</v>
      </c>
      <c r="U59" s="3"/>
      <c r="V59" s="7">
        <f t="shared" si="17"/>
        <v>1.8864980045411928E-2</v>
      </c>
      <c r="W59" s="3"/>
      <c r="X59" s="8">
        <f t="shared" si="18"/>
        <v>-5893.6356805423002</v>
      </c>
      <c r="Y59" s="3"/>
      <c r="Z59" s="7">
        <f t="shared" si="19"/>
        <v>-0.47445197829957608</v>
      </c>
    </row>
    <row r="60" spans="1:26" s="24" customFormat="1" hidden="1" outlineLevel="2" x14ac:dyDescent="0.3">
      <c r="A60" s="29"/>
      <c r="B60" s="11" t="str">
        <f>CONCATENATE("          ", "6113", " - ", "GROUP INSURANCE")</f>
        <v xml:space="preserve">          6113 - GROUP INSURANCE</v>
      </c>
      <c r="C60" s="11"/>
      <c r="D60" s="8">
        <v>72477.48</v>
      </c>
      <c r="E60" s="3"/>
      <c r="F60" s="7">
        <f t="shared" si="12"/>
        <v>0.14376197140695537</v>
      </c>
      <c r="G60" s="3"/>
      <c r="H60" s="8">
        <v>110909.738461538</v>
      </c>
      <c r="I60" s="3"/>
      <c r="J60" s="7">
        <f t="shared" si="13"/>
        <v>0.1684360340389176</v>
      </c>
      <c r="K60" s="3"/>
      <c r="L60" s="8">
        <f t="shared" si="14"/>
        <v>-38432.258461538004</v>
      </c>
      <c r="M60" s="3"/>
      <c r="N60" s="7">
        <f t="shared" si="15"/>
        <v>-0.34651834000010551</v>
      </c>
      <c r="O60" s="11"/>
      <c r="P60" s="8">
        <v>72477.48</v>
      </c>
      <c r="Q60" s="3"/>
      <c r="R60" s="7">
        <f t="shared" si="16"/>
        <v>0.14376197140695537</v>
      </c>
      <c r="S60" s="3"/>
      <c r="T60" s="8">
        <v>110909.738461538</v>
      </c>
      <c r="U60" s="3"/>
      <c r="V60" s="7">
        <f t="shared" si="17"/>
        <v>0.1684360340389176</v>
      </c>
      <c r="W60" s="3"/>
      <c r="X60" s="8">
        <f t="shared" si="18"/>
        <v>-38432.258461538004</v>
      </c>
      <c r="Y60" s="3"/>
      <c r="Z60" s="7">
        <f t="shared" si="19"/>
        <v>-0.34651834000010551</v>
      </c>
    </row>
    <row r="61" spans="1:26" s="24" customFormat="1" hidden="1" outlineLevel="2" x14ac:dyDescent="0.3">
      <c r="A61" s="29"/>
      <c r="B61" s="11" t="str">
        <f>CONCATENATE("          ", "6114", " - ", "STATE UNEMPLOYMENT INSURANCE")</f>
        <v xml:space="preserve">          6114 - STATE UNEMPLOYMENT INSURANCE</v>
      </c>
      <c r="C61" s="11"/>
      <c r="D61" s="8">
        <v>753.55</v>
      </c>
      <c r="E61" s="3"/>
      <c r="F61" s="7">
        <f t="shared" si="12"/>
        <v>1.4946964705962629E-3</v>
      </c>
      <c r="G61" s="3"/>
      <c r="H61" s="8">
        <v>982.04627302788504</v>
      </c>
      <c r="I61" s="3"/>
      <c r="J61" s="7">
        <f t="shared" si="13"/>
        <v>1.4914107793057294E-3</v>
      </c>
      <c r="K61" s="3"/>
      <c r="L61" s="8">
        <f t="shared" si="14"/>
        <v>-228.49627302788508</v>
      </c>
      <c r="M61" s="3"/>
      <c r="N61" s="7">
        <f t="shared" si="15"/>
        <v>-0.23267363188842016</v>
      </c>
      <c r="O61" s="11"/>
      <c r="P61" s="8">
        <v>753.55</v>
      </c>
      <c r="Q61" s="3"/>
      <c r="R61" s="7">
        <f t="shared" si="16"/>
        <v>1.4946964705962629E-3</v>
      </c>
      <c r="S61" s="3"/>
      <c r="T61" s="8">
        <v>982.04627302788504</v>
      </c>
      <c r="U61" s="3"/>
      <c r="V61" s="7">
        <f t="shared" si="17"/>
        <v>1.4914107793057294E-3</v>
      </c>
      <c r="W61" s="3"/>
      <c r="X61" s="8">
        <f t="shared" si="18"/>
        <v>-228.49627302788508</v>
      </c>
      <c r="Y61" s="3"/>
      <c r="Z61" s="7">
        <f t="shared" si="19"/>
        <v>-0.23267363188842016</v>
      </c>
    </row>
    <row r="62" spans="1:26" s="24" customFormat="1" hidden="1" outlineLevel="2" x14ac:dyDescent="0.3">
      <c r="A62" s="29"/>
      <c r="B62" s="11" t="str">
        <f>CONCATENATE("          ", "6115", " - ", "P.E.R.S.")</f>
        <v xml:space="preserve">          6115 - P.E.R.S.</v>
      </c>
      <c r="C62" s="11"/>
      <c r="D62" s="8">
        <v>13543.27</v>
      </c>
      <c r="E62" s="3"/>
      <c r="F62" s="7">
        <f t="shared" si="12"/>
        <v>2.6863616043171987E-2</v>
      </c>
      <c r="G62" s="3"/>
      <c r="H62" s="8">
        <v>15292.9424659039</v>
      </c>
      <c r="I62" s="3"/>
      <c r="J62" s="7">
        <f t="shared" si="13"/>
        <v>2.322503518151816E-2</v>
      </c>
      <c r="K62" s="3"/>
      <c r="L62" s="8">
        <f t="shared" si="14"/>
        <v>-1749.6724659038991</v>
      </c>
      <c r="M62" s="3"/>
      <c r="N62" s="7">
        <f t="shared" si="15"/>
        <v>-0.11441045239036565</v>
      </c>
      <c r="O62" s="11"/>
      <c r="P62" s="8">
        <v>13543.27</v>
      </c>
      <c r="Q62" s="3"/>
      <c r="R62" s="7">
        <f t="shared" si="16"/>
        <v>2.6863616043171987E-2</v>
      </c>
      <c r="S62" s="3"/>
      <c r="T62" s="8">
        <v>15292.9424659039</v>
      </c>
      <c r="U62" s="3"/>
      <c r="V62" s="7">
        <f t="shared" si="17"/>
        <v>2.322503518151816E-2</v>
      </c>
      <c r="W62" s="3"/>
      <c r="X62" s="8">
        <f t="shared" si="18"/>
        <v>-1749.6724659038991</v>
      </c>
      <c r="Y62" s="3"/>
      <c r="Z62" s="7">
        <f t="shared" si="19"/>
        <v>-0.11441045239036565</v>
      </c>
    </row>
    <row r="63" spans="1:26" s="24" customFormat="1" hidden="1" outlineLevel="2" x14ac:dyDescent="0.3">
      <c r="A63" s="29"/>
      <c r="B63" s="11" t="str">
        <f>CONCATENATE("          ", "6116", " - ", "EDUCATIONAL BENEFITS")</f>
        <v xml:space="preserve">          6116 - EDUCATIONAL BENEFITS</v>
      </c>
      <c r="C63" s="11"/>
      <c r="D63" s="8"/>
      <c r="E63" s="3"/>
      <c r="F63" s="7">
        <f t="shared" si="12"/>
        <v>0</v>
      </c>
      <c r="G63" s="3"/>
      <c r="H63" s="8">
        <v>0</v>
      </c>
      <c r="I63" s="3"/>
      <c r="J63" s="7">
        <f t="shared" si="13"/>
        <v>0</v>
      </c>
      <c r="K63" s="3"/>
      <c r="L63" s="8">
        <f t="shared" si="14"/>
        <v>0</v>
      </c>
      <c r="M63" s="3"/>
      <c r="N63" s="7">
        <f t="shared" si="15"/>
        <v>0</v>
      </c>
      <c r="O63" s="11"/>
      <c r="P63" s="8"/>
      <c r="Q63" s="3"/>
      <c r="R63" s="7">
        <f t="shared" si="16"/>
        <v>0</v>
      </c>
      <c r="S63" s="3"/>
      <c r="T63" s="8">
        <v>0</v>
      </c>
      <c r="U63" s="3"/>
      <c r="V63" s="7">
        <f t="shared" si="17"/>
        <v>0</v>
      </c>
      <c r="W63" s="3"/>
      <c r="X63" s="8">
        <f t="shared" si="18"/>
        <v>0</v>
      </c>
      <c r="Y63" s="3"/>
      <c r="Z63" s="7">
        <f t="shared" si="19"/>
        <v>0</v>
      </c>
    </row>
    <row r="64" spans="1:26" s="24" customFormat="1" hidden="1" outlineLevel="2" x14ac:dyDescent="0.3">
      <c r="A64" s="29"/>
      <c r="B64" s="11" t="str">
        <f>CONCATENATE("          ", "6117", " - ", "RETIREMENT STAFF HOURLY")</f>
        <v xml:space="preserve">          6117 - RETIREMENT STAFF HOURLY</v>
      </c>
      <c r="C64" s="11"/>
      <c r="D64" s="8">
        <v>2099.73</v>
      </c>
      <c r="E64" s="3"/>
      <c r="F64" s="7">
        <f t="shared" si="12"/>
        <v>4.1648981755757304E-3</v>
      </c>
      <c r="G64" s="3"/>
      <c r="H64" s="8"/>
      <c r="I64" s="3"/>
      <c r="J64" s="7">
        <f t="shared" si="13"/>
        <v>0</v>
      </c>
      <c r="K64" s="3"/>
      <c r="L64" s="8">
        <f t="shared" si="14"/>
        <v>2099.73</v>
      </c>
      <c r="M64" s="3"/>
      <c r="N64" s="7">
        <f t="shared" si="15"/>
        <v>0</v>
      </c>
      <c r="O64" s="11"/>
      <c r="P64" s="8">
        <v>2099.73</v>
      </c>
      <c r="Q64" s="3"/>
      <c r="R64" s="7">
        <f t="shared" si="16"/>
        <v>4.1648981755757304E-3</v>
      </c>
      <c r="S64" s="3"/>
      <c r="T64" s="8"/>
      <c r="U64" s="3"/>
      <c r="V64" s="7">
        <f t="shared" si="17"/>
        <v>0</v>
      </c>
      <c r="W64" s="3"/>
      <c r="X64" s="8">
        <f t="shared" si="18"/>
        <v>2099.73</v>
      </c>
      <c r="Y64" s="3"/>
      <c r="Z64" s="7">
        <f t="shared" si="19"/>
        <v>0</v>
      </c>
    </row>
    <row r="65" spans="1:26" s="24" customFormat="1" hidden="1" outlineLevel="2" x14ac:dyDescent="0.3">
      <c r="A65" s="29"/>
      <c r="B65" s="11" t="str">
        <f>CONCATENATE("          ", "6118", " - ", "VACATION")</f>
        <v xml:space="preserve">          6118 - VACATION</v>
      </c>
      <c r="C65" s="11"/>
      <c r="D65" s="8">
        <v>14867.33</v>
      </c>
      <c r="E65" s="3"/>
      <c r="F65" s="7">
        <f t="shared" si="12"/>
        <v>2.9489941846181325E-2</v>
      </c>
      <c r="G65" s="3"/>
      <c r="H65" s="8">
        <v>16374.3033946827</v>
      </c>
      <c r="I65" s="3"/>
      <c r="J65" s="7">
        <f t="shared" si="13"/>
        <v>2.4867272813079298E-2</v>
      </c>
      <c r="K65" s="3"/>
      <c r="L65" s="8">
        <f t="shared" si="14"/>
        <v>-1506.9733946827</v>
      </c>
      <c r="M65" s="3"/>
      <c r="N65" s="7">
        <f t="shared" si="15"/>
        <v>-9.2032824747345657E-2</v>
      </c>
      <c r="O65" s="11"/>
      <c r="P65" s="8">
        <v>14867.33</v>
      </c>
      <c r="Q65" s="3"/>
      <c r="R65" s="7">
        <f t="shared" si="16"/>
        <v>2.9489941846181325E-2</v>
      </c>
      <c r="S65" s="3"/>
      <c r="T65" s="8">
        <v>16374.3033946827</v>
      </c>
      <c r="U65" s="3"/>
      <c r="V65" s="7">
        <f t="shared" si="17"/>
        <v>2.4867272813079298E-2</v>
      </c>
      <c r="W65" s="3"/>
      <c r="X65" s="8">
        <f t="shared" si="18"/>
        <v>-1506.9733946827</v>
      </c>
      <c r="Y65" s="3"/>
      <c r="Z65" s="7">
        <f t="shared" si="19"/>
        <v>-9.2032824747345657E-2</v>
      </c>
    </row>
    <row r="66" spans="1:26" s="24" customFormat="1" hidden="1" outlineLevel="2" x14ac:dyDescent="0.3">
      <c r="A66" s="29"/>
      <c r="B66" s="11" t="str">
        <f>CONCATENATE("          ", "6119", " - ", "SICK LEAVE")</f>
        <v xml:space="preserve">          6119 - SICK LEAVE</v>
      </c>
      <c r="C66" s="11"/>
      <c r="D66" s="8">
        <v>10081.73</v>
      </c>
      <c r="E66" s="3"/>
      <c r="F66" s="7">
        <f t="shared" si="12"/>
        <v>1.9997513434416379E-2</v>
      </c>
      <c r="G66" s="3"/>
      <c r="H66" s="8">
        <v>15202.4528109038</v>
      </c>
      <c r="I66" s="3"/>
      <c r="J66" s="7">
        <f t="shared" si="13"/>
        <v>2.3087610652155914E-2</v>
      </c>
      <c r="K66" s="3"/>
      <c r="L66" s="8">
        <f t="shared" si="14"/>
        <v>-5120.7228109038006</v>
      </c>
      <c r="M66" s="3"/>
      <c r="N66" s="7">
        <f t="shared" si="15"/>
        <v>-0.33683530378933429</v>
      </c>
      <c r="O66" s="11"/>
      <c r="P66" s="8">
        <v>10081.73</v>
      </c>
      <c r="Q66" s="3"/>
      <c r="R66" s="7">
        <f t="shared" si="16"/>
        <v>1.9997513434416379E-2</v>
      </c>
      <c r="S66" s="3"/>
      <c r="T66" s="8">
        <v>15202.4528109038</v>
      </c>
      <c r="U66" s="3"/>
      <c r="V66" s="7">
        <f t="shared" si="17"/>
        <v>2.3087610652155914E-2</v>
      </c>
      <c r="W66" s="3"/>
      <c r="X66" s="8">
        <f t="shared" si="18"/>
        <v>-5120.7228109038006</v>
      </c>
      <c r="Y66" s="3"/>
      <c r="Z66" s="7">
        <f t="shared" si="19"/>
        <v>-0.33683530378933429</v>
      </c>
    </row>
    <row r="67" spans="1:26" s="24" customFormat="1" hidden="1" outlineLevel="2" x14ac:dyDescent="0.3">
      <c r="A67" s="29"/>
      <c r="B67" s="11" t="str">
        <f>CONCATENATE("          ", "6156", " - ", "EMPLOYEE MEALS")</f>
        <v xml:space="preserve">          6156 - EMPLOYEE MEALS</v>
      </c>
      <c r="C67" s="11"/>
      <c r="D67" s="8">
        <v>4872.87</v>
      </c>
      <c r="E67" s="3"/>
      <c r="F67" s="7">
        <f t="shared" si="12"/>
        <v>9.665531936400254E-3</v>
      </c>
      <c r="G67" s="3"/>
      <c r="H67" s="8">
        <v>8625</v>
      </c>
      <c r="I67" s="3"/>
      <c r="J67" s="7">
        <f t="shared" si="13"/>
        <v>1.3098586415740781E-2</v>
      </c>
      <c r="K67" s="3"/>
      <c r="L67" s="8">
        <f t="shared" si="14"/>
        <v>-3752.13</v>
      </c>
      <c r="M67" s="3"/>
      <c r="N67" s="7">
        <f t="shared" si="15"/>
        <v>-0.43502956521739133</v>
      </c>
      <c r="O67" s="11"/>
      <c r="P67" s="8">
        <v>4872.87</v>
      </c>
      <c r="Q67" s="3"/>
      <c r="R67" s="7">
        <f t="shared" si="16"/>
        <v>9.665531936400254E-3</v>
      </c>
      <c r="S67" s="3"/>
      <c r="T67" s="8">
        <v>8625</v>
      </c>
      <c r="U67" s="3"/>
      <c r="V67" s="7">
        <f t="shared" si="17"/>
        <v>1.3098586415740781E-2</v>
      </c>
      <c r="W67" s="3"/>
      <c r="X67" s="8">
        <f t="shared" si="18"/>
        <v>-3752.13</v>
      </c>
      <c r="Y67" s="3"/>
      <c r="Z67" s="7">
        <f t="shared" si="19"/>
        <v>-0.43502956521739133</v>
      </c>
    </row>
    <row r="68" spans="1:26" s="27" customFormat="1" outlineLevel="1" collapsed="1" x14ac:dyDescent="0.3">
      <c r="A68" s="28"/>
      <c r="B68" s="14" t="str">
        <f>CONCATENATE("     ","*Payroll                                          ")</f>
        <v xml:space="preserve">     *Payroll                                          </v>
      </c>
      <c r="C68" s="14"/>
      <c r="D68" s="1">
        <f>SUM(OSRRefD22_1x_0)</f>
        <v>348552.56</v>
      </c>
      <c r="E68" s="1"/>
      <c r="F68" s="5">
        <f t="shared" ref="F68:F78" si="20">IF(D$12=0,0,D68/D$12)</f>
        <v>0.69136790027110639</v>
      </c>
      <c r="G68" s="1"/>
      <c r="H68" s="1">
        <f>SUM(OSRRefH22_1x_0)</f>
        <v>440466.62585464388</v>
      </c>
      <c r="I68" s="1"/>
      <c r="J68" s="5">
        <f t="shared" ref="J68:J78" si="21">IF(H$12=0,0,H68/H$12)</f>
        <v>0.66892639559499301</v>
      </c>
      <c r="K68" s="1"/>
      <c r="L68" s="1">
        <f t="shared" ref="L68:L78" si="22">+D68-H68</f>
        <v>-91914.065854643879</v>
      </c>
      <c r="M68" s="1"/>
      <c r="N68" s="5">
        <f t="shared" ref="N68:N78" si="23">IF(H68=0,0,L68/H68)</f>
        <v>-0.20867430234084516</v>
      </c>
      <c r="O68" s="14"/>
      <c r="P68" s="1">
        <f>SUM(OSRRefP22_1x_0)</f>
        <v>348552.56</v>
      </c>
      <c r="Q68" s="1"/>
      <c r="R68" s="5">
        <f t="shared" ref="R68:R78" si="24">IF(P$12=0,0,P68/P$12)</f>
        <v>0.69136790027110639</v>
      </c>
      <c r="S68" s="1"/>
      <c r="T68" s="1">
        <f>SUM(OSRRefT22_1x_0)</f>
        <v>440466.62585464388</v>
      </c>
      <c r="U68" s="1"/>
      <c r="V68" s="5">
        <f t="shared" ref="V68:V78" si="25">IF(T$12=0,0,T68/T$12)</f>
        <v>0.66892639559499301</v>
      </c>
      <c r="W68" s="1"/>
      <c r="X68" s="1">
        <f t="shared" ref="X68:X78" si="26">+P68-T68</f>
        <v>-91914.065854643879</v>
      </c>
      <c r="Y68" s="1"/>
      <c r="Z68" s="5">
        <f t="shared" ref="Z68:Z78" si="27">IF(T68=0,0,X68/T68)</f>
        <v>-0.20867430234084516</v>
      </c>
    </row>
    <row r="69" spans="1:26" s="24" customFormat="1" hidden="1" outlineLevel="2" x14ac:dyDescent="0.3">
      <c r="A69" s="29"/>
      <c r="B69" s="11" t="str">
        <f>CONCATENATE("          ", "6001", " - ", "ADMINISTRATIVE SALARIES")</f>
        <v xml:space="preserve">          6001 - ADMINISTRATIVE SALARIES</v>
      </c>
      <c r="C69" s="11"/>
      <c r="D69" s="8">
        <v>36234.019999999997</v>
      </c>
      <c r="E69" s="3"/>
      <c r="F69" s="7">
        <f t="shared" si="20"/>
        <v>7.1871623395281539E-2</v>
      </c>
      <c r="G69" s="3"/>
      <c r="H69" s="8">
        <v>23184.9038461538</v>
      </c>
      <c r="I69" s="3"/>
      <c r="J69" s="7">
        <f t="shared" si="21"/>
        <v>3.5210372935592621E-2</v>
      </c>
      <c r="K69" s="3"/>
      <c r="L69" s="8">
        <f t="shared" si="22"/>
        <v>13049.116153846197</v>
      </c>
      <c r="M69" s="3"/>
      <c r="N69" s="7">
        <f t="shared" si="23"/>
        <v>0.5628281333593258</v>
      </c>
      <c r="O69" s="11"/>
      <c r="P69" s="8">
        <v>36234.019999999997</v>
      </c>
      <c r="Q69" s="3"/>
      <c r="R69" s="7">
        <f t="shared" si="24"/>
        <v>7.1871623395281539E-2</v>
      </c>
      <c r="S69" s="3"/>
      <c r="T69" s="8">
        <v>23184.9038461538</v>
      </c>
      <c r="U69" s="3"/>
      <c r="V69" s="7">
        <f t="shared" si="25"/>
        <v>3.5210372935592621E-2</v>
      </c>
      <c r="W69" s="3"/>
      <c r="X69" s="8">
        <f t="shared" si="26"/>
        <v>13049.116153846197</v>
      </c>
      <c r="Y69" s="3"/>
      <c r="Z69" s="7">
        <f t="shared" si="27"/>
        <v>0.5628281333593258</v>
      </c>
    </row>
    <row r="70" spans="1:26" s="24" customFormat="1" hidden="1" outlineLevel="2" x14ac:dyDescent="0.3">
      <c r="A70" s="29"/>
      <c r="B70" s="11" t="str">
        <f>CONCATENATE("          ", "6002", " - ", "STAFF SALARIES")</f>
        <v xml:space="preserve">          6002 - STAFF SALARIES</v>
      </c>
      <c r="C70" s="11"/>
      <c r="D70" s="8">
        <v>137611.74</v>
      </c>
      <c r="E70" s="3"/>
      <c r="F70" s="7">
        <f t="shared" si="20"/>
        <v>0.27295837315454924</v>
      </c>
      <c r="G70" s="3"/>
      <c r="H70" s="8">
        <v>139994.11504849</v>
      </c>
      <c r="I70" s="3"/>
      <c r="J70" s="7">
        <f t="shared" si="21"/>
        <v>0.21260579868496268</v>
      </c>
      <c r="K70" s="3"/>
      <c r="L70" s="8">
        <f t="shared" si="22"/>
        <v>-2382.3750484900083</v>
      </c>
      <c r="M70" s="3"/>
      <c r="N70" s="7">
        <f t="shared" si="23"/>
        <v>-1.7017679976510592E-2</v>
      </c>
      <c r="O70" s="11"/>
      <c r="P70" s="8">
        <v>137611.74</v>
      </c>
      <c r="Q70" s="3"/>
      <c r="R70" s="7">
        <f t="shared" si="24"/>
        <v>0.27295837315454924</v>
      </c>
      <c r="S70" s="3"/>
      <c r="T70" s="8">
        <v>139994.11504849</v>
      </c>
      <c r="U70" s="3"/>
      <c r="V70" s="7">
        <f t="shared" si="25"/>
        <v>0.21260579868496268</v>
      </c>
      <c r="W70" s="3"/>
      <c r="X70" s="8">
        <f t="shared" si="26"/>
        <v>-2382.3750484900083</v>
      </c>
      <c r="Y70" s="3"/>
      <c r="Z70" s="7">
        <f t="shared" si="27"/>
        <v>-1.7017679976510592E-2</v>
      </c>
    </row>
    <row r="71" spans="1:26" s="24" customFormat="1" hidden="1" outlineLevel="2" x14ac:dyDescent="0.3">
      <c r="A71" s="29"/>
      <c r="B71" s="11" t="str">
        <f>CONCATENATE("          ", "6003", " - ", "STAFF HOURLY-9 MONTH")</f>
        <v xml:space="preserve">          6003 - STAFF HOURLY-9 MONTH</v>
      </c>
      <c r="C71" s="11"/>
      <c r="D71" s="8"/>
      <c r="E71" s="3"/>
      <c r="F71" s="7">
        <f t="shared" si="20"/>
        <v>0</v>
      </c>
      <c r="G71" s="3"/>
      <c r="H71" s="8">
        <v>0</v>
      </c>
      <c r="I71" s="3"/>
      <c r="J71" s="7">
        <f t="shared" si="21"/>
        <v>0</v>
      </c>
      <c r="K71" s="3"/>
      <c r="L71" s="8">
        <f t="shared" si="22"/>
        <v>0</v>
      </c>
      <c r="M71" s="3"/>
      <c r="N71" s="7">
        <f t="shared" si="23"/>
        <v>0</v>
      </c>
      <c r="O71" s="11"/>
      <c r="P71" s="8"/>
      <c r="Q71" s="3"/>
      <c r="R71" s="7">
        <f t="shared" si="24"/>
        <v>0</v>
      </c>
      <c r="S71" s="3"/>
      <c r="T71" s="8">
        <v>0</v>
      </c>
      <c r="U71" s="3"/>
      <c r="V71" s="7">
        <f t="shared" si="25"/>
        <v>0</v>
      </c>
      <c r="W71" s="3"/>
      <c r="X71" s="8">
        <f t="shared" si="26"/>
        <v>0</v>
      </c>
      <c r="Y71" s="3"/>
      <c r="Z71" s="7">
        <f t="shared" si="27"/>
        <v>0</v>
      </c>
    </row>
    <row r="72" spans="1:26" s="24" customFormat="1" hidden="1" outlineLevel="2" x14ac:dyDescent="0.3">
      <c r="A72" s="29"/>
      <c r="B72" s="11" t="str">
        <f>CONCATENATE("          ", "6004", " - ", "STAFF HOURLY")</f>
        <v xml:space="preserve">          6004 - STAFF HOURLY</v>
      </c>
      <c r="C72" s="11"/>
      <c r="D72" s="8">
        <v>64891.03</v>
      </c>
      <c r="E72" s="3"/>
      <c r="F72" s="7">
        <f t="shared" si="20"/>
        <v>0.12871394534451094</v>
      </c>
      <c r="G72" s="3"/>
      <c r="H72" s="8">
        <v>172681.05446000001</v>
      </c>
      <c r="I72" s="3"/>
      <c r="J72" s="7">
        <f t="shared" si="21"/>
        <v>0.26224669150209273</v>
      </c>
      <c r="K72" s="3"/>
      <c r="L72" s="8">
        <f t="shared" si="22"/>
        <v>-107790.02446000002</v>
      </c>
      <c r="M72" s="3"/>
      <c r="N72" s="7">
        <f t="shared" si="23"/>
        <v>-0.62421453700914586</v>
      </c>
      <c r="O72" s="11"/>
      <c r="P72" s="8">
        <v>64891.03</v>
      </c>
      <c r="Q72" s="3"/>
      <c r="R72" s="7">
        <f t="shared" si="24"/>
        <v>0.12871394534451094</v>
      </c>
      <c r="S72" s="3"/>
      <c r="T72" s="8">
        <v>172681.05446000001</v>
      </c>
      <c r="U72" s="3"/>
      <c r="V72" s="7">
        <f t="shared" si="25"/>
        <v>0.26224669150209273</v>
      </c>
      <c r="W72" s="3"/>
      <c r="X72" s="8">
        <f t="shared" si="26"/>
        <v>-107790.02446000002</v>
      </c>
      <c r="Y72" s="3"/>
      <c r="Z72" s="7">
        <f t="shared" si="27"/>
        <v>-0.62421453700914586</v>
      </c>
    </row>
    <row r="73" spans="1:26" s="24" customFormat="1" hidden="1" outlineLevel="2" x14ac:dyDescent="0.3">
      <c r="A73" s="29"/>
      <c r="B73" s="11" t="str">
        <f>CONCATENATE("          ", "6005", " - ", "TEMPORARY WAGES-HOURLY")</f>
        <v xml:space="preserve">          6005 - TEMPORARY WAGES-HOURLY</v>
      </c>
      <c r="C73" s="11"/>
      <c r="D73" s="8">
        <v>23606.71</v>
      </c>
      <c r="E73" s="3"/>
      <c r="F73" s="7">
        <f t="shared" si="20"/>
        <v>4.6824850533328258E-2</v>
      </c>
      <c r="G73" s="3"/>
      <c r="H73" s="8">
        <v>4458.1400000000003</v>
      </c>
      <c r="I73" s="3"/>
      <c r="J73" s="7">
        <f t="shared" si="21"/>
        <v>6.7704732804023888E-3</v>
      </c>
      <c r="K73" s="3"/>
      <c r="L73" s="8">
        <f t="shared" si="22"/>
        <v>19148.57</v>
      </c>
      <c r="M73" s="3"/>
      <c r="N73" s="7">
        <f t="shared" si="23"/>
        <v>4.295192613960082</v>
      </c>
      <c r="O73" s="11"/>
      <c r="P73" s="8">
        <v>23606.71</v>
      </c>
      <c r="Q73" s="3"/>
      <c r="R73" s="7">
        <f t="shared" si="24"/>
        <v>4.6824850533328258E-2</v>
      </c>
      <c r="S73" s="3"/>
      <c r="T73" s="8">
        <v>4458.1400000000003</v>
      </c>
      <c r="U73" s="3"/>
      <c r="V73" s="7">
        <f t="shared" si="25"/>
        <v>6.7704732804023888E-3</v>
      </c>
      <c r="W73" s="3"/>
      <c r="X73" s="8">
        <f t="shared" si="26"/>
        <v>19148.57</v>
      </c>
      <c r="Y73" s="3"/>
      <c r="Z73" s="7">
        <f t="shared" si="27"/>
        <v>4.295192613960082</v>
      </c>
    </row>
    <row r="74" spans="1:26" s="24" customFormat="1" hidden="1" outlineLevel="2" x14ac:dyDescent="0.3">
      <c r="A74" s="29"/>
      <c r="B74" s="11" t="str">
        <f>CONCATENATE("          ", "6006", " - ", "TEMPORARY PART TIME")</f>
        <v xml:space="preserve">          6006 - TEMPORARY PART TIME</v>
      </c>
      <c r="C74" s="11"/>
      <c r="D74" s="8">
        <v>2864.4</v>
      </c>
      <c r="E74" s="3"/>
      <c r="F74" s="7">
        <f t="shared" si="20"/>
        <v>5.6816516095493808E-3</v>
      </c>
      <c r="G74" s="3"/>
      <c r="H74" s="8">
        <v>0</v>
      </c>
      <c r="I74" s="3"/>
      <c r="J74" s="7">
        <f t="shared" si="21"/>
        <v>0</v>
      </c>
      <c r="K74" s="3"/>
      <c r="L74" s="8">
        <f t="shared" si="22"/>
        <v>2864.4</v>
      </c>
      <c r="M74" s="3"/>
      <c r="N74" s="7">
        <f t="shared" si="23"/>
        <v>0</v>
      </c>
      <c r="O74" s="11"/>
      <c r="P74" s="8">
        <v>2864.4</v>
      </c>
      <c r="Q74" s="3"/>
      <c r="R74" s="7">
        <f t="shared" si="24"/>
        <v>5.6816516095493808E-3</v>
      </c>
      <c r="S74" s="3"/>
      <c r="T74" s="8">
        <v>0</v>
      </c>
      <c r="U74" s="3"/>
      <c r="V74" s="7">
        <f t="shared" si="25"/>
        <v>0</v>
      </c>
      <c r="W74" s="3"/>
      <c r="X74" s="8">
        <f t="shared" si="26"/>
        <v>2864.4</v>
      </c>
      <c r="Y74" s="3"/>
      <c r="Z74" s="7">
        <f t="shared" si="27"/>
        <v>0</v>
      </c>
    </row>
    <row r="75" spans="1:26" s="24" customFormat="1" hidden="1" outlineLevel="2" x14ac:dyDescent="0.3">
      <c r="A75" s="29"/>
      <c r="B75" s="11" t="str">
        <f>CONCATENATE("          ", "6007", " - ", "STUDENT HOURLY")</f>
        <v xml:space="preserve">          6007 - STUDENT HOURLY</v>
      </c>
      <c r="C75" s="11"/>
      <c r="D75" s="8">
        <v>73560.31</v>
      </c>
      <c r="E75" s="3"/>
      <c r="F75" s="7">
        <f t="shared" si="20"/>
        <v>0.14590980788662594</v>
      </c>
      <c r="G75" s="3"/>
      <c r="H75" s="8">
        <v>65648.412500000006</v>
      </c>
      <c r="I75" s="3"/>
      <c r="J75" s="7">
        <f t="shared" si="21"/>
        <v>9.9698713528979396E-2</v>
      </c>
      <c r="K75" s="3"/>
      <c r="L75" s="8">
        <f t="shared" si="22"/>
        <v>7911.8974999999919</v>
      </c>
      <c r="M75" s="3"/>
      <c r="N75" s="7">
        <f t="shared" si="23"/>
        <v>0.12051925094152111</v>
      </c>
      <c r="O75" s="11"/>
      <c r="P75" s="8">
        <v>73560.31</v>
      </c>
      <c r="Q75" s="3"/>
      <c r="R75" s="7">
        <f t="shared" si="24"/>
        <v>0.14590980788662594</v>
      </c>
      <c r="S75" s="3"/>
      <c r="T75" s="8">
        <v>65648.412500000006</v>
      </c>
      <c r="U75" s="3"/>
      <c r="V75" s="7">
        <f t="shared" si="25"/>
        <v>9.9698713528979396E-2</v>
      </c>
      <c r="W75" s="3"/>
      <c r="X75" s="8">
        <f t="shared" si="26"/>
        <v>7911.8974999999919</v>
      </c>
      <c r="Y75" s="3"/>
      <c r="Z75" s="7">
        <f t="shared" si="27"/>
        <v>0.12051925094152111</v>
      </c>
    </row>
    <row r="76" spans="1:26" s="24" customFormat="1" hidden="1" outlineLevel="2" x14ac:dyDescent="0.3">
      <c r="A76" s="29"/>
      <c r="B76" s="11" t="str">
        <f>CONCATENATE("          ", "6008", " - ", "STUDENT HOURLY-FICA EXEMPT")</f>
        <v xml:space="preserve">          6008 - STUDENT HOURLY-FICA EXEMPT</v>
      </c>
      <c r="C76" s="11"/>
      <c r="D76" s="8">
        <v>9784.35</v>
      </c>
      <c r="E76" s="3"/>
      <c r="F76" s="7">
        <f t="shared" si="20"/>
        <v>1.9407648347261025E-2</v>
      </c>
      <c r="G76" s="3"/>
      <c r="H76" s="8">
        <v>34500</v>
      </c>
      <c r="I76" s="3"/>
      <c r="J76" s="7">
        <f t="shared" si="21"/>
        <v>5.2394345662963124E-2</v>
      </c>
      <c r="K76" s="3"/>
      <c r="L76" s="8">
        <f t="shared" si="22"/>
        <v>-24715.65</v>
      </c>
      <c r="M76" s="3"/>
      <c r="N76" s="7">
        <f t="shared" si="23"/>
        <v>-0.7163956521739131</v>
      </c>
      <c r="O76" s="11"/>
      <c r="P76" s="8">
        <v>9784.35</v>
      </c>
      <c r="Q76" s="3"/>
      <c r="R76" s="7">
        <f t="shared" si="24"/>
        <v>1.9407648347261025E-2</v>
      </c>
      <c r="S76" s="3"/>
      <c r="T76" s="8">
        <v>34500</v>
      </c>
      <c r="U76" s="3"/>
      <c r="V76" s="7">
        <f t="shared" si="25"/>
        <v>5.2394345662963124E-2</v>
      </c>
      <c r="W76" s="3"/>
      <c r="X76" s="8">
        <f t="shared" si="26"/>
        <v>-24715.65</v>
      </c>
      <c r="Y76" s="3"/>
      <c r="Z76" s="7">
        <f t="shared" si="27"/>
        <v>-0.7163956521739131</v>
      </c>
    </row>
    <row r="77" spans="1:26" s="24" customFormat="1" hidden="1" outlineLevel="2" x14ac:dyDescent="0.3">
      <c r="A77" s="29"/>
      <c r="B77" s="11" t="str">
        <f>CONCATENATE("          ", "6009", " - ", "TEMPORARY-SEASONAL")</f>
        <v xml:space="preserve">          6009 - TEMPORARY-SEASONAL</v>
      </c>
      <c r="C77" s="11"/>
      <c r="D77" s="8"/>
      <c r="E77" s="3"/>
      <c r="F77" s="7">
        <f t="shared" si="20"/>
        <v>0</v>
      </c>
      <c r="G77" s="3"/>
      <c r="H77" s="8">
        <v>0</v>
      </c>
      <c r="I77" s="3"/>
      <c r="J77" s="7">
        <f t="shared" si="21"/>
        <v>0</v>
      </c>
      <c r="K77" s="3"/>
      <c r="L77" s="8">
        <f t="shared" si="22"/>
        <v>0</v>
      </c>
      <c r="M77" s="3"/>
      <c r="N77" s="7">
        <f t="shared" si="23"/>
        <v>0</v>
      </c>
      <c r="O77" s="11"/>
      <c r="P77" s="8"/>
      <c r="Q77" s="3"/>
      <c r="R77" s="7">
        <f t="shared" si="24"/>
        <v>0</v>
      </c>
      <c r="S77" s="3"/>
      <c r="T77" s="8">
        <v>0</v>
      </c>
      <c r="U77" s="3"/>
      <c r="V77" s="7">
        <f t="shared" si="25"/>
        <v>0</v>
      </c>
      <c r="W77" s="3"/>
      <c r="X77" s="8">
        <f t="shared" si="26"/>
        <v>0</v>
      </c>
      <c r="Y77" s="3"/>
      <c r="Z77" s="7">
        <f t="shared" si="27"/>
        <v>0</v>
      </c>
    </row>
    <row r="78" spans="1:26" s="24" customFormat="1" hidden="1" outlineLevel="2" x14ac:dyDescent="0.3">
      <c r="A78" s="29"/>
      <c r="B78" s="11" t="str">
        <f>CONCATENATE("          ", "6010", " - ", "GRATUITY")</f>
        <v xml:space="preserve">          6010 - GRATUITY</v>
      </c>
      <c r="C78" s="11"/>
      <c r="D78" s="8"/>
      <c r="E78" s="3"/>
      <c r="F78" s="7">
        <f t="shared" si="20"/>
        <v>0</v>
      </c>
      <c r="G78" s="3"/>
      <c r="H78" s="8">
        <v>0</v>
      </c>
      <c r="I78" s="3"/>
      <c r="J78" s="7">
        <f t="shared" si="21"/>
        <v>0</v>
      </c>
      <c r="K78" s="3"/>
      <c r="L78" s="8">
        <f t="shared" si="22"/>
        <v>0</v>
      </c>
      <c r="M78" s="3"/>
      <c r="N78" s="7">
        <f t="shared" si="23"/>
        <v>0</v>
      </c>
      <c r="O78" s="11"/>
      <c r="P78" s="8"/>
      <c r="Q78" s="3"/>
      <c r="R78" s="7">
        <f t="shared" si="24"/>
        <v>0</v>
      </c>
      <c r="S78" s="3"/>
      <c r="T78" s="8">
        <v>0</v>
      </c>
      <c r="U78" s="3"/>
      <c r="V78" s="7">
        <f t="shared" si="25"/>
        <v>0</v>
      </c>
      <c r="W78" s="3"/>
      <c r="X78" s="8">
        <f t="shared" si="26"/>
        <v>0</v>
      </c>
      <c r="Y78" s="3"/>
      <c r="Z78" s="7">
        <f t="shared" si="27"/>
        <v>0</v>
      </c>
    </row>
    <row r="79" spans="1:26" s="27" customFormat="1" outlineLevel="1" collapsed="1" x14ac:dyDescent="0.3">
      <c r="A79" s="28"/>
      <c r="B79" s="14" t="str">
        <f>CONCATENATE("     ","Advertising/Promo                                 ")</f>
        <v xml:space="preserve">     Advertising/Promo                                 </v>
      </c>
      <c r="C79" s="14"/>
      <c r="D79" s="1">
        <f>SUM(OSRRefD22_2x_0)</f>
        <v>1084.78</v>
      </c>
      <c r="E79" s="1"/>
      <c r="F79" s="5">
        <f t="shared" ref="F79:F87" si="28">IF(D$12=0,0,D79/D$12)</f>
        <v>2.1517043824210921E-3</v>
      </c>
      <c r="G79" s="1"/>
      <c r="H79" s="1">
        <f>SUM(OSRRefH22_2x_0)</f>
        <v>4250</v>
      </c>
      <c r="I79" s="1"/>
      <c r="J79" s="5">
        <f t="shared" ref="J79:J87" si="29">IF(H$12=0,0,H79/H$12)</f>
        <v>6.454375915002703E-3</v>
      </c>
      <c r="K79" s="1"/>
      <c r="L79" s="1">
        <f t="shared" ref="L79:L87" si="30">+D79-H79</f>
        <v>-3165.2200000000003</v>
      </c>
      <c r="M79" s="1"/>
      <c r="N79" s="5">
        <f t="shared" ref="N79:N87" si="31">IF(H79=0,0,L79/H79)</f>
        <v>-0.74475764705882364</v>
      </c>
      <c r="O79" s="14"/>
      <c r="P79" s="1">
        <f>SUM(OSRRefP22_2x_0)</f>
        <v>1084.78</v>
      </c>
      <c r="Q79" s="1"/>
      <c r="R79" s="5">
        <f t="shared" ref="R79:R87" si="32">IF(P$12=0,0,P79/P$12)</f>
        <v>2.1517043824210921E-3</v>
      </c>
      <c r="S79" s="1"/>
      <c r="T79" s="1">
        <f>SUM(OSRRefT22_2x_0)</f>
        <v>4250</v>
      </c>
      <c r="U79" s="1"/>
      <c r="V79" s="5">
        <f t="shared" ref="V79:V87" si="33">IF(T$12=0,0,T79/T$12)</f>
        <v>6.454375915002703E-3</v>
      </c>
      <c r="W79" s="1"/>
      <c r="X79" s="1">
        <f t="shared" ref="X79:X87" si="34">+P79-T79</f>
        <v>-3165.2200000000003</v>
      </c>
      <c r="Y79" s="1"/>
      <c r="Z79" s="5">
        <f t="shared" ref="Z79:Z87" si="35">IF(T79=0,0,X79/T79)</f>
        <v>-0.74475764705882364</v>
      </c>
    </row>
    <row r="80" spans="1:26" s="24" customFormat="1" hidden="1" outlineLevel="2" x14ac:dyDescent="0.3">
      <c r="A80" s="29"/>
      <c r="B80" s="11" t="str">
        <f>CONCATENATE("          ", "6362", " - ", "ADVERTISING EXPENSE")</f>
        <v xml:space="preserve">          6362 - ADVERTISING EXPENSE</v>
      </c>
      <c r="C80" s="11"/>
      <c r="D80" s="8">
        <v>1084.78</v>
      </c>
      <c r="E80" s="3"/>
      <c r="F80" s="7">
        <f t="shared" si="28"/>
        <v>2.1517043824210921E-3</v>
      </c>
      <c r="G80" s="3"/>
      <c r="H80" s="8">
        <v>4250</v>
      </c>
      <c r="I80" s="3"/>
      <c r="J80" s="7">
        <f t="shared" si="29"/>
        <v>6.454375915002703E-3</v>
      </c>
      <c r="K80" s="3"/>
      <c r="L80" s="8">
        <f t="shared" si="30"/>
        <v>-3165.2200000000003</v>
      </c>
      <c r="M80" s="3"/>
      <c r="N80" s="7">
        <f t="shared" si="31"/>
        <v>-0.74475764705882364</v>
      </c>
      <c r="O80" s="11"/>
      <c r="P80" s="8">
        <v>1084.78</v>
      </c>
      <c r="Q80" s="3"/>
      <c r="R80" s="7">
        <f t="shared" si="32"/>
        <v>2.1517043824210921E-3</v>
      </c>
      <c r="S80" s="3"/>
      <c r="T80" s="8">
        <v>4250</v>
      </c>
      <c r="U80" s="3"/>
      <c r="V80" s="7">
        <f t="shared" si="33"/>
        <v>6.454375915002703E-3</v>
      </c>
      <c r="W80" s="3"/>
      <c r="X80" s="8">
        <f t="shared" si="34"/>
        <v>-3165.2200000000003</v>
      </c>
      <c r="Y80" s="3"/>
      <c r="Z80" s="7">
        <f t="shared" si="35"/>
        <v>-0.74475764705882364</v>
      </c>
    </row>
    <row r="81" spans="1:26" s="27" customFormat="1" outlineLevel="1" collapsed="1" x14ac:dyDescent="0.3">
      <c r="A81" s="28"/>
      <c r="B81" s="14" t="str">
        <f>CONCATENATE("     ","Bad Debts/Over/Short                              ")</f>
        <v xml:space="preserve">     Bad Debts/Over/Short                              </v>
      </c>
      <c r="C81" s="14"/>
      <c r="D81" s="1">
        <f>SUM(OSRRefD22_3x_0)</f>
        <v>-17.75</v>
      </c>
      <c r="E81" s="1"/>
      <c r="F81" s="5">
        <f t="shared" si="28"/>
        <v>-3.5207832729193377E-5</v>
      </c>
      <c r="G81" s="1"/>
      <c r="H81" s="1">
        <f>SUM(OSRRefH22_3x_0)</f>
        <v>260</v>
      </c>
      <c r="I81" s="1"/>
      <c r="J81" s="5">
        <f t="shared" si="29"/>
        <v>3.9485593832957712E-4</v>
      </c>
      <c r="K81" s="1"/>
      <c r="L81" s="1">
        <f t="shared" si="30"/>
        <v>-277.75</v>
      </c>
      <c r="M81" s="1"/>
      <c r="N81" s="5">
        <f t="shared" si="31"/>
        <v>-1.0682692307692307</v>
      </c>
      <c r="O81" s="14"/>
      <c r="P81" s="1">
        <f>SUM(OSRRefP22_3x_0)</f>
        <v>-17.75</v>
      </c>
      <c r="Q81" s="1"/>
      <c r="R81" s="5">
        <f t="shared" si="32"/>
        <v>-3.5207832729193377E-5</v>
      </c>
      <c r="S81" s="1"/>
      <c r="T81" s="1">
        <f>SUM(OSRRefT22_3x_0)</f>
        <v>260</v>
      </c>
      <c r="U81" s="1"/>
      <c r="V81" s="5">
        <f t="shared" si="33"/>
        <v>3.9485593832957712E-4</v>
      </c>
      <c r="W81" s="1"/>
      <c r="X81" s="1">
        <f t="shared" si="34"/>
        <v>-277.75</v>
      </c>
      <c r="Y81" s="1"/>
      <c r="Z81" s="5">
        <f t="shared" si="35"/>
        <v>-1.0682692307692307</v>
      </c>
    </row>
    <row r="82" spans="1:26" s="24" customFormat="1" hidden="1" outlineLevel="2" x14ac:dyDescent="0.3">
      <c r="A82" s="29"/>
      <c r="B82" s="11" t="str">
        <f>CONCATENATE("          ", "6272", " - ", "CASH (OVER/SHORT)")</f>
        <v xml:space="preserve">          6272 - CASH (OVER/SHORT)</v>
      </c>
      <c r="C82" s="11"/>
      <c r="D82" s="8">
        <v>-17.75</v>
      </c>
      <c r="E82" s="3"/>
      <c r="F82" s="7">
        <f t="shared" si="28"/>
        <v>-3.5207832729193377E-5</v>
      </c>
      <c r="G82" s="3"/>
      <c r="H82" s="8">
        <v>260</v>
      </c>
      <c r="I82" s="3"/>
      <c r="J82" s="7">
        <f t="shared" si="29"/>
        <v>3.9485593832957712E-4</v>
      </c>
      <c r="K82" s="3"/>
      <c r="L82" s="8">
        <f t="shared" si="30"/>
        <v>-277.75</v>
      </c>
      <c r="M82" s="3"/>
      <c r="N82" s="7">
        <f t="shared" si="31"/>
        <v>-1.0682692307692307</v>
      </c>
      <c r="O82" s="11"/>
      <c r="P82" s="8">
        <v>-17.75</v>
      </c>
      <c r="Q82" s="3"/>
      <c r="R82" s="7">
        <f t="shared" si="32"/>
        <v>-3.5207832729193377E-5</v>
      </c>
      <c r="S82" s="3"/>
      <c r="T82" s="8">
        <v>260</v>
      </c>
      <c r="U82" s="3"/>
      <c r="V82" s="7">
        <f t="shared" si="33"/>
        <v>3.9485593832957712E-4</v>
      </c>
      <c r="W82" s="3"/>
      <c r="X82" s="8">
        <f t="shared" si="34"/>
        <v>-277.75</v>
      </c>
      <c r="Y82" s="3"/>
      <c r="Z82" s="7">
        <f t="shared" si="35"/>
        <v>-1.0682692307692307</v>
      </c>
    </row>
    <row r="83" spans="1:26" s="27" customFormat="1" outlineLevel="1" collapsed="1" x14ac:dyDescent="0.3">
      <c r="A83" s="28"/>
      <c r="B83" s="14" t="str">
        <f>CONCATENATE("     ","Bank/card Fees                                    ")</f>
        <v xml:space="preserve">     Bank/card Fees                                    </v>
      </c>
      <c r="C83" s="14"/>
      <c r="D83" s="1">
        <f>SUM(OSRRefD22_4x_0)</f>
        <v>5091.76</v>
      </c>
      <c r="E83" s="1"/>
      <c r="F83" s="5">
        <f t="shared" si="28"/>
        <v>1.0099708978997052E-2</v>
      </c>
      <c r="G83" s="1"/>
      <c r="H83" s="1">
        <f>SUM(OSRRefH22_4x_0)</f>
        <v>13982</v>
      </c>
      <c r="I83" s="1"/>
      <c r="J83" s="5">
        <f t="shared" si="29"/>
        <v>2.1234137422015954E-2</v>
      </c>
      <c r="K83" s="1"/>
      <c r="L83" s="1">
        <f t="shared" si="30"/>
        <v>-8890.24</v>
      </c>
      <c r="M83" s="1"/>
      <c r="N83" s="5">
        <f t="shared" si="31"/>
        <v>-0.63583464454298377</v>
      </c>
      <c r="O83" s="14"/>
      <c r="P83" s="1">
        <f>SUM(OSRRefP22_4x_0)</f>
        <v>5091.76</v>
      </c>
      <c r="Q83" s="1"/>
      <c r="R83" s="5">
        <f t="shared" si="32"/>
        <v>1.0099708978997052E-2</v>
      </c>
      <c r="S83" s="1"/>
      <c r="T83" s="1">
        <f>SUM(OSRRefT22_4x_0)</f>
        <v>13982</v>
      </c>
      <c r="U83" s="1"/>
      <c r="V83" s="5">
        <f t="shared" si="33"/>
        <v>2.1234137422015954E-2</v>
      </c>
      <c r="W83" s="1"/>
      <c r="X83" s="1">
        <f t="shared" si="34"/>
        <v>-8890.24</v>
      </c>
      <c r="Y83" s="1"/>
      <c r="Z83" s="5">
        <f t="shared" si="35"/>
        <v>-0.63583464454298377</v>
      </c>
    </row>
    <row r="84" spans="1:26" s="24" customFormat="1" hidden="1" outlineLevel="2" x14ac:dyDescent="0.3">
      <c r="A84" s="29"/>
      <c r="B84" s="11" t="str">
        <f>CONCATENATE("          ", "6381", " - ", "BANK/CREDIT CARD FEES")</f>
        <v xml:space="preserve">          6381 - BANK/CREDIT CARD FEES</v>
      </c>
      <c r="C84" s="11"/>
      <c r="D84" s="8">
        <v>5091.76</v>
      </c>
      <c r="E84" s="3"/>
      <c r="F84" s="7">
        <f t="shared" si="28"/>
        <v>1.0099708978997052E-2</v>
      </c>
      <c r="G84" s="3"/>
      <c r="H84" s="8">
        <v>13982</v>
      </c>
      <c r="I84" s="3"/>
      <c r="J84" s="7">
        <f t="shared" si="29"/>
        <v>2.1234137422015954E-2</v>
      </c>
      <c r="K84" s="3"/>
      <c r="L84" s="8">
        <f t="shared" si="30"/>
        <v>-8890.24</v>
      </c>
      <c r="M84" s="3"/>
      <c r="N84" s="7">
        <f t="shared" si="31"/>
        <v>-0.63583464454298377</v>
      </c>
      <c r="O84" s="11"/>
      <c r="P84" s="8">
        <v>5091.76</v>
      </c>
      <c r="Q84" s="3"/>
      <c r="R84" s="7">
        <f t="shared" si="32"/>
        <v>1.0099708978997052E-2</v>
      </c>
      <c r="S84" s="3"/>
      <c r="T84" s="8">
        <v>13982</v>
      </c>
      <c r="U84" s="3"/>
      <c r="V84" s="7">
        <f t="shared" si="33"/>
        <v>2.1234137422015954E-2</v>
      </c>
      <c r="W84" s="3"/>
      <c r="X84" s="8">
        <f t="shared" si="34"/>
        <v>-8890.24</v>
      </c>
      <c r="Y84" s="3"/>
      <c r="Z84" s="7">
        <f t="shared" si="35"/>
        <v>-0.63583464454298377</v>
      </c>
    </row>
    <row r="85" spans="1:26" s="27" customFormat="1" outlineLevel="1" collapsed="1" x14ac:dyDescent="0.3">
      <c r="A85" s="28"/>
      <c r="B85" s="14" t="str">
        <f>CONCATENATE("     ","Depreciation                                      ")</f>
        <v xml:space="preserve">     Depreciation                                      </v>
      </c>
      <c r="C85" s="14"/>
      <c r="D85" s="1">
        <f>SUM(OSRRefD22_5x_0)</f>
        <v>71722.81</v>
      </c>
      <c r="E85" s="1"/>
      <c r="F85" s="5">
        <f t="shared" si="28"/>
        <v>0.14226505337170242</v>
      </c>
      <c r="G85" s="1"/>
      <c r="H85" s="1">
        <f>SUM(OSRRefH22_5x_0)</f>
        <v>71047</v>
      </c>
      <c r="I85" s="1"/>
      <c r="J85" s="5">
        <f t="shared" si="29"/>
        <v>0.10789742250192871</v>
      </c>
      <c r="K85" s="1"/>
      <c r="L85" s="1">
        <f t="shared" si="30"/>
        <v>675.80999999999767</v>
      </c>
      <c r="M85" s="1"/>
      <c r="N85" s="5">
        <f t="shared" si="31"/>
        <v>9.512153926274124E-3</v>
      </c>
      <c r="O85" s="14"/>
      <c r="P85" s="1">
        <f>SUM(OSRRefP22_5x_0)</f>
        <v>71722.81</v>
      </c>
      <c r="Q85" s="1"/>
      <c r="R85" s="5">
        <f t="shared" si="32"/>
        <v>0.14226505337170242</v>
      </c>
      <c r="S85" s="1"/>
      <c r="T85" s="1">
        <f>SUM(OSRRefT22_5x_0)</f>
        <v>71047</v>
      </c>
      <c r="U85" s="1"/>
      <c r="V85" s="5">
        <f t="shared" si="33"/>
        <v>0.10789742250192871</v>
      </c>
      <c r="W85" s="1"/>
      <c r="X85" s="1">
        <f t="shared" si="34"/>
        <v>675.80999999999767</v>
      </c>
      <c r="Y85" s="1"/>
      <c r="Z85" s="5">
        <f t="shared" si="35"/>
        <v>9.512153926274124E-3</v>
      </c>
    </row>
    <row r="86" spans="1:26" s="24" customFormat="1" hidden="1" outlineLevel="2" x14ac:dyDescent="0.3">
      <c r="A86" s="29"/>
      <c r="B86" s="11" t="str">
        <f>CONCATENATE("          ", "6321", " - ", "BUILDING DEPRECIATION")</f>
        <v xml:space="preserve">          6321 - BUILDING DEPRECIATION</v>
      </c>
      <c r="C86" s="11"/>
      <c r="D86" s="8">
        <v>45060.5</v>
      </c>
      <c r="E86" s="3"/>
      <c r="F86" s="7">
        <f t="shared" si="28"/>
        <v>8.9379298405285523E-2</v>
      </c>
      <c r="G86" s="3"/>
      <c r="H86" s="8"/>
      <c r="I86" s="3"/>
      <c r="J86" s="7">
        <f t="shared" si="29"/>
        <v>0</v>
      </c>
      <c r="K86" s="3"/>
      <c r="L86" s="8">
        <f t="shared" si="30"/>
        <v>45060.5</v>
      </c>
      <c r="M86" s="3"/>
      <c r="N86" s="7">
        <f t="shared" si="31"/>
        <v>0</v>
      </c>
      <c r="O86" s="11"/>
      <c r="P86" s="8">
        <v>45060.5</v>
      </c>
      <c r="Q86" s="3"/>
      <c r="R86" s="7">
        <f t="shared" si="32"/>
        <v>8.9379298405285523E-2</v>
      </c>
      <c r="S86" s="3"/>
      <c r="T86" s="8"/>
      <c r="U86" s="3"/>
      <c r="V86" s="7">
        <f t="shared" si="33"/>
        <v>0</v>
      </c>
      <c r="W86" s="3"/>
      <c r="X86" s="8">
        <f t="shared" si="34"/>
        <v>45060.5</v>
      </c>
      <c r="Y86" s="3"/>
      <c r="Z86" s="7">
        <f t="shared" si="35"/>
        <v>0</v>
      </c>
    </row>
    <row r="87" spans="1:26" s="24" customFormat="1" hidden="1" outlineLevel="2" x14ac:dyDescent="0.3">
      <c r="A87" s="29"/>
      <c r="B87" s="11" t="str">
        <f>CONCATENATE("          ", "6322", " - ", "EQUIPMENT DEPRECIATION EXPENSE")</f>
        <v xml:space="preserve">          6322 - EQUIPMENT DEPRECIATION EXPENSE</v>
      </c>
      <c r="C87" s="11"/>
      <c r="D87" s="8">
        <v>26662.31</v>
      </c>
      <c r="E87" s="3"/>
      <c r="F87" s="7">
        <f t="shared" si="28"/>
        <v>5.2885754966416891E-2</v>
      </c>
      <c r="G87" s="3"/>
      <c r="H87" s="8">
        <v>71047</v>
      </c>
      <c r="I87" s="3"/>
      <c r="J87" s="7">
        <f t="shared" si="29"/>
        <v>0.10789742250192871</v>
      </c>
      <c r="K87" s="3"/>
      <c r="L87" s="8">
        <f t="shared" si="30"/>
        <v>-44384.69</v>
      </c>
      <c r="M87" s="3"/>
      <c r="N87" s="7">
        <f t="shared" si="31"/>
        <v>-0.62472292989148037</v>
      </c>
      <c r="O87" s="11"/>
      <c r="P87" s="8">
        <v>26662.31</v>
      </c>
      <c r="Q87" s="3"/>
      <c r="R87" s="7">
        <f t="shared" si="32"/>
        <v>5.2885754966416891E-2</v>
      </c>
      <c r="S87" s="3"/>
      <c r="T87" s="8">
        <v>71047</v>
      </c>
      <c r="U87" s="3"/>
      <c r="V87" s="7">
        <f t="shared" si="33"/>
        <v>0.10789742250192871</v>
      </c>
      <c r="W87" s="3"/>
      <c r="X87" s="8">
        <f t="shared" si="34"/>
        <v>-44384.69</v>
      </c>
      <c r="Y87" s="3"/>
      <c r="Z87" s="7">
        <f t="shared" si="35"/>
        <v>-0.62472292989148037</v>
      </c>
    </row>
    <row r="88" spans="1:26" s="27" customFormat="1" outlineLevel="1" collapsed="1" x14ac:dyDescent="0.3">
      <c r="A88" s="28"/>
      <c r="B88" s="14" t="str">
        <f>CONCATENATE("     ","Discounts and Markdowns                           ")</f>
        <v xml:space="preserve">     Discounts and Markdowns                           </v>
      </c>
      <c r="C88" s="14"/>
      <c r="D88" s="1">
        <f>SUM(OSRRefD22_6x_0)</f>
        <v>-0.68</v>
      </c>
      <c r="E88" s="1"/>
      <c r="F88" s="5">
        <f t="shared" ref="F88:F90" si="36">IF(D$12=0,0,D88/D$12)</f>
        <v>-1.3488071130057181E-6</v>
      </c>
      <c r="G88" s="1"/>
      <c r="H88" s="1">
        <f>SUM(OSRRefH22_6x_0)</f>
        <v>0</v>
      </c>
      <c r="I88" s="1"/>
      <c r="J88" s="5">
        <f t="shared" ref="J88:J90" si="37">IF(H$12=0,0,H88/H$12)</f>
        <v>0</v>
      </c>
      <c r="K88" s="1"/>
      <c r="L88" s="1">
        <f t="shared" ref="L88:L90" si="38">+D88-H88</f>
        <v>-0.68</v>
      </c>
      <c r="M88" s="1"/>
      <c r="N88" s="5">
        <f t="shared" ref="N88:N90" si="39">IF(H88=0,0,L88/H88)</f>
        <v>0</v>
      </c>
      <c r="O88" s="14"/>
      <c r="P88" s="1">
        <f>SUM(OSRRefP22_6x_0)</f>
        <v>-0.68</v>
      </c>
      <c r="Q88" s="1"/>
      <c r="R88" s="5">
        <f t="shared" ref="R88:R90" si="40">IF(P$12=0,0,P88/P$12)</f>
        <v>-1.3488071130057181E-6</v>
      </c>
      <c r="S88" s="1"/>
      <c r="T88" s="1">
        <f>SUM(OSRRefT22_6x_0)</f>
        <v>0</v>
      </c>
      <c r="U88" s="1"/>
      <c r="V88" s="5">
        <f t="shared" ref="V88:V90" si="41">IF(T$12=0,0,T88/T$12)</f>
        <v>0</v>
      </c>
      <c r="W88" s="1"/>
      <c r="X88" s="1">
        <f t="shared" ref="X88:X90" si="42">+P88-T88</f>
        <v>-0.68</v>
      </c>
      <c r="Y88" s="1"/>
      <c r="Z88" s="5">
        <f t="shared" ref="Z88:Z90" si="43">IF(T88=0,0,X88/T88)</f>
        <v>0</v>
      </c>
    </row>
    <row r="89" spans="1:26" s="24" customFormat="1" hidden="1" outlineLevel="2" x14ac:dyDescent="0.3">
      <c r="A89" s="29"/>
      <c r="B89" s="11" t="str">
        <f>CONCATENATE("          ", "6382", " - ", "DISCOUNTS/MARK DOWNS")</f>
        <v xml:space="preserve">          6382 - DISCOUNTS/MARK DOWNS</v>
      </c>
      <c r="C89" s="11"/>
      <c r="D89" s="8"/>
      <c r="E89" s="3"/>
      <c r="F89" s="7">
        <f t="shared" si="36"/>
        <v>0</v>
      </c>
      <c r="G89" s="3"/>
      <c r="H89" s="8">
        <v>0</v>
      </c>
      <c r="I89" s="3"/>
      <c r="J89" s="7">
        <f t="shared" si="37"/>
        <v>0</v>
      </c>
      <c r="K89" s="3"/>
      <c r="L89" s="8">
        <f t="shared" si="38"/>
        <v>0</v>
      </c>
      <c r="M89" s="3"/>
      <c r="N89" s="7">
        <f t="shared" si="39"/>
        <v>0</v>
      </c>
      <c r="O89" s="11"/>
      <c r="P89" s="8"/>
      <c r="Q89" s="3"/>
      <c r="R89" s="7">
        <f t="shared" si="40"/>
        <v>0</v>
      </c>
      <c r="S89" s="3"/>
      <c r="T89" s="8">
        <v>0</v>
      </c>
      <c r="U89" s="3"/>
      <c r="V89" s="7">
        <f t="shared" si="41"/>
        <v>0</v>
      </c>
      <c r="W89" s="3"/>
      <c r="X89" s="8">
        <f t="shared" si="42"/>
        <v>0</v>
      </c>
      <c r="Y89" s="3"/>
      <c r="Z89" s="7">
        <f t="shared" si="43"/>
        <v>0</v>
      </c>
    </row>
    <row r="90" spans="1:26" s="24" customFormat="1" hidden="1" outlineLevel="2" x14ac:dyDescent="0.3">
      <c r="A90" s="29"/>
      <c r="B90" s="11" t="str">
        <f>CONCATENATE("          ", "9175", " - ", "EARNED DISCOUNTS")</f>
        <v xml:space="preserve">          9175 - EARNED DISCOUNTS</v>
      </c>
      <c r="C90" s="11"/>
      <c r="D90" s="8">
        <v>-0.68</v>
      </c>
      <c r="E90" s="3"/>
      <c r="F90" s="7">
        <f t="shared" si="36"/>
        <v>-1.3488071130057181E-6</v>
      </c>
      <c r="G90" s="3"/>
      <c r="H90" s="8"/>
      <c r="I90" s="3"/>
      <c r="J90" s="7">
        <f t="shared" si="37"/>
        <v>0</v>
      </c>
      <c r="K90" s="3"/>
      <c r="L90" s="8">
        <f t="shared" si="38"/>
        <v>-0.68</v>
      </c>
      <c r="M90" s="3"/>
      <c r="N90" s="7">
        <f t="shared" si="39"/>
        <v>0</v>
      </c>
      <c r="O90" s="11"/>
      <c r="P90" s="8">
        <v>-0.68</v>
      </c>
      <c r="Q90" s="3"/>
      <c r="R90" s="7">
        <f t="shared" si="40"/>
        <v>-1.3488071130057181E-6</v>
      </c>
      <c r="S90" s="3"/>
      <c r="T90" s="8"/>
      <c r="U90" s="3"/>
      <c r="V90" s="7">
        <f t="shared" si="41"/>
        <v>0</v>
      </c>
      <c r="W90" s="3"/>
      <c r="X90" s="8">
        <f t="shared" si="42"/>
        <v>-0.68</v>
      </c>
      <c r="Y90" s="3"/>
      <c r="Z90" s="7">
        <f t="shared" si="43"/>
        <v>0</v>
      </c>
    </row>
    <row r="91" spans="1:26" s="27" customFormat="1" outlineLevel="1" collapsed="1" x14ac:dyDescent="0.3">
      <c r="A91" s="28"/>
      <c r="B91" s="14" t="str">
        <f>CONCATENATE("     ","Donations                                         ")</f>
        <v xml:space="preserve">     Donations                                         </v>
      </c>
      <c r="C91" s="14"/>
      <c r="D91" s="1">
        <f>SUM(OSRRefD22_7x_0)</f>
        <v>0</v>
      </c>
      <c r="E91" s="1"/>
      <c r="F91" s="5">
        <f t="shared" ref="F91:F99" si="44">IF(D$12=0,0,D91/D$12)</f>
        <v>0</v>
      </c>
      <c r="G91" s="1"/>
      <c r="H91" s="1">
        <f>SUM(OSRRefH22_7x_0)</f>
        <v>1250</v>
      </c>
      <c r="I91" s="1"/>
      <c r="J91" s="5">
        <f t="shared" ref="J91:J99" si="45">IF(H$12=0,0,H91/H$12)</f>
        <v>1.8983458573537362E-3</v>
      </c>
      <c r="K91" s="1"/>
      <c r="L91" s="1">
        <f t="shared" ref="L91:L99" si="46">+D91-H91</f>
        <v>-1250</v>
      </c>
      <c r="M91" s="1"/>
      <c r="N91" s="5">
        <f t="shared" ref="N91:N99" si="47">IF(H91=0,0,L91/H91)</f>
        <v>-1</v>
      </c>
      <c r="O91" s="14"/>
      <c r="P91" s="1">
        <f>SUM(OSRRefP22_7x_0)</f>
        <v>0</v>
      </c>
      <c r="Q91" s="1"/>
      <c r="R91" s="5">
        <f t="shared" ref="R91:R99" si="48">IF(P$12=0,0,P91/P$12)</f>
        <v>0</v>
      </c>
      <c r="S91" s="1"/>
      <c r="T91" s="1">
        <f>SUM(OSRRefT22_7x_0)</f>
        <v>1250</v>
      </c>
      <c r="U91" s="1"/>
      <c r="V91" s="5">
        <f t="shared" ref="V91:V99" si="49">IF(T$12=0,0,T91/T$12)</f>
        <v>1.8983458573537362E-3</v>
      </c>
      <c r="W91" s="1"/>
      <c r="X91" s="1">
        <f t="shared" ref="X91:X99" si="50">+P91-T91</f>
        <v>-1250</v>
      </c>
      <c r="Y91" s="1"/>
      <c r="Z91" s="5">
        <f t="shared" ref="Z91:Z99" si="51">IF(T91=0,0,X91/T91)</f>
        <v>-1</v>
      </c>
    </row>
    <row r="92" spans="1:26" s="24" customFormat="1" hidden="1" outlineLevel="2" x14ac:dyDescent="0.3">
      <c r="A92" s="29"/>
      <c r="B92" s="11" t="str">
        <f>CONCATENATE("          ", "6399", " - ", "DONATION-ON CAMPUS")</f>
        <v xml:space="preserve">          6399 - DONATION-ON CAMPUS</v>
      </c>
      <c r="C92" s="11"/>
      <c r="D92" s="8"/>
      <c r="E92" s="3"/>
      <c r="F92" s="7">
        <f t="shared" si="44"/>
        <v>0</v>
      </c>
      <c r="G92" s="3"/>
      <c r="H92" s="8">
        <v>1250</v>
      </c>
      <c r="I92" s="3"/>
      <c r="J92" s="7">
        <f t="shared" si="45"/>
        <v>1.8983458573537362E-3</v>
      </c>
      <c r="K92" s="3"/>
      <c r="L92" s="8">
        <f t="shared" si="46"/>
        <v>-1250</v>
      </c>
      <c r="M92" s="3"/>
      <c r="N92" s="7">
        <f t="shared" si="47"/>
        <v>-1</v>
      </c>
      <c r="O92" s="11"/>
      <c r="P92" s="8"/>
      <c r="Q92" s="3"/>
      <c r="R92" s="7">
        <f t="shared" si="48"/>
        <v>0</v>
      </c>
      <c r="S92" s="3"/>
      <c r="T92" s="8">
        <v>1250</v>
      </c>
      <c r="U92" s="3"/>
      <c r="V92" s="7">
        <f t="shared" si="49"/>
        <v>1.8983458573537362E-3</v>
      </c>
      <c r="W92" s="3"/>
      <c r="X92" s="8">
        <f t="shared" si="50"/>
        <v>-1250</v>
      </c>
      <c r="Y92" s="3"/>
      <c r="Z92" s="7">
        <f t="shared" si="51"/>
        <v>-1</v>
      </c>
    </row>
    <row r="93" spans="1:26" s="27" customFormat="1" outlineLevel="1" collapsed="1" x14ac:dyDescent="0.3">
      <c r="A93" s="28"/>
      <c r="B93" s="14" t="str">
        <f>CONCATENATE("     ","Employees' Appreciation                           ")</f>
        <v xml:space="preserve">     Employees' Appreciation                           </v>
      </c>
      <c r="C93" s="14"/>
      <c r="D93" s="1">
        <f>SUM(OSRRefD22_8x_0)</f>
        <v>537.36</v>
      </c>
      <c r="E93" s="1"/>
      <c r="F93" s="5">
        <f t="shared" si="44"/>
        <v>1.065874985654048E-3</v>
      </c>
      <c r="G93" s="1"/>
      <c r="H93" s="1">
        <f>SUM(OSRRefH22_8x_0)</f>
        <v>465</v>
      </c>
      <c r="I93" s="1"/>
      <c r="J93" s="5">
        <f t="shared" si="45"/>
        <v>7.061846589355899E-4</v>
      </c>
      <c r="K93" s="1"/>
      <c r="L93" s="1">
        <f t="shared" si="46"/>
        <v>72.360000000000014</v>
      </c>
      <c r="M93" s="1"/>
      <c r="N93" s="5">
        <f t="shared" si="47"/>
        <v>0.15561290322580648</v>
      </c>
      <c r="O93" s="14"/>
      <c r="P93" s="1">
        <f>SUM(OSRRefP22_8x_0)</f>
        <v>537.36</v>
      </c>
      <c r="Q93" s="1"/>
      <c r="R93" s="5">
        <f t="shared" si="48"/>
        <v>1.065874985654048E-3</v>
      </c>
      <c r="S93" s="1"/>
      <c r="T93" s="1">
        <f>SUM(OSRRefT22_8x_0)</f>
        <v>465</v>
      </c>
      <c r="U93" s="1"/>
      <c r="V93" s="5">
        <f t="shared" si="49"/>
        <v>7.061846589355899E-4</v>
      </c>
      <c r="W93" s="1"/>
      <c r="X93" s="1">
        <f t="shared" si="50"/>
        <v>72.360000000000014</v>
      </c>
      <c r="Y93" s="1"/>
      <c r="Z93" s="5">
        <f t="shared" si="51"/>
        <v>0.15561290322580648</v>
      </c>
    </row>
    <row r="94" spans="1:26" s="24" customFormat="1" hidden="1" outlineLevel="2" x14ac:dyDescent="0.3">
      <c r="A94" s="29"/>
      <c r="B94" s="11" t="str">
        <f>CONCATENATE("          ", "6277", " - ", "EMPLOYEE APPRECIATION")</f>
        <v xml:space="preserve">          6277 - EMPLOYEE APPRECIATION</v>
      </c>
      <c r="C94" s="11"/>
      <c r="D94" s="8">
        <v>537.36</v>
      </c>
      <c r="E94" s="3"/>
      <c r="F94" s="7">
        <f t="shared" si="44"/>
        <v>1.065874985654048E-3</v>
      </c>
      <c r="G94" s="3"/>
      <c r="H94" s="8">
        <v>465</v>
      </c>
      <c r="I94" s="3"/>
      <c r="J94" s="7">
        <f t="shared" si="45"/>
        <v>7.061846589355899E-4</v>
      </c>
      <c r="K94" s="3"/>
      <c r="L94" s="8">
        <f t="shared" si="46"/>
        <v>72.360000000000014</v>
      </c>
      <c r="M94" s="3"/>
      <c r="N94" s="7">
        <f t="shared" si="47"/>
        <v>0.15561290322580648</v>
      </c>
      <c r="O94" s="11"/>
      <c r="P94" s="8">
        <v>537.36</v>
      </c>
      <c r="Q94" s="3"/>
      <c r="R94" s="7">
        <f t="shared" si="48"/>
        <v>1.065874985654048E-3</v>
      </c>
      <c r="S94" s="3"/>
      <c r="T94" s="8">
        <v>465</v>
      </c>
      <c r="U94" s="3"/>
      <c r="V94" s="7">
        <f t="shared" si="49"/>
        <v>7.061846589355899E-4</v>
      </c>
      <c r="W94" s="3"/>
      <c r="X94" s="8">
        <f t="shared" si="50"/>
        <v>72.360000000000014</v>
      </c>
      <c r="Y94" s="3"/>
      <c r="Z94" s="7">
        <f t="shared" si="51"/>
        <v>0.15561290322580648</v>
      </c>
    </row>
    <row r="95" spans="1:26" s="27" customFormat="1" outlineLevel="1" collapsed="1" x14ac:dyDescent="0.3">
      <c r="A95" s="28"/>
      <c r="B95" s="14" t="str">
        <f>CONCATENATE("     ","Equipment Rental                                  ")</f>
        <v xml:space="preserve">     Equipment Rental                                  </v>
      </c>
      <c r="C95" s="14"/>
      <c r="D95" s="1">
        <f>SUM(OSRRefD22_9x_0)</f>
        <v>2713.62</v>
      </c>
      <c r="E95" s="1"/>
      <c r="F95" s="5">
        <f t="shared" si="44"/>
        <v>5.3825734676390827E-3</v>
      </c>
      <c r="G95" s="1"/>
      <c r="H95" s="1">
        <f>SUM(OSRRefH22_9x_0)</f>
        <v>3346</v>
      </c>
      <c r="I95" s="1"/>
      <c r="J95" s="5">
        <f t="shared" si="45"/>
        <v>5.0814921909644812E-3</v>
      </c>
      <c r="K95" s="1"/>
      <c r="L95" s="1">
        <f t="shared" si="46"/>
        <v>-632.38000000000011</v>
      </c>
      <c r="M95" s="1"/>
      <c r="N95" s="5">
        <f t="shared" si="47"/>
        <v>-0.18899581589958162</v>
      </c>
      <c r="O95" s="14"/>
      <c r="P95" s="1">
        <f>SUM(OSRRefP22_9x_0)</f>
        <v>2713.62</v>
      </c>
      <c r="Q95" s="1"/>
      <c r="R95" s="5">
        <f t="shared" si="48"/>
        <v>5.3825734676390827E-3</v>
      </c>
      <c r="S95" s="1"/>
      <c r="T95" s="1">
        <f>SUM(OSRRefT22_9x_0)</f>
        <v>3346</v>
      </c>
      <c r="U95" s="1"/>
      <c r="V95" s="5">
        <f t="shared" si="49"/>
        <v>5.0814921909644812E-3</v>
      </c>
      <c r="W95" s="1"/>
      <c r="X95" s="1">
        <f t="shared" si="50"/>
        <v>-632.38000000000011</v>
      </c>
      <c r="Y95" s="1"/>
      <c r="Z95" s="5">
        <f t="shared" si="51"/>
        <v>-0.18899581589958162</v>
      </c>
    </row>
    <row r="96" spans="1:26" s="24" customFormat="1" hidden="1" outlineLevel="2" x14ac:dyDescent="0.3">
      <c r="A96" s="29"/>
      <c r="B96" s="11" t="str">
        <f>CONCATENATE("          ", "6351", " - ", "EQUIPMENT RENTAL")</f>
        <v xml:space="preserve">          6351 - EQUIPMENT RENTAL</v>
      </c>
      <c r="C96" s="11"/>
      <c r="D96" s="8">
        <v>2713.62</v>
      </c>
      <c r="E96" s="3"/>
      <c r="F96" s="7">
        <f t="shared" si="44"/>
        <v>5.3825734676390827E-3</v>
      </c>
      <c r="G96" s="3"/>
      <c r="H96" s="8">
        <v>3346</v>
      </c>
      <c r="I96" s="3"/>
      <c r="J96" s="7">
        <f t="shared" si="45"/>
        <v>5.0814921909644812E-3</v>
      </c>
      <c r="K96" s="3"/>
      <c r="L96" s="8">
        <f t="shared" si="46"/>
        <v>-632.38000000000011</v>
      </c>
      <c r="M96" s="3"/>
      <c r="N96" s="7">
        <f t="shared" si="47"/>
        <v>-0.18899581589958162</v>
      </c>
      <c r="O96" s="11"/>
      <c r="P96" s="8">
        <v>2713.62</v>
      </c>
      <c r="Q96" s="3"/>
      <c r="R96" s="7">
        <f t="shared" si="48"/>
        <v>5.3825734676390827E-3</v>
      </c>
      <c r="S96" s="3"/>
      <c r="T96" s="8">
        <v>3346</v>
      </c>
      <c r="U96" s="3"/>
      <c r="V96" s="7">
        <f t="shared" si="49"/>
        <v>5.0814921909644812E-3</v>
      </c>
      <c r="W96" s="3"/>
      <c r="X96" s="8">
        <f t="shared" si="50"/>
        <v>-632.38000000000011</v>
      </c>
      <c r="Y96" s="3"/>
      <c r="Z96" s="7">
        <f t="shared" si="51"/>
        <v>-0.18899581589958162</v>
      </c>
    </row>
    <row r="97" spans="1:26" s="27" customFormat="1" outlineLevel="1" collapsed="1" x14ac:dyDescent="0.3">
      <c r="A97" s="28"/>
      <c r="B97" s="14" t="str">
        <f>CONCATENATE("     ","Freight out/Postage                               ")</f>
        <v xml:space="preserve">     Freight out/Postage                               </v>
      </c>
      <c r="C97" s="14"/>
      <c r="D97" s="1">
        <f>SUM(OSRRefD22_10x_0)</f>
        <v>3682.8</v>
      </c>
      <c r="E97" s="1"/>
      <c r="F97" s="5">
        <f t="shared" si="44"/>
        <v>7.3049806408492035E-3</v>
      </c>
      <c r="G97" s="1"/>
      <c r="H97" s="1">
        <f>SUM(OSRRefH22_10x_0)</f>
        <v>5475</v>
      </c>
      <c r="I97" s="1"/>
      <c r="J97" s="5">
        <f t="shared" si="45"/>
        <v>8.314754855209364E-3</v>
      </c>
      <c r="K97" s="1"/>
      <c r="L97" s="1">
        <f t="shared" si="46"/>
        <v>-1792.1999999999998</v>
      </c>
      <c r="M97" s="1"/>
      <c r="N97" s="5">
        <f t="shared" si="47"/>
        <v>-0.32734246575342463</v>
      </c>
      <c r="O97" s="14"/>
      <c r="P97" s="1">
        <f>SUM(OSRRefP22_10x_0)</f>
        <v>3682.8</v>
      </c>
      <c r="Q97" s="1"/>
      <c r="R97" s="5">
        <f t="shared" si="48"/>
        <v>7.3049806408492035E-3</v>
      </c>
      <c r="S97" s="1"/>
      <c r="T97" s="1">
        <f>SUM(OSRRefT22_10x_0)</f>
        <v>5475</v>
      </c>
      <c r="U97" s="1"/>
      <c r="V97" s="5">
        <f t="shared" si="49"/>
        <v>8.314754855209364E-3</v>
      </c>
      <c r="W97" s="1"/>
      <c r="X97" s="1">
        <f t="shared" si="50"/>
        <v>-1792.1999999999998</v>
      </c>
      <c r="Y97" s="1"/>
      <c r="Z97" s="5">
        <f t="shared" si="51"/>
        <v>-0.32734246575342463</v>
      </c>
    </row>
    <row r="98" spans="1:26" s="24" customFormat="1" hidden="1" outlineLevel="2" x14ac:dyDescent="0.3">
      <c r="A98" s="29"/>
      <c r="B98" s="11" t="str">
        <f>CONCATENATE("          ", "6305", " - ", "FREIGHT OUT")</f>
        <v xml:space="preserve">          6305 - FREIGHT OUT</v>
      </c>
      <c r="C98" s="11"/>
      <c r="D98" s="8">
        <v>10982.69</v>
      </c>
      <c r="E98" s="3"/>
      <c r="F98" s="7">
        <f t="shared" si="44"/>
        <v>2.1784603517554072E-2</v>
      </c>
      <c r="G98" s="3"/>
      <c r="H98" s="8">
        <v>9365</v>
      </c>
      <c r="I98" s="3"/>
      <c r="J98" s="7">
        <f t="shared" si="45"/>
        <v>1.4222407163294192E-2</v>
      </c>
      <c r="K98" s="3"/>
      <c r="L98" s="8">
        <f t="shared" si="46"/>
        <v>1617.6900000000005</v>
      </c>
      <c r="M98" s="3"/>
      <c r="N98" s="7">
        <f t="shared" si="47"/>
        <v>0.17273785371062472</v>
      </c>
      <c r="O98" s="11"/>
      <c r="P98" s="8">
        <v>10982.69</v>
      </c>
      <c r="Q98" s="3"/>
      <c r="R98" s="7">
        <f t="shared" si="48"/>
        <v>2.1784603517554072E-2</v>
      </c>
      <c r="S98" s="3"/>
      <c r="T98" s="8">
        <v>9365</v>
      </c>
      <c r="U98" s="3"/>
      <c r="V98" s="7">
        <f t="shared" si="49"/>
        <v>1.4222407163294192E-2</v>
      </c>
      <c r="W98" s="3"/>
      <c r="X98" s="8">
        <f t="shared" si="50"/>
        <v>1617.6900000000005</v>
      </c>
      <c r="Y98" s="3"/>
      <c r="Z98" s="7">
        <f t="shared" si="51"/>
        <v>0.17273785371062472</v>
      </c>
    </row>
    <row r="99" spans="1:26" s="24" customFormat="1" hidden="1" outlineLevel="2" x14ac:dyDescent="0.3">
      <c r="A99" s="29"/>
      <c r="B99" s="11" t="str">
        <f>CONCATENATE("          ", "6307", " - ", "POSTAGE")</f>
        <v xml:space="preserve">          6307 - POSTAGE</v>
      </c>
      <c r="C99" s="11"/>
      <c r="D99" s="8">
        <v>-7299.89</v>
      </c>
      <c r="E99" s="3"/>
      <c r="F99" s="7">
        <f t="shared" si="44"/>
        <v>-1.4479622876704869E-2</v>
      </c>
      <c r="G99" s="3"/>
      <c r="H99" s="8">
        <v>-3890</v>
      </c>
      <c r="I99" s="3"/>
      <c r="J99" s="7">
        <f t="shared" si="45"/>
        <v>-5.907652308084827E-3</v>
      </c>
      <c r="K99" s="3"/>
      <c r="L99" s="8">
        <f t="shared" si="46"/>
        <v>-3409.8900000000003</v>
      </c>
      <c r="M99" s="3"/>
      <c r="N99" s="7">
        <f t="shared" si="47"/>
        <v>0.87657840616966587</v>
      </c>
      <c r="O99" s="11"/>
      <c r="P99" s="8">
        <v>-7299.89</v>
      </c>
      <c r="Q99" s="3"/>
      <c r="R99" s="7">
        <f t="shared" si="48"/>
        <v>-1.4479622876704869E-2</v>
      </c>
      <c r="S99" s="3"/>
      <c r="T99" s="8">
        <v>-3890</v>
      </c>
      <c r="U99" s="3"/>
      <c r="V99" s="7">
        <f t="shared" si="49"/>
        <v>-5.907652308084827E-3</v>
      </c>
      <c r="W99" s="3"/>
      <c r="X99" s="8">
        <f t="shared" si="50"/>
        <v>-3409.8900000000003</v>
      </c>
      <c r="Y99" s="3"/>
      <c r="Z99" s="7">
        <f t="shared" si="51"/>
        <v>0.87657840616966587</v>
      </c>
    </row>
    <row r="100" spans="1:26" s="27" customFormat="1" outlineLevel="1" collapsed="1" x14ac:dyDescent="0.3">
      <c r="A100" s="28"/>
      <c r="B100" s="14" t="str">
        <f>CONCATENATE("     ","General                                           ")</f>
        <v xml:space="preserve">     General                                           </v>
      </c>
      <c r="C100" s="14"/>
      <c r="D100" s="1">
        <f>SUM(OSRRefD22_11x_0)</f>
        <v>1271.73</v>
      </c>
      <c r="E100" s="1"/>
      <c r="F100" s="5">
        <f t="shared" ref="F100:F102" si="52">IF(D$12=0,0,D100/D$12)</f>
        <v>2.5225271615040615E-3</v>
      </c>
      <c r="G100" s="1"/>
      <c r="H100" s="1">
        <f>SUM(OSRRefH22_11x_0)</f>
        <v>9090</v>
      </c>
      <c r="I100" s="1"/>
      <c r="J100" s="5">
        <f t="shared" ref="J100:J102" si="53">IF(H$12=0,0,H100/H$12)</f>
        <v>1.380477107467637E-2</v>
      </c>
      <c r="K100" s="1"/>
      <c r="L100" s="1">
        <f t="shared" ref="L100:L102" si="54">+D100-H100</f>
        <v>-7818.27</v>
      </c>
      <c r="M100" s="1"/>
      <c r="N100" s="5">
        <f t="shared" ref="N100:N102" si="55">IF(H100=0,0,L100/H100)</f>
        <v>-0.86009570957095716</v>
      </c>
      <c r="O100" s="14"/>
      <c r="P100" s="1">
        <f>SUM(OSRRefP22_11x_0)</f>
        <v>1271.73</v>
      </c>
      <c r="Q100" s="1"/>
      <c r="R100" s="5">
        <f t="shared" ref="R100:R102" si="56">IF(P$12=0,0,P100/P$12)</f>
        <v>2.5225271615040615E-3</v>
      </c>
      <c r="S100" s="1"/>
      <c r="T100" s="1">
        <f>SUM(OSRRefT22_11x_0)</f>
        <v>9090</v>
      </c>
      <c r="U100" s="1"/>
      <c r="V100" s="5">
        <f t="shared" ref="V100:V102" si="57">IF(T$12=0,0,T100/T$12)</f>
        <v>1.380477107467637E-2</v>
      </c>
      <c r="W100" s="1"/>
      <c r="X100" s="1">
        <f t="shared" ref="X100:X102" si="58">+P100-T100</f>
        <v>-7818.27</v>
      </c>
      <c r="Y100" s="1"/>
      <c r="Z100" s="5">
        <f t="shared" ref="Z100:Z102" si="59">IF(T100=0,0,X100/T100)</f>
        <v>-0.86009570957095716</v>
      </c>
    </row>
    <row r="101" spans="1:26" s="24" customFormat="1" hidden="1" outlineLevel="2" x14ac:dyDescent="0.3">
      <c r="A101" s="29"/>
      <c r="B101" s="11" t="str">
        <f>CONCATENATE("          ", "6276", " - ", "PROPERTY TAX")</f>
        <v xml:space="preserve">          6276 - PROPERTY TAX</v>
      </c>
      <c r="C101" s="11"/>
      <c r="D101" s="8"/>
      <c r="E101" s="3"/>
      <c r="F101" s="7">
        <f t="shared" si="52"/>
        <v>0</v>
      </c>
      <c r="G101" s="3"/>
      <c r="H101" s="8">
        <v>125</v>
      </c>
      <c r="I101" s="3"/>
      <c r="J101" s="7">
        <f t="shared" si="53"/>
        <v>1.8983458573537361E-4</v>
      </c>
      <c r="K101" s="3"/>
      <c r="L101" s="8">
        <f t="shared" si="54"/>
        <v>-125</v>
      </c>
      <c r="M101" s="3"/>
      <c r="N101" s="7">
        <f t="shared" si="55"/>
        <v>-1</v>
      </c>
      <c r="O101" s="11"/>
      <c r="P101" s="8"/>
      <c r="Q101" s="3"/>
      <c r="R101" s="7">
        <f t="shared" si="56"/>
        <v>0</v>
      </c>
      <c r="S101" s="3"/>
      <c r="T101" s="8">
        <v>125</v>
      </c>
      <c r="U101" s="3"/>
      <c r="V101" s="7">
        <f t="shared" si="57"/>
        <v>1.8983458573537361E-4</v>
      </c>
      <c r="W101" s="3"/>
      <c r="X101" s="8">
        <f t="shared" si="58"/>
        <v>-125</v>
      </c>
      <c r="Y101" s="3"/>
      <c r="Z101" s="7">
        <f t="shared" si="59"/>
        <v>-1</v>
      </c>
    </row>
    <row r="102" spans="1:26" s="24" customFormat="1" hidden="1" outlineLevel="2" x14ac:dyDescent="0.3">
      <c r="A102" s="29"/>
      <c r="B102" s="11" t="str">
        <f>CONCATENATE("          ", "6279", " - ", "GENERAL EXPENSE")</f>
        <v xml:space="preserve">          6279 - GENERAL EXPENSE</v>
      </c>
      <c r="C102" s="11"/>
      <c r="D102" s="8">
        <v>1271.73</v>
      </c>
      <c r="E102" s="3"/>
      <c r="F102" s="7">
        <f t="shared" si="52"/>
        <v>2.5225271615040615E-3</v>
      </c>
      <c r="G102" s="3"/>
      <c r="H102" s="8">
        <v>8965</v>
      </c>
      <c r="I102" s="3"/>
      <c r="J102" s="7">
        <f t="shared" si="53"/>
        <v>1.3614936488940996E-2</v>
      </c>
      <c r="K102" s="3"/>
      <c r="L102" s="8">
        <f t="shared" si="54"/>
        <v>-7693.27</v>
      </c>
      <c r="M102" s="3"/>
      <c r="N102" s="7">
        <f t="shared" si="55"/>
        <v>-0.85814500836586727</v>
      </c>
      <c r="O102" s="11"/>
      <c r="P102" s="8">
        <v>1271.73</v>
      </c>
      <c r="Q102" s="3"/>
      <c r="R102" s="7">
        <f t="shared" si="56"/>
        <v>2.5225271615040615E-3</v>
      </c>
      <c r="S102" s="3"/>
      <c r="T102" s="8">
        <v>8965</v>
      </c>
      <c r="U102" s="3"/>
      <c r="V102" s="7">
        <f t="shared" si="57"/>
        <v>1.3614936488940996E-2</v>
      </c>
      <c r="W102" s="3"/>
      <c r="X102" s="8">
        <f t="shared" si="58"/>
        <v>-7693.27</v>
      </c>
      <c r="Y102" s="3"/>
      <c r="Z102" s="7">
        <f t="shared" si="59"/>
        <v>-0.85814500836586727</v>
      </c>
    </row>
    <row r="103" spans="1:26" s="27" customFormat="1" outlineLevel="1" collapsed="1" x14ac:dyDescent="0.3">
      <c r="A103" s="28"/>
      <c r="B103" s="14" t="str">
        <f>CONCATENATE("     ","Insurance                                         ")</f>
        <v xml:space="preserve">     Insurance                                         </v>
      </c>
      <c r="C103" s="14"/>
      <c r="D103" s="1">
        <f>SUM(OSRRefD22_12x_0)</f>
        <v>11626.44</v>
      </c>
      <c r="E103" s="1"/>
      <c r="F103" s="5">
        <f t="shared" ref="F103:F119" si="60">IF(D$12=0,0,D103/D$12)</f>
        <v>2.3061507310197356E-2</v>
      </c>
      <c r="G103" s="1"/>
      <c r="H103" s="1">
        <f>SUM(OSRRefH22_12x_0)</f>
        <v>11425</v>
      </c>
      <c r="I103" s="1"/>
      <c r="J103" s="5">
        <f t="shared" ref="J103:J119" si="61">IF(H$12=0,0,H103/H$12)</f>
        <v>1.735088113621315E-2</v>
      </c>
      <c r="K103" s="1"/>
      <c r="L103" s="1">
        <f t="shared" ref="L103:L119" si="62">+D103-H103</f>
        <v>201.44000000000051</v>
      </c>
      <c r="M103" s="1"/>
      <c r="N103" s="5">
        <f t="shared" ref="N103:N119" si="63">IF(H103=0,0,L103/H103)</f>
        <v>1.7631509846827178E-2</v>
      </c>
      <c r="O103" s="14"/>
      <c r="P103" s="1">
        <f>SUM(OSRRefP22_12x_0)</f>
        <v>11626.44</v>
      </c>
      <c r="Q103" s="1"/>
      <c r="R103" s="5">
        <f t="shared" ref="R103:R119" si="64">IF(P$12=0,0,P103/P$12)</f>
        <v>2.3061507310197356E-2</v>
      </c>
      <c r="S103" s="1"/>
      <c r="T103" s="1">
        <f>SUM(OSRRefT22_12x_0)</f>
        <v>11425</v>
      </c>
      <c r="U103" s="1"/>
      <c r="V103" s="5">
        <f t="shared" ref="V103:V119" si="65">IF(T$12=0,0,T103/T$12)</f>
        <v>1.735088113621315E-2</v>
      </c>
      <c r="W103" s="1"/>
      <c r="X103" s="1">
        <f t="shared" ref="X103:X119" si="66">+P103-T103</f>
        <v>201.44000000000051</v>
      </c>
      <c r="Y103" s="1"/>
      <c r="Z103" s="5">
        <f t="shared" ref="Z103:Z119" si="67">IF(T103=0,0,X103/T103)</f>
        <v>1.7631509846827178E-2</v>
      </c>
    </row>
    <row r="104" spans="1:26" s="24" customFormat="1" hidden="1" outlineLevel="2" x14ac:dyDescent="0.3">
      <c r="A104" s="29"/>
      <c r="B104" s="11" t="str">
        <f>CONCATENATE("          ", "6314", " - ", "LIABILITY INSURANCE")</f>
        <v xml:space="preserve">          6314 - LIABILITY INSURANCE</v>
      </c>
      <c r="C104" s="11"/>
      <c r="D104" s="8">
        <v>11626.44</v>
      </c>
      <c r="E104" s="3"/>
      <c r="F104" s="7">
        <f t="shared" si="60"/>
        <v>2.3061507310197356E-2</v>
      </c>
      <c r="G104" s="3"/>
      <c r="H104" s="8">
        <v>11425</v>
      </c>
      <c r="I104" s="3"/>
      <c r="J104" s="7">
        <f t="shared" si="61"/>
        <v>1.735088113621315E-2</v>
      </c>
      <c r="K104" s="3"/>
      <c r="L104" s="8">
        <f t="shared" si="62"/>
        <v>201.44000000000051</v>
      </c>
      <c r="M104" s="3"/>
      <c r="N104" s="7">
        <f t="shared" si="63"/>
        <v>1.7631509846827178E-2</v>
      </c>
      <c r="O104" s="11"/>
      <c r="P104" s="8">
        <v>11626.44</v>
      </c>
      <c r="Q104" s="3"/>
      <c r="R104" s="7">
        <f t="shared" si="64"/>
        <v>2.3061507310197356E-2</v>
      </c>
      <c r="S104" s="3"/>
      <c r="T104" s="8">
        <v>11425</v>
      </c>
      <c r="U104" s="3"/>
      <c r="V104" s="7">
        <f t="shared" si="65"/>
        <v>1.735088113621315E-2</v>
      </c>
      <c r="W104" s="3"/>
      <c r="X104" s="8">
        <f t="shared" si="66"/>
        <v>201.44000000000051</v>
      </c>
      <c r="Y104" s="3"/>
      <c r="Z104" s="7">
        <f t="shared" si="67"/>
        <v>1.7631509846827178E-2</v>
      </c>
    </row>
    <row r="105" spans="1:26" s="27" customFormat="1" outlineLevel="1" collapsed="1" x14ac:dyDescent="0.3">
      <c r="A105" s="28"/>
      <c r="B105" s="14" t="str">
        <f>CONCATENATE("     ","Interest                                          ")</f>
        <v xml:space="preserve">     Interest                                          </v>
      </c>
      <c r="C105" s="14"/>
      <c r="D105" s="1">
        <f>SUM(OSRRefD22_13x_0)</f>
        <v>11158</v>
      </c>
      <c r="E105" s="1"/>
      <c r="F105" s="5">
        <f t="shared" si="60"/>
        <v>2.213233789252618E-2</v>
      </c>
      <c r="G105" s="1"/>
      <c r="H105" s="1">
        <f>SUM(OSRRefH22_13x_0)</f>
        <v>11158</v>
      </c>
      <c r="I105" s="1"/>
      <c r="J105" s="5">
        <f t="shared" si="61"/>
        <v>1.694539446108239E-2</v>
      </c>
      <c r="K105" s="1"/>
      <c r="L105" s="1">
        <f t="shared" si="62"/>
        <v>0</v>
      </c>
      <c r="M105" s="1"/>
      <c r="N105" s="5">
        <f t="shared" si="63"/>
        <v>0</v>
      </c>
      <c r="O105" s="14"/>
      <c r="P105" s="1">
        <f>SUM(OSRRefP22_13x_0)</f>
        <v>11158</v>
      </c>
      <c r="Q105" s="1"/>
      <c r="R105" s="5">
        <f t="shared" si="64"/>
        <v>2.213233789252618E-2</v>
      </c>
      <c r="S105" s="1"/>
      <c r="T105" s="1">
        <f>SUM(OSRRefT22_13x_0)</f>
        <v>11158</v>
      </c>
      <c r="U105" s="1"/>
      <c r="V105" s="5">
        <f t="shared" si="65"/>
        <v>1.694539446108239E-2</v>
      </c>
      <c r="W105" s="1"/>
      <c r="X105" s="1">
        <f t="shared" si="66"/>
        <v>0</v>
      </c>
      <c r="Y105" s="1"/>
      <c r="Z105" s="5">
        <f t="shared" si="67"/>
        <v>0</v>
      </c>
    </row>
    <row r="106" spans="1:26" s="24" customFormat="1" hidden="1" outlineLevel="2" x14ac:dyDescent="0.3">
      <c r="A106" s="29"/>
      <c r="B106" s="11" t="str">
        <f>CONCATENATE("          ", "6401", " - ", "INTEREST EXPENSE")</f>
        <v xml:space="preserve">          6401 - INTEREST EXPENSE</v>
      </c>
      <c r="C106" s="11"/>
      <c r="D106" s="8">
        <v>11158</v>
      </c>
      <c r="E106" s="3"/>
      <c r="F106" s="7">
        <f t="shared" si="60"/>
        <v>2.213233789252618E-2</v>
      </c>
      <c r="G106" s="3"/>
      <c r="H106" s="8">
        <v>11158</v>
      </c>
      <c r="I106" s="3"/>
      <c r="J106" s="7">
        <f t="shared" si="61"/>
        <v>1.694539446108239E-2</v>
      </c>
      <c r="K106" s="3"/>
      <c r="L106" s="8">
        <f t="shared" si="62"/>
        <v>0</v>
      </c>
      <c r="M106" s="3"/>
      <c r="N106" s="7">
        <f t="shared" si="63"/>
        <v>0</v>
      </c>
      <c r="O106" s="11"/>
      <c r="P106" s="8">
        <v>11158</v>
      </c>
      <c r="Q106" s="3"/>
      <c r="R106" s="7">
        <f t="shared" si="64"/>
        <v>2.213233789252618E-2</v>
      </c>
      <c r="S106" s="3"/>
      <c r="T106" s="8">
        <v>11158</v>
      </c>
      <c r="U106" s="3"/>
      <c r="V106" s="7">
        <f t="shared" si="65"/>
        <v>1.694539446108239E-2</v>
      </c>
      <c r="W106" s="3"/>
      <c r="X106" s="8">
        <f t="shared" si="66"/>
        <v>0</v>
      </c>
      <c r="Y106" s="3"/>
      <c r="Z106" s="7">
        <f t="shared" si="67"/>
        <v>0</v>
      </c>
    </row>
    <row r="107" spans="1:26" s="27" customFormat="1" outlineLevel="1" collapsed="1" x14ac:dyDescent="0.3">
      <c r="A107" s="28"/>
      <c r="B107" s="14" t="str">
        <f>CONCATENATE("     ","Inventory Adjustment                              ")</f>
        <v xml:space="preserve">     Inventory Adjustment                              </v>
      </c>
      <c r="C107" s="14"/>
      <c r="D107" s="1">
        <f>SUM(OSRRefD22_14x_0)</f>
        <v>6570</v>
      </c>
      <c r="E107" s="1"/>
      <c r="F107" s="5">
        <f t="shared" si="60"/>
        <v>1.3031856959481718E-2</v>
      </c>
      <c r="G107" s="1"/>
      <c r="H107" s="1">
        <f>SUM(OSRRefH22_14x_0)</f>
        <v>6570</v>
      </c>
      <c r="I107" s="1"/>
      <c r="J107" s="5">
        <f t="shared" si="61"/>
        <v>9.9777058262512375E-3</v>
      </c>
      <c r="K107" s="1"/>
      <c r="L107" s="1">
        <f t="shared" si="62"/>
        <v>0</v>
      </c>
      <c r="M107" s="1"/>
      <c r="N107" s="5">
        <f t="shared" si="63"/>
        <v>0</v>
      </c>
      <c r="O107" s="14"/>
      <c r="P107" s="1">
        <f>SUM(OSRRefP22_14x_0)</f>
        <v>6570</v>
      </c>
      <c r="Q107" s="1"/>
      <c r="R107" s="5">
        <f t="shared" si="64"/>
        <v>1.3031856959481718E-2</v>
      </c>
      <c r="S107" s="1"/>
      <c r="T107" s="1">
        <f>SUM(OSRRefT22_14x_0)</f>
        <v>6570</v>
      </c>
      <c r="U107" s="1"/>
      <c r="V107" s="5">
        <f t="shared" si="65"/>
        <v>9.9777058262512375E-3</v>
      </c>
      <c r="W107" s="1"/>
      <c r="X107" s="1">
        <f t="shared" si="66"/>
        <v>0</v>
      </c>
      <c r="Y107" s="1"/>
      <c r="Z107" s="5">
        <f t="shared" si="67"/>
        <v>0</v>
      </c>
    </row>
    <row r="108" spans="1:26" s="24" customFormat="1" hidden="1" outlineLevel="2" x14ac:dyDescent="0.3">
      <c r="A108" s="29"/>
      <c r="B108" s="11" t="str">
        <f>CONCATENATE("          ", "6408", " - ", "INVENTORY ADJUSTMENT")</f>
        <v xml:space="preserve">          6408 - INVENTORY ADJUSTMENT</v>
      </c>
      <c r="C108" s="11"/>
      <c r="D108" s="8">
        <v>6570</v>
      </c>
      <c r="E108" s="3"/>
      <c r="F108" s="7">
        <f t="shared" si="60"/>
        <v>1.3031856959481718E-2</v>
      </c>
      <c r="G108" s="3"/>
      <c r="H108" s="8">
        <v>6570</v>
      </c>
      <c r="I108" s="3"/>
      <c r="J108" s="7">
        <f t="shared" si="61"/>
        <v>9.9777058262512375E-3</v>
      </c>
      <c r="K108" s="3"/>
      <c r="L108" s="8">
        <f t="shared" si="62"/>
        <v>0</v>
      </c>
      <c r="M108" s="3"/>
      <c r="N108" s="7">
        <f t="shared" si="63"/>
        <v>0</v>
      </c>
      <c r="O108" s="11"/>
      <c r="P108" s="8">
        <v>6570</v>
      </c>
      <c r="Q108" s="3"/>
      <c r="R108" s="7">
        <f t="shared" si="64"/>
        <v>1.3031856959481718E-2</v>
      </c>
      <c r="S108" s="3"/>
      <c r="T108" s="8">
        <v>6570</v>
      </c>
      <c r="U108" s="3"/>
      <c r="V108" s="7">
        <f t="shared" si="65"/>
        <v>9.9777058262512375E-3</v>
      </c>
      <c r="W108" s="3"/>
      <c r="X108" s="8">
        <f t="shared" si="66"/>
        <v>0</v>
      </c>
      <c r="Y108" s="3"/>
      <c r="Z108" s="7">
        <f t="shared" si="67"/>
        <v>0</v>
      </c>
    </row>
    <row r="109" spans="1:26" s="27" customFormat="1" outlineLevel="1" collapsed="1" x14ac:dyDescent="0.3">
      <c r="A109" s="28"/>
      <c r="B109" s="14" t="str">
        <f>CONCATENATE("     ","Professional Services                             ")</f>
        <v xml:space="preserve">     Professional Services                             </v>
      </c>
      <c r="C109" s="14"/>
      <c r="D109" s="1">
        <f>SUM(OSRRefD22_15x_0)</f>
        <v>0</v>
      </c>
      <c r="E109" s="1"/>
      <c r="F109" s="5">
        <f t="shared" si="60"/>
        <v>0</v>
      </c>
      <c r="G109" s="1"/>
      <c r="H109" s="1">
        <f>SUM(OSRRefH22_15x_0)</f>
        <v>1000</v>
      </c>
      <c r="I109" s="1"/>
      <c r="J109" s="5">
        <f t="shared" si="61"/>
        <v>1.5186766858829889E-3</v>
      </c>
      <c r="K109" s="1"/>
      <c r="L109" s="1">
        <f t="shared" si="62"/>
        <v>-1000</v>
      </c>
      <c r="M109" s="1"/>
      <c r="N109" s="5">
        <f t="shared" si="63"/>
        <v>-1</v>
      </c>
      <c r="O109" s="14"/>
      <c r="P109" s="1">
        <f>SUM(OSRRefP22_15x_0)</f>
        <v>0</v>
      </c>
      <c r="Q109" s="1"/>
      <c r="R109" s="5">
        <f t="shared" si="64"/>
        <v>0</v>
      </c>
      <c r="S109" s="1"/>
      <c r="T109" s="1">
        <f>SUM(OSRRefT22_15x_0)</f>
        <v>1000</v>
      </c>
      <c r="U109" s="1"/>
      <c r="V109" s="5">
        <f t="shared" si="65"/>
        <v>1.5186766858829889E-3</v>
      </c>
      <c r="W109" s="1"/>
      <c r="X109" s="1">
        <f t="shared" si="66"/>
        <v>-1000</v>
      </c>
      <c r="Y109" s="1"/>
      <c r="Z109" s="5">
        <f t="shared" si="67"/>
        <v>-1</v>
      </c>
    </row>
    <row r="110" spans="1:26" s="24" customFormat="1" hidden="1" outlineLevel="2" x14ac:dyDescent="0.3">
      <c r="A110" s="29"/>
      <c r="B110" s="11" t="str">
        <f>CONCATENATE("          ", "6336", " - ", "PROFESSIONAL SERVICES")</f>
        <v xml:space="preserve">          6336 - PROFESSIONAL SERVICES</v>
      </c>
      <c r="C110" s="11"/>
      <c r="D110" s="8"/>
      <c r="E110" s="3"/>
      <c r="F110" s="7">
        <f t="shared" si="60"/>
        <v>0</v>
      </c>
      <c r="G110" s="3"/>
      <c r="H110" s="8">
        <v>1000</v>
      </c>
      <c r="I110" s="3"/>
      <c r="J110" s="7">
        <f t="shared" si="61"/>
        <v>1.5186766858829889E-3</v>
      </c>
      <c r="K110" s="3"/>
      <c r="L110" s="8">
        <f t="shared" si="62"/>
        <v>-1000</v>
      </c>
      <c r="M110" s="3"/>
      <c r="N110" s="7">
        <f t="shared" si="63"/>
        <v>-1</v>
      </c>
      <c r="O110" s="11"/>
      <c r="P110" s="8"/>
      <c r="Q110" s="3"/>
      <c r="R110" s="7">
        <f t="shared" si="64"/>
        <v>0</v>
      </c>
      <c r="S110" s="3"/>
      <c r="T110" s="8">
        <v>1000</v>
      </c>
      <c r="U110" s="3"/>
      <c r="V110" s="7">
        <f t="shared" si="65"/>
        <v>1.5186766858829889E-3</v>
      </c>
      <c r="W110" s="3"/>
      <c r="X110" s="8">
        <f t="shared" si="66"/>
        <v>-1000</v>
      </c>
      <c r="Y110" s="3"/>
      <c r="Z110" s="7">
        <f t="shared" si="67"/>
        <v>-1</v>
      </c>
    </row>
    <row r="111" spans="1:26" s="27" customFormat="1" outlineLevel="1" collapsed="1" x14ac:dyDescent="0.3">
      <c r="A111" s="28"/>
      <c r="B111" s="14" t="str">
        <f>CONCATENATE("     ","R/H Commissions                                   ")</f>
        <v xml:space="preserve">     R/H Commissions                                   </v>
      </c>
      <c r="C111" s="14"/>
      <c r="D111" s="1">
        <f>SUM(OSRRefD22_16x_0)</f>
        <v>1568</v>
      </c>
      <c r="E111" s="1"/>
      <c r="F111" s="5">
        <f t="shared" si="60"/>
        <v>3.1101905194014204E-3</v>
      </c>
      <c r="G111" s="1"/>
      <c r="H111" s="1">
        <f>SUM(OSRRefH22_16x_0)</f>
        <v>0</v>
      </c>
      <c r="I111" s="1"/>
      <c r="J111" s="5">
        <f t="shared" si="61"/>
        <v>0</v>
      </c>
      <c r="K111" s="1"/>
      <c r="L111" s="1">
        <f t="shared" si="62"/>
        <v>1568</v>
      </c>
      <c r="M111" s="1"/>
      <c r="N111" s="5">
        <f t="shared" si="63"/>
        <v>0</v>
      </c>
      <c r="O111" s="14"/>
      <c r="P111" s="1">
        <f>SUM(OSRRefP22_16x_0)</f>
        <v>1568</v>
      </c>
      <c r="Q111" s="1"/>
      <c r="R111" s="5">
        <f t="shared" si="64"/>
        <v>3.1101905194014204E-3</v>
      </c>
      <c r="S111" s="1"/>
      <c r="T111" s="1">
        <f>SUM(OSRRefT22_16x_0)</f>
        <v>0</v>
      </c>
      <c r="U111" s="1"/>
      <c r="V111" s="5">
        <f t="shared" si="65"/>
        <v>0</v>
      </c>
      <c r="W111" s="1"/>
      <c r="X111" s="1">
        <f t="shared" si="66"/>
        <v>1568</v>
      </c>
      <c r="Y111" s="1"/>
      <c r="Z111" s="5">
        <f t="shared" si="67"/>
        <v>0</v>
      </c>
    </row>
    <row r="112" spans="1:26" s="24" customFormat="1" hidden="1" outlineLevel="2" x14ac:dyDescent="0.3">
      <c r="A112" s="29"/>
      <c r="B112" s="11" t="str">
        <f>CONCATENATE("          ", "6387", " - ", "COMMISSION DUE HOUSING")</f>
        <v xml:space="preserve">          6387 - COMMISSION DUE HOUSING</v>
      </c>
      <c r="C112" s="11"/>
      <c r="D112" s="8">
        <v>1568</v>
      </c>
      <c r="E112" s="3"/>
      <c r="F112" s="7">
        <f t="shared" si="60"/>
        <v>3.1101905194014204E-3</v>
      </c>
      <c r="G112" s="3"/>
      <c r="H112" s="8"/>
      <c r="I112" s="3"/>
      <c r="J112" s="7">
        <f t="shared" si="61"/>
        <v>0</v>
      </c>
      <c r="K112" s="3"/>
      <c r="L112" s="8">
        <f t="shared" si="62"/>
        <v>1568</v>
      </c>
      <c r="M112" s="3"/>
      <c r="N112" s="7">
        <f t="shared" si="63"/>
        <v>0</v>
      </c>
      <c r="O112" s="11"/>
      <c r="P112" s="8">
        <v>1568</v>
      </c>
      <c r="Q112" s="3"/>
      <c r="R112" s="7">
        <f t="shared" si="64"/>
        <v>3.1101905194014204E-3</v>
      </c>
      <c r="S112" s="3"/>
      <c r="T112" s="8"/>
      <c r="U112" s="3"/>
      <c r="V112" s="7">
        <f t="shared" si="65"/>
        <v>0</v>
      </c>
      <c r="W112" s="3"/>
      <c r="X112" s="8">
        <f t="shared" si="66"/>
        <v>1568</v>
      </c>
      <c r="Y112" s="3"/>
      <c r="Z112" s="7">
        <f t="shared" si="67"/>
        <v>0</v>
      </c>
    </row>
    <row r="113" spans="1:26" s="27" customFormat="1" outlineLevel="1" collapsed="1" x14ac:dyDescent="0.3">
      <c r="A113" s="28"/>
      <c r="B113" s="14" t="str">
        <f>CONCATENATE("     ","Rent                                              ")</f>
        <v xml:space="preserve">     Rent                                              </v>
      </c>
      <c r="C113" s="14"/>
      <c r="D113" s="1">
        <f>SUM(OSRRefD22_17x_0)</f>
        <v>8750</v>
      </c>
      <c r="E113" s="1"/>
      <c r="F113" s="5">
        <f t="shared" si="60"/>
        <v>1.7355973880588283E-2</v>
      </c>
      <c r="G113" s="1"/>
      <c r="H113" s="1">
        <f>SUM(OSRRefH22_17x_0)</f>
        <v>8750</v>
      </c>
      <c r="I113" s="1"/>
      <c r="J113" s="5">
        <f t="shared" si="61"/>
        <v>1.3288421001476154E-2</v>
      </c>
      <c r="K113" s="1"/>
      <c r="L113" s="1">
        <f t="shared" si="62"/>
        <v>0</v>
      </c>
      <c r="M113" s="1"/>
      <c r="N113" s="5">
        <f t="shared" si="63"/>
        <v>0</v>
      </c>
      <c r="O113" s="14"/>
      <c r="P113" s="1">
        <f>SUM(OSRRefP22_17x_0)</f>
        <v>8750</v>
      </c>
      <c r="Q113" s="1"/>
      <c r="R113" s="5">
        <f t="shared" si="64"/>
        <v>1.7355973880588283E-2</v>
      </c>
      <c r="S113" s="1"/>
      <c r="T113" s="1">
        <f>SUM(OSRRefT22_17x_0)</f>
        <v>8750</v>
      </c>
      <c r="U113" s="1"/>
      <c r="V113" s="5">
        <f t="shared" si="65"/>
        <v>1.3288421001476154E-2</v>
      </c>
      <c r="W113" s="1"/>
      <c r="X113" s="1">
        <f t="shared" si="66"/>
        <v>0</v>
      </c>
      <c r="Y113" s="1"/>
      <c r="Z113" s="5">
        <f t="shared" si="67"/>
        <v>0</v>
      </c>
    </row>
    <row r="114" spans="1:26" s="24" customFormat="1" hidden="1" outlineLevel="2" x14ac:dyDescent="0.3">
      <c r="A114" s="29"/>
      <c r="B114" s="11" t="str">
        <f>CONCATENATE("          ", "6273", " - ", "RENT")</f>
        <v xml:space="preserve">          6273 - RENT</v>
      </c>
      <c r="C114" s="11"/>
      <c r="D114" s="8">
        <v>8750</v>
      </c>
      <c r="E114" s="3"/>
      <c r="F114" s="7">
        <f t="shared" si="60"/>
        <v>1.7355973880588283E-2</v>
      </c>
      <c r="G114" s="3"/>
      <c r="H114" s="8">
        <v>8750</v>
      </c>
      <c r="I114" s="3"/>
      <c r="J114" s="7">
        <f t="shared" si="61"/>
        <v>1.3288421001476154E-2</v>
      </c>
      <c r="K114" s="3"/>
      <c r="L114" s="8">
        <f t="shared" si="62"/>
        <v>0</v>
      </c>
      <c r="M114" s="3"/>
      <c r="N114" s="7">
        <f t="shared" si="63"/>
        <v>0</v>
      </c>
      <c r="O114" s="11"/>
      <c r="P114" s="8">
        <v>8750</v>
      </c>
      <c r="Q114" s="3"/>
      <c r="R114" s="7">
        <f t="shared" si="64"/>
        <v>1.7355973880588283E-2</v>
      </c>
      <c r="S114" s="3"/>
      <c r="T114" s="8">
        <v>8750</v>
      </c>
      <c r="U114" s="3"/>
      <c r="V114" s="7">
        <f t="shared" si="65"/>
        <v>1.3288421001476154E-2</v>
      </c>
      <c r="W114" s="3"/>
      <c r="X114" s="8">
        <f t="shared" si="66"/>
        <v>0</v>
      </c>
      <c r="Y114" s="3"/>
      <c r="Z114" s="7">
        <f t="shared" si="67"/>
        <v>0</v>
      </c>
    </row>
    <row r="115" spans="1:26" s="27" customFormat="1" outlineLevel="1" collapsed="1" x14ac:dyDescent="0.3">
      <c r="A115" s="28"/>
      <c r="B115" s="14" t="str">
        <f>CONCATENATE("     ","Repair and Maintenance                            ")</f>
        <v xml:space="preserve">     Repair and Maintenance                            </v>
      </c>
      <c r="C115" s="14"/>
      <c r="D115" s="1">
        <f>SUM(OSRRefD22_18x_0)</f>
        <v>194024.06</v>
      </c>
      <c r="E115" s="1"/>
      <c r="F115" s="5">
        <f t="shared" si="60"/>
        <v>0.38485445915036504</v>
      </c>
      <c r="G115" s="1"/>
      <c r="H115" s="1">
        <f>SUM(OSRRefH22_18x_0)</f>
        <v>67844</v>
      </c>
      <c r="I115" s="1"/>
      <c r="J115" s="5">
        <f t="shared" si="61"/>
        <v>0.10303310107704551</v>
      </c>
      <c r="K115" s="1"/>
      <c r="L115" s="1">
        <f t="shared" si="62"/>
        <v>126180.06</v>
      </c>
      <c r="M115" s="1"/>
      <c r="N115" s="5">
        <f t="shared" si="63"/>
        <v>1.859855845763811</v>
      </c>
      <c r="O115" s="14"/>
      <c r="P115" s="1">
        <f>SUM(OSRRefP22_18x_0)</f>
        <v>194024.06</v>
      </c>
      <c r="Q115" s="1"/>
      <c r="R115" s="5">
        <f t="shared" si="64"/>
        <v>0.38485445915036504</v>
      </c>
      <c r="S115" s="1"/>
      <c r="T115" s="1">
        <f>SUM(OSRRefT22_18x_0)</f>
        <v>67844</v>
      </c>
      <c r="U115" s="1"/>
      <c r="V115" s="5">
        <f t="shared" si="65"/>
        <v>0.10303310107704551</v>
      </c>
      <c r="W115" s="1"/>
      <c r="X115" s="1">
        <f t="shared" si="66"/>
        <v>126180.06</v>
      </c>
      <c r="Y115" s="1"/>
      <c r="Z115" s="5">
        <f t="shared" si="67"/>
        <v>1.859855845763811</v>
      </c>
    </row>
    <row r="116" spans="1:26" s="24" customFormat="1" hidden="1" outlineLevel="2" x14ac:dyDescent="0.3">
      <c r="A116" s="29"/>
      <c r="B116" s="11" t="str">
        <f>CONCATENATE("          ", "6371", " - ", "COMPUTER SOFTWARE MAINTENANCE")</f>
        <v xml:space="preserve">          6371 - COMPUTER SOFTWARE MAINTENANCE</v>
      </c>
      <c r="C116" s="11"/>
      <c r="D116" s="8">
        <v>63123.5</v>
      </c>
      <c r="E116" s="3"/>
      <c r="F116" s="7">
        <f t="shared" si="60"/>
        <v>0.12520797911443596</v>
      </c>
      <c r="G116" s="3"/>
      <c r="H116" s="8">
        <v>43500</v>
      </c>
      <c r="I116" s="3"/>
      <c r="J116" s="7">
        <f t="shared" si="61"/>
        <v>6.6062435835910024E-2</v>
      </c>
      <c r="K116" s="3"/>
      <c r="L116" s="8">
        <f t="shared" si="62"/>
        <v>19623.5</v>
      </c>
      <c r="M116" s="3"/>
      <c r="N116" s="7">
        <f t="shared" si="63"/>
        <v>0.45111494252873563</v>
      </c>
      <c r="O116" s="11"/>
      <c r="P116" s="8">
        <v>63123.5</v>
      </c>
      <c r="Q116" s="3"/>
      <c r="R116" s="7">
        <f t="shared" si="64"/>
        <v>0.12520797911443596</v>
      </c>
      <c r="S116" s="3"/>
      <c r="T116" s="8">
        <v>43500</v>
      </c>
      <c r="U116" s="3"/>
      <c r="V116" s="7">
        <f t="shared" si="65"/>
        <v>6.6062435835910024E-2</v>
      </c>
      <c r="W116" s="3"/>
      <c r="X116" s="8">
        <f t="shared" si="66"/>
        <v>19623.5</v>
      </c>
      <c r="Y116" s="3"/>
      <c r="Z116" s="7">
        <f t="shared" si="67"/>
        <v>0.45111494252873563</v>
      </c>
    </row>
    <row r="117" spans="1:26" s="24" customFormat="1" hidden="1" outlineLevel="2" x14ac:dyDescent="0.3">
      <c r="A117" s="29"/>
      <c r="B117" s="11" t="str">
        <f>CONCATENATE("          ", "6372", " - ", "COMPUTER HARDWARE MAINTENANCE")</f>
        <v xml:space="preserve">          6372 - COMPUTER HARDWARE MAINTENANCE</v>
      </c>
      <c r="C117" s="11"/>
      <c r="D117" s="8"/>
      <c r="E117" s="3"/>
      <c r="F117" s="7">
        <f t="shared" si="60"/>
        <v>0</v>
      </c>
      <c r="G117" s="3"/>
      <c r="H117" s="8">
        <v>3570</v>
      </c>
      <c r="I117" s="3"/>
      <c r="J117" s="7">
        <f t="shared" si="61"/>
        <v>5.4216757686022703E-3</v>
      </c>
      <c r="K117" s="3"/>
      <c r="L117" s="8">
        <f t="shared" si="62"/>
        <v>-3570</v>
      </c>
      <c r="M117" s="3"/>
      <c r="N117" s="7">
        <f t="shared" si="63"/>
        <v>-1</v>
      </c>
      <c r="O117" s="11"/>
      <c r="P117" s="8"/>
      <c r="Q117" s="3"/>
      <c r="R117" s="7">
        <f t="shared" si="64"/>
        <v>0</v>
      </c>
      <c r="S117" s="3"/>
      <c r="T117" s="8">
        <v>3570</v>
      </c>
      <c r="U117" s="3"/>
      <c r="V117" s="7">
        <f t="shared" si="65"/>
        <v>5.4216757686022703E-3</v>
      </c>
      <c r="W117" s="3"/>
      <c r="X117" s="8">
        <f t="shared" si="66"/>
        <v>-3570</v>
      </c>
      <c r="Y117" s="3"/>
      <c r="Z117" s="7">
        <f t="shared" si="67"/>
        <v>-1</v>
      </c>
    </row>
    <row r="118" spans="1:26" s="24" customFormat="1" hidden="1" outlineLevel="2" x14ac:dyDescent="0.3">
      <c r="A118" s="29"/>
      <c r="B118" s="11" t="str">
        <f>CONCATENATE("          ", "6373", " - ", "MAINTENANCE CONTRACTS")</f>
        <v xml:space="preserve">          6373 - MAINTENANCE CONTRACTS</v>
      </c>
      <c r="C118" s="11"/>
      <c r="D118" s="8">
        <v>122670.12</v>
      </c>
      <c r="E118" s="3"/>
      <c r="F118" s="7">
        <f t="shared" si="60"/>
        <v>0.24332107413127205</v>
      </c>
      <c r="G118" s="3"/>
      <c r="H118" s="8">
        <v>7795</v>
      </c>
      <c r="I118" s="3"/>
      <c r="J118" s="7">
        <f t="shared" si="61"/>
        <v>1.1838084766457899E-2</v>
      </c>
      <c r="K118" s="3"/>
      <c r="L118" s="8">
        <f t="shared" si="62"/>
        <v>114875.12</v>
      </c>
      <c r="M118" s="3"/>
      <c r="N118" s="7">
        <f t="shared" si="63"/>
        <v>14.737026298909557</v>
      </c>
      <c r="O118" s="11"/>
      <c r="P118" s="8">
        <v>122670.12</v>
      </c>
      <c r="Q118" s="3"/>
      <c r="R118" s="7">
        <f t="shared" si="64"/>
        <v>0.24332107413127205</v>
      </c>
      <c r="S118" s="3"/>
      <c r="T118" s="8">
        <v>7795</v>
      </c>
      <c r="U118" s="3"/>
      <c r="V118" s="7">
        <f t="shared" si="65"/>
        <v>1.1838084766457899E-2</v>
      </c>
      <c r="W118" s="3"/>
      <c r="X118" s="8">
        <f t="shared" si="66"/>
        <v>114875.12</v>
      </c>
      <c r="Y118" s="3"/>
      <c r="Z118" s="7">
        <f t="shared" si="67"/>
        <v>14.737026298909557</v>
      </c>
    </row>
    <row r="119" spans="1:26" s="24" customFormat="1" hidden="1" outlineLevel="2" x14ac:dyDescent="0.3">
      <c r="A119" s="29"/>
      <c r="B119" s="11" t="str">
        <f>CONCATENATE("          ", "6375", " - ", "OUTSIDE REPAIRS &amp; MAINTENANCE")</f>
        <v xml:space="preserve">          6375 - OUTSIDE REPAIRS &amp; MAINTENANCE</v>
      </c>
      <c r="C119" s="11"/>
      <c r="D119" s="8">
        <v>8230.44</v>
      </c>
      <c r="E119" s="3"/>
      <c r="F119" s="7">
        <f t="shared" si="60"/>
        <v>1.6325405904657034E-2</v>
      </c>
      <c r="G119" s="3"/>
      <c r="H119" s="8">
        <v>12979</v>
      </c>
      <c r="I119" s="3"/>
      <c r="J119" s="7">
        <f t="shared" si="61"/>
        <v>1.9710904706075314E-2</v>
      </c>
      <c r="K119" s="3"/>
      <c r="L119" s="8">
        <f t="shared" si="62"/>
        <v>-4748.5599999999995</v>
      </c>
      <c r="M119" s="3"/>
      <c r="N119" s="7">
        <f t="shared" si="63"/>
        <v>-0.36586485861776713</v>
      </c>
      <c r="O119" s="11"/>
      <c r="P119" s="8">
        <v>8230.44</v>
      </c>
      <c r="Q119" s="3"/>
      <c r="R119" s="7">
        <f t="shared" si="64"/>
        <v>1.6325405904657034E-2</v>
      </c>
      <c r="S119" s="3"/>
      <c r="T119" s="8">
        <v>12979</v>
      </c>
      <c r="U119" s="3"/>
      <c r="V119" s="7">
        <f t="shared" si="65"/>
        <v>1.9710904706075314E-2</v>
      </c>
      <c r="W119" s="3"/>
      <c r="X119" s="8">
        <f t="shared" si="66"/>
        <v>-4748.5599999999995</v>
      </c>
      <c r="Y119" s="3"/>
      <c r="Z119" s="7">
        <f t="shared" si="67"/>
        <v>-0.36586485861776713</v>
      </c>
    </row>
    <row r="120" spans="1:26" s="27" customFormat="1" outlineLevel="1" collapsed="1" x14ac:dyDescent="0.3">
      <c r="A120" s="28"/>
      <c r="B120" s="14" t="str">
        <f>CONCATENATE("     ","Royalty &amp; Commissions                             ")</f>
        <v xml:space="preserve">     Royalty &amp; Commissions                             </v>
      </c>
      <c r="C120" s="14"/>
      <c r="D120" s="1">
        <f>SUM(OSRRefD22_19x_0)</f>
        <v>7355.1000000000013</v>
      </c>
      <c r="E120" s="1"/>
      <c r="F120" s="5">
        <f t="shared" ref="F120:F124" si="68">IF(D$12=0,0,D120/D$12)</f>
        <v>1.4589134113041703E-2</v>
      </c>
      <c r="G120" s="1"/>
      <c r="H120" s="1">
        <f>SUM(OSRRefH22_19x_0)</f>
        <v>12514</v>
      </c>
      <c r="I120" s="1"/>
      <c r="J120" s="5">
        <f t="shared" ref="J120:J124" si="69">IF(H$12=0,0,H120/H$12)</f>
        <v>1.9004720047139725E-2</v>
      </c>
      <c r="K120" s="1"/>
      <c r="L120" s="1">
        <f t="shared" ref="L120:L124" si="70">+D120-H120</f>
        <v>-5158.8999999999987</v>
      </c>
      <c r="M120" s="1"/>
      <c r="N120" s="5">
        <f t="shared" ref="N120:N124" si="71">IF(H120=0,0,L120/H120)</f>
        <v>-0.41225027968675076</v>
      </c>
      <c r="O120" s="14"/>
      <c r="P120" s="1">
        <f>SUM(OSRRefP22_19x_0)</f>
        <v>7355.1000000000013</v>
      </c>
      <c r="Q120" s="1"/>
      <c r="R120" s="5">
        <f t="shared" ref="R120:R124" si="72">IF(P$12=0,0,P120/P$12)</f>
        <v>1.4589134113041703E-2</v>
      </c>
      <c r="S120" s="1"/>
      <c r="T120" s="1">
        <f>SUM(OSRRefT22_19x_0)</f>
        <v>12514</v>
      </c>
      <c r="U120" s="1"/>
      <c r="V120" s="5">
        <f t="shared" ref="V120:V124" si="73">IF(T$12=0,0,T120/T$12)</f>
        <v>1.9004720047139725E-2</v>
      </c>
      <c r="W120" s="1"/>
      <c r="X120" s="1">
        <f t="shared" ref="X120:X124" si="74">+P120-T120</f>
        <v>-5158.8999999999987</v>
      </c>
      <c r="Y120" s="1"/>
      <c r="Z120" s="5">
        <f t="shared" ref="Z120:Z124" si="75">IF(T120=0,0,X120/T120)</f>
        <v>-0.41225027968675076</v>
      </c>
    </row>
    <row r="121" spans="1:26" s="24" customFormat="1" hidden="1" outlineLevel="2" x14ac:dyDescent="0.3">
      <c r="A121" s="29"/>
      <c r="B121" s="11" t="str">
        <f>CONCATENATE("          ", "6252", " - ", "ROYALTY DUE CSTV")</f>
        <v xml:space="preserve">          6252 - ROYALTY DUE CSTV</v>
      </c>
      <c r="C121" s="11"/>
      <c r="D121" s="8"/>
      <c r="E121" s="3"/>
      <c r="F121" s="7">
        <f t="shared" si="68"/>
        <v>0</v>
      </c>
      <c r="G121" s="3"/>
      <c r="H121" s="8">
        <v>842</v>
      </c>
      <c r="I121" s="3"/>
      <c r="J121" s="7">
        <f t="shared" si="69"/>
        <v>1.2787257695134767E-3</v>
      </c>
      <c r="K121" s="3"/>
      <c r="L121" s="8">
        <f t="shared" si="70"/>
        <v>-842</v>
      </c>
      <c r="M121" s="3"/>
      <c r="N121" s="7">
        <f t="shared" si="71"/>
        <v>-1</v>
      </c>
      <c r="O121" s="11"/>
      <c r="P121" s="8"/>
      <c r="Q121" s="3"/>
      <c r="R121" s="7">
        <f t="shared" si="72"/>
        <v>0</v>
      </c>
      <c r="S121" s="3"/>
      <c r="T121" s="8">
        <v>842</v>
      </c>
      <c r="U121" s="3"/>
      <c r="V121" s="7">
        <f t="shared" si="73"/>
        <v>1.2787257695134767E-3</v>
      </c>
      <c r="W121" s="3"/>
      <c r="X121" s="8">
        <f t="shared" si="74"/>
        <v>-842</v>
      </c>
      <c r="Y121" s="3"/>
      <c r="Z121" s="7">
        <f t="shared" si="75"/>
        <v>-1</v>
      </c>
    </row>
    <row r="122" spans="1:26" s="24" customFormat="1" hidden="1" outlineLevel="2" x14ac:dyDescent="0.3">
      <c r="A122" s="29"/>
      <c r="B122" s="11" t="str">
        <f>CONCATENATE("          ", "6253", " - ", "ROYALTY DUE ATHLETICS-LRG")</f>
        <v xml:space="preserve">          6253 - ROYALTY DUE ATHLETICS-LRG</v>
      </c>
      <c r="C122" s="11"/>
      <c r="D122" s="8">
        <v>14376.54</v>
      </c>
      <c r="E122" s="3"/>
      <c r="F122" s="7">
        <f t="shared" si="68"/>
        <v>2.851644031236945E-2</v>
      </c>
      <c r="G122" s="3"/>
      <c r="H122" s="8">
        <v>5672</v>
      </c>
      <c r="I122" s="3"/>
      <c r="J122" s="7">
        <f t="shared" si="69"/>
        <v>8.6139341623283142E-3</v>
      </c>
      <c r="K122" s="3"/>
      <c r="L122" s="8">
        <f t="shared" si="70"/>
        <v>8704.5400000000009</v>
      </c>
      <c r="M122" s="3"/>
      <c r="N122" s="7">
        <f t="shared" si="71"/>
        <v>1.5346509167842033</v>
      </c>
      <c r="O122" s="11"/>
      <c r="P122" s="8">
        <v>14376.54</v>
      </c>
      <c r="Q122" s="3"/>
      <c r="R122" s="7">
        <f t="shared" si="72"/>
        <v>2.851644031236945E-2</v>
      </c>
      <c r="S122" s="3"/>
      <c r="T122" s="8">
        <v>5672</v>
      </c>
      <c r="U122" s="3"/>
      <c r="V122" s="7">
        <f t="shared" si="73"/>
        <v>8.6139341623283142E-3</v>
      </c>
      <c r="W122" s="3"/>
      <c r="X122" s="8">
        <f t="shared" si="74"/>
        <v>8704.5400000000009</v>
      </c>
      <c r="Y122" s="3"/>
      <c r="Z122" s="7">
        <f t="shared" si="75"/>
        <v>1.5346509167842033</v>
      </c>
    </row>
    <row r="123" spans="1:26" s="24" customFormat="1" hidden="1" outlineLevel="2" x14ac:dyDescent="0.3">
      <c r="A123" s="29"/>
      <c r="B123" s="11" t="str">
        <f>CONCATENATE("          ", "6254", " - ", "ROYALTY &amp; COMMISSIONS")</f>
        <v xml:space="preserve">          6254 - ROYALTY &amp; COMMISSIONS</v>
      </c>
      <c r="C123" s="11"/>
      <c r="D123" s="8">
        <v>-7027.5</v>
      </c>
      <c r="E123" s="3"/>
      <c r="F123" s="7">
        <f t="shared" si="68"/>
        <v>-1.3939326450952475E-2</v>
      </c>
      <c r="G123" s="3"/>
      <c r="H123" s="8">
        <v>0</v>
      </c>
      <c r="I123" s="3"/>
      <c r="J123" s="7">
        <f t="shared" si="69"/>
        <v>0</v>
      </c>
      <c r="K123" s="3"/>
      <c r="L123" s="8">
        <f t="shared" si="70"/>
        <v>-7027.5</v>
      </c>
      <c r="M123" s="3"/>
      <c r="N123" s="7">
        <f t="shared" si="71"/>
        <v>0</v>
      </c>
      <c r="O123" s="11"/>
      <c r="P123" s="8">
        <v>-7027.5</v>
      </c>
      <c r="Q123" s="3"/>
      <c r="R123" s="7">
        <f t="shared" si="72"/>
        <v>-1.3939326450952475E-2</v>
      </c>
      <c r="S123" s="3"/>
      <c r="T123" s="8">
        <v>0</v>
      </c>
      <c r="U123" s="3"/>
      <c r="V123" s="7">
        <f t="shared" si="73"/>
        <v>0</v>
      </c>
      <c r="W123" s="3"/>
      <c r="X123" s="8">
        <f t="shared" si="74"/>
        <v>-7027.5</v>
      </c>
      <c r="Y123" s="3"/>
      <c r="Z123" s="7">
        <f t="shared" si="75"/>
        <v>0</v>
      </c>
    </row>
    <row r="124" spans="1:26" s="24" customFormat="1" hidden="1" outlineLevel="2" x14ac:dyDescent="0.3">
      <c r="A124" s="29"/>
      <c r="B124" s="11" t="str">
        <f>CONCATENATE("          ", "6259", " - ", "ROYALTY &amp; COMMISSIONS")</f>
        <v xml:space="preserve">          6259 - ROYALTY &amp; COMMISSIONS</v>
      </c>
      <c r="C124" s="11"/>
      <c r="D124" s="8">
        <v>6.06</v>
      </c>
      <c r="E124" s="3"/>
      <c r="F124" s="7">
        <f t="shared" si="68"/>
        <v>1.2020251624727427E-5</v>
      </c>
      <c r="G124" s="3"/>
      <c r="H124" s="8">
        <v>6000</v>
      </c>
      <c r="I124" s="3"/>
      <c r="J124" s="7">
        <f t="shared" si="69"/>
        <v>9.1120601152979343E-3</v>
      </c>
      <c r="K124" s="3"/>
      <c r="L124" s="8">
        <f t="shared" si="70"/>
        <v>-5993.94</v>
      </c>
      <c r="M124" s="3"/>
      <c r="N124" s="7">
        <f t="shared" si="71"/>
        <v>-0.99898999999999993</v>
      </c>
      <c r="O124" s="11"/>
      <c r="P124" s="8">
        <v>6.06</v>
      </c>
      <c r="Q124" s="3"/>
      <c r="R124" s="7">
        <f t="shared" si="72"/>
        <v>1.2020251624727427E-5</v>
      </c>
      <c r="S124" s="3"/>
      <c r="T124" s="8">
        <v>6000</v>
      </c>
      <c r="U124" s="3"/>
      <c r="V124" s="7">
        <f t="shared" si="73"/>
        <v>9.1120601152979343E-3</v>
      </c>
      <c r="W124" s="3"/>
      <c r="X124" s="8">
        <f t="shared" si="74"/>
        <v>-5993.94</v>
      </c>
      <c r="Y124" s="3"/>
      <c r="Z124" s="7">
        <f t="shared" si="75"/>
        <v>-0.99898999999999993</v>
      </c>
    </row>
    <row r="125" spans="1:26" s="27" customFormat="1" outlineLevel="1" collapsed="1" x14ac:dyDescent="0.3">
      <c r="A125" s="28"/>
      <c r="B125" s="14" t="str">
        <f>CONCATENATE("     ","Services                                          ")</f>
        <v xml:space="preserve">     Services                                          </v>
      </c>
      <c r="C125" s="14"/>
      <c r="D125" s="1">
        <f>SUM(OSRRefD22_20x_0)</f>
        <v>21826.320000000003</v>
      </c>
      <c r="E125" s="1"/>
      <c r="F125" s="5">
        <f t="shared" ref="F125:F130" si="76">IF(D$12=0,0,D125/D$12)</f>
        <v>4.3293375980498483E-2</v>
      </c>
      <c r="G125" s="1"/>
      <c r="H125" s="1">
        <f>SUM(OSRRefH22_20x_0)</f>
        <v>29961</v>
      </c>
      <c r="I125" s="1"/>
      <c r="J125" s="5">
        <f t="shared" ref="J125:J130" si="77">IF(H$12=0,0,H125/H$12)</f>
        <v>4.5501072185740232E-2</v>
      </c>
      <c r="K125" s="1"/>
      <c r="L125" s="1">
        <f t="shared" ref="L125:L130" si="78">+D125-H125</f>
        <v>-8134.6799999999967</v>
      </c>
      <c r="M125" s="1"/>
      <c r="N125" s="5">
        <f t="shared" ref="N125:N130" si="79">IF(H125=0,0,L125/H125)</f>
        <v>-0.2715089616501451</v>
      </c>
      <c r="O125" s="14"/>
      <c r="P125" s="1">
        <f>SUM(OSRRefP22_20x_0)</f>
        <v>21826.320000000003</v>
      </c>
      <c r="Q125" s="1"/>
      <c r="R125" s="5">
        <f t="shared" ref="R125:R130" si="80">IF(P$12=0,0,P125/P$12)</f>
        <v>4.3293375980498483E-2</v>
      </c>
      <c r="S125" s="1"/>
      <c r="T125" s="1">
        <f>SUM(OSRRefT22_20x_0)</f>
        <v>29961</v>
      </c>
      <c r="U125" s="1"/>
      <c r="V125" s="5">
        <f t="shared" ref="V125:V130" si="81">IF(T$12=0,0,T125/T$12)</f>
        <v>4.5501072185740232E-2</v>
      </c>
      <c r="W125" s="1"/>
      <c r="X125" s="1">
        <f t="shared" ref="X125:X130" si="82">+P125-T125</f>
        <v>-8134.6799999999967</v>
      </c>
      <c r="Y125" s="1"/>
      <c r="Z125" s="5">
        <f t="shared" ref="Z125:Z130" si="83">IF(T125=0,0,X125/T125)</f>
        <v>-0.2715089616501451</v>
      </c>
    </row>
    <row r="126" spans="1:26" s="24" customFormat="1" hidden="1" outlineLevel="2" x14ac:dyDescent="0.3">
      <c r="A126" s="29"/>
      <c r="B126" s="11" t="str">
        <f>CONCATENATE("          ", "6282", " - ", "JANITORIAL/EXTERMINATOR EXPENS")</f>
        <v xml:space="preserve">          6282 - JANITORIAL/EXTERMINATOR EXPENS</v>
      </c>
      <c r="C126" s="11"/>
      <c r="D126" s="8">
        <v>2330.4499999999998</v>
      </c>
      <c r="E126" s="3"/>
      <c r="F126" s="7">
        <f t="shared" si="76"/>
        <v>4.6225404948590813E-3</v>
      </c>
      <c r="G126" s="3"/>
      <c r="H126" s="8">
        <v>6848</v>
      </c>
      <c r="I126" s="3"/>
      <c r="J126" s="7">
        <f t="shared" si="77"/>
        <v>1.0399897944926708E-2</v>
      </c>
      <c r="K126" s="3"/>
      <c r="L126" s="8">
        <f t="shared" si="78"/>
        <v>-4517.55</v>
      </c>
      <c r="M126" s="3"/>
      <c r="N126" s="7">
        <f t="shared" si="79"/>
        <v>-0.65968896028037383</v>
      </c>
      <c r="O126" s="11"/>
      <c r="P126" s="8">
        <v>2330.4499999999998</v>
      </c>
      <c r="Q126" s="3"/>
      <c r="R126" s="7">
        <f t="shared" si="80"/>
        <v>4.6225404948590813E-3</v>
      </c>
      <c r="S126" s="3"/>
      <c r="T126" s="8">
        <v>6848</v>
      </c>
      <c r="U126" s="3"/>
      <c r="V126" s="7">
        <f t="shared" si="81"/>
        <v>1.0399897944926708E-2</v>
      </c>
      <c r="W126" s="3"/>
      <c r="X126" s="8">
        <f t="shared" si="82"/>
        <v>-4517.55</v>
      </c>
      <c r="Y126" s="3"/>
      <c r="Z126" s="7">
        <f t="shared" si="83"/>
        <v>-0.65968896028037383</v>
      </c>
    </row>
    <row r="127" spans="1:26" s="24" customFormat="1" hidden="1" outlineLevel="2" x14ac:dyDescent="0.3">
      <c r="A127" s="29"/>
      <c r="B127" s="11" t="str">
        <f>CONCATENATE("          ", "6283", " - ", "PLANT SERVICE")</f>
        <v xml:space="preserve">          6283 - PLANT SERVICE</v>
      </c>
      <c r="C127" s="11"/>
      <c r="D127" s="8"/>
      <c r="E127" s="3"/>
      <c r="F127" s="7">
        <f t="shared" si="76"/>
        <v>0</v>
      </c>
      <c r="G127" s="3"/>
      <c r="H127" s="8">
        <v>100</v>
      </c>
      <c r="I127" s="3"/>
      <c r="J127" s="7">
        <f t="shared" si="77"/>
        <v>1.518676685882989E-4</v>
      </c>
      <c r="K127" s="3"/>
      <c r="L127" s="8">
        <f t="shared" si="78"/>
        <v>-100</v>
      </c>
      <c r="M127" s="3"/>
      <c r="N127" s="7">
        <f t="shared" si="79"/>
        <v>-1</v>
      </c>
      <c r="O127" s="11"/>
      <c r="P127" s="8"/>
      <c r="Q127" s="3"/>
      <c r="R127" s="7">
        <f t="shared" si="80"/>
        <v>0</v>
      </c>
      <c r="S127" s="3"/>
      <c r="T127" s="8">
        <v>100</v>
      </c>
      <c r="U127" s="3"/>
      <c r="V127" s="7">
        <f t="shared" si="81"/>
        <v>1.518676685882989E-4</v>
      </c>
      <c r="W127" s="3"/>
      <c r="X127" s="8">
        <f t="shared" si="82"/>
        <v>-100</v>
      </c>
      <c r="Y127" s="3"/>
      <c r="Z127" s="7">
        <f t="shared" si="83"/>
        <v>-1</v>
      </c>
    </row>
    <row r="128" spans="1:26" s="24" customFormat="1" hidden="1" outlineLevel="2" x14ac:dyDescent="0.3">
      <c r="A128" s="29"/>
      <c r="B128" s="11" t="str">
        <f>CONCATENATE("          ", "6284", " - ", "TRASH REMOVAL EXPENSE")</f>
        <v xml:space="preserve">          6284 - TRASH REMOVAL EXPENSE</v>
      </c>
      <c r="C128" s="11"/>
      <c r="D128" s="8">
        <v>142.57</v>
      </c>
      <c r="E128" s="3"/>
      <c r="F128" s="7">
        <f t="shared" si="76"/>
        <v>2.8279327956062529E-4</v>
      </c>
      <c r="G128" s="3"/>
      <c r="H128" s="8">
        <v>1660</v>
      </c>
      <c r="I128" s="3"/>
      <c r="J128" s="7">
        <f t="shared" si="77"/>
        <v>2.5210032985657619E-3</v>
      </c>
      <c r="K128" s="3"/>
      <c r="L128" s="8">
        <f t="shared" si="78"/>
        <v>-1517.43</v>
      </c>
      <c r="M128" s="3"/>
      <c r="N128" s="7">
        <f t="shared" si="79"/>
        <v>-0.91411445783132539</v>
      </c>
      <c r="O128" s="11"/>
      <c r="P128" s="8">
        <v>142.57</v>
      </c>
      <c r="Q128" s="3"/>
      <c r="R128" s="7">
        <f t="shared" si="80"/>
        <v>2.8279327956062529E-4</v>
      </c>
      <c r="S128" s="3"/>
      <c r="T128" s="8">
        <v>1660</v>
      </c>
      <c r="U128" s="3"/>
      <c r="V128" s="7">
        <f t="shared" si="81"/>
        <v>2.5210032985657619E-3</v>
      </c>
      <c r="W128" s="3"/>
      <c r="X128" s="8">
        <f t="shared" si="82"/>
        <v>-1517.43</v>
      </c>
      <c r="Y128" s="3"/>
      <c r="Z128" s="7">
        <f t="shared" si="83"/>
        <v>-0.91411445783132539</v>
      </c>
    </row>
    <row r="129" spans="1:26" s="24" customFormat="1" hidden="1" outlineLevel="2" x14ac:dyDescent="0.3">
      <c r="A129" s="29"/>
      <c r="B129" s="11" t="str">
        <f>CONCATENATE("          ", "6285", " - ", "JANITORIAL SERVICES")</f>
        <v xml:space="preserve">          6285 - JANITORIAL SERVICES</v>
      </c>
      <c r="C129" s="11"/>
      <c r="D129" s="8">
        <v>18270.330000000002</v>
      </c>
      <c r="E129" s="3"/>
      <c r="F129" s="7">
        <f t="shared" si="76"/>
        <v>3.6239928030826124E-2</v>
      </c>
      <c r="G129" s="3"/>
      <c r="H129" s="8">
        <v>17376</v>
      </c>
      <c r="I129" s="3"/>
      <c r="J129" s="7">
        <f t="shared" si="77"/>
        <v>2.6388526093902819E-2</v>
      </c>
      <c r="K129" s="3"/>
      <c r="L129" s="8">
        <f t="shared" si="78"/>
        <v>894.33000000000175</v>
      </c>
      <c r="M129" s="3"/>
      <c r="N129" s="7">
        <f t="shared" si="79"/>
        <v>5.1469267955801208E-2</v>
      </c>
      <c r="O129" s="11"/>
      <c r="P129" s="8">
        <v>18270.330000000002</v>
      </c>
      <c r="Q129" s="3"/>
      <c r="R129" s="7">
        <f t="shared" si="80"/>
        <v>3.6239928030826124E-2</v>
      </c>
      <c r="S129" s="3"/>
      <c r="T129" s="8">
        <v>17376</v>
      </c>
      <c r="U129" s="3"/>
      <c r="V129" s="7">
        <f t="shared" si="81"/>
        <v>2.6388526093902819E-2</v>
      </c>
      <c r="W129" s="3"/>
      <c r="X129" s="8">
        <f t="shared" si="82"/>
        <v>894.33000000000175</v>
      </c>
      <c r="Y129" s="3"/>
      <c r="Z129" s="7">
        <f t="shared" si="83"/>
        <v>5.1469267955801208E-2</v>
      </c>
    </row>
    <row r="130" spans="1:26" s="24" customFormat="1" hidden="1" outlineLevel="2" x14ac:dyDescent="0.3">
      <c r="A130" s="29"/>
      <c r="B130" s="11" t="str">
        <f>CONCATENATE("          ", "6286", " - ", "LAUNDRY EXPENSE")</f>
        <v xml:space="preserve">          6286 - LAUNDRY EXPENSE</v>
      </c>
      <c r="C130" s="11"/>
      <c r="D130" s="8">
        <v>1082.97</v>
      </c>
      <c r="E130" s="3"/>
      <c r="F130" s="7">
        <f t="shared" si="76"/>
        <v>2.1481141752526509E-3</v>
      </c>
      <c r="G130" s="3"/>
      <c r="H130" s="8">
        <v>3977</v>
      </c>
      <c r="I130" s="3"/>
      <c r="J130" s="7">
        <f t="shared" si="77"/>
        <v>6.0397771797566476E-3</v>
      </c>
      <c r="K130" s="3"/>
      <c r="L130" s="8">
        <f t="shared" si="78"/>
        <v>-2894.0299999999997</v>
      </c>
      <c r="M130" s="3"/>
      <c r="N130" s="7">
        <f t="shared" si="79"/>
        <v>-0.72769172743273813</v>
      </c>
      <c r="O130" s="11"/>
      <c r="P130" s="8">
        <v>1082.97</v>
      </c>
      <c r="Q130" s="3"/>
      <c r="R130" s="7">
        <f t="shared" si="80"/>
        <v>2.1481141752526509E-3</v>
      </c>
      <c r="S130" s="3"/>
      <c r="T130" s="8">
        <v>3977</v>
      </c>
      <c r="U130" s="3"/>
      <c r="V130" s="7">
        <f t="shared" si="81"/>
        <v>6.0397771797566476E-3</v>
      </c>
      <c r="W130" s="3"/>
      <c r="X130" s="8">
        <f t="shared" si="82"/>
        <v>-2894.0299999999997</v>
      </c>
      <c r="Y130" s="3"/>
      <c r="Z130" s="7">
        <f t="shared" si="83"/>
        <v>-0.72769172743273813</v>
      </c>
    </row>
    <row r="131" spans="1:26" s="27" customFormat="1" outlineLevel="1" collapsed="1" x14ac:dyDescent="0.3">
      <c r="A131" s="28"/>
      <c r="B131" s="14" t="str">
        <f>CONCATENATE("     ","Subscriptions &amp; Dues                              ")</f>
        <v xml:space="preserve">     Subscriptions &amp; Dues                              </v>
      </c>
      <c r="C131" s="14"/>
      <c r="D131" s="1">
        <f>SUM(OSRRefD22_21x_0)</f>
        <v>198.98999999999998</v>
      </c>
      <c r="E131" s="1"/>
      <c r="F131" s="5">
        <f t="shared" ref="F131:F133" si="84">IF(D$12=0,0,D131/D$12)</f>
        <v>3.9470459914265856E-4</v>
      </c>
      <c r="G131" s="1"/>
      <c r="H131" s="1">
        <f>SUM(OSRRefH22_21x_0)</f>
        <v>2241</v>
      </c>
      <c r="I131" s="1"/>
      <c r="J131" s="5">
        <f t="shared" ref="J131:J133" si="85">IF(H$12=0,0,H131/H$12)</f>
        <v>3.4033544530637783E-3</v>
      </c>
      <c r="K131" s="1"/>
      <c r="L131" s="1">
        <f t="shared" ref="L131:L133" si="86">+D131-H131</f>
        <v>-2042.01</v>
      </c>
      <c r="M131" s="1"/>
      <c r="N131" s="5">
        <f t="shared" ref="N131:N133" si="87">IF(H131=0,0,L131/H131)</f>
        <v>-0.91120481927710839</v>
      </c>
      <c r="O131" s="14"/>
      <c r="P131" s="1">
        <f>SUM(OSRRefP22_21x_0)</f>
        <v>198.98999999999998</v>
      </c>
      <c r="Q131" s="1"/>
      <c r="R131" s="5">
        <f t="shared" ref="R131:R133" si="88">IF(P$12=0,0,P131/P$12)</f>
        <v>3.9470459914265856E-4</v>
      </c>
      <c r="S131" s="1"/>
      <c r="T131" s="1">
        <f>SUM(OSRRefT22_21x_0)</f>
        <v>2241</v>
      </c>
      <c r="U131" s="1"/>
      <c r="V131" s="5">
        <f t="shared" ref="V131:V133" si="89">IF(T$12=0,0,T131/T$12)</f>
        <v>3.4033544530637783E-3</v>
      </c>
      <c r="W131" s="1"/>
      <c r="X131" s="1">
        <f t="shared" ref="X131:X133" si="90">+P131-T131</f>
        <v>-2042.01</v>
      </c>
      <c r="Y131" s="1"/>
      <c r="Z131" s="5">
        <f t="shared" ref="Z131:Z133" si="91">IF(T131=0,0,X131/T131)</f>
        <v>-0.91120481927710839</v>
      </c>
    </row>
    <row r="132" spans="1:26" s="24" customFormat="1" hidden="1" outlineLevel="2" x14ac:dyDescent="0.3">
      <c r="A132" s="29"/>
      <c r="B132" s="11" t="str">
        <f>CONCATENATE("          ", "6258", " - ", "MEMBERSHIP DUES")</f>
        <v xml:space="preserve">          6258 - MEMBERSHIP DUES</v>
      </c>
      <c r="C132" s="11"/>
      <c r="D132" s="8">
        <v>68.319999999999993</v>
      </c>
      <c r="E132" s="3"/>
      <c r="F132" s="7">
        <f t="shared" si="84"/>
        <v>1.3551544405963331E-4</v>
      </c>
      <c r="G132" s="3"/>
      <c r="H132" s="8">
        <v>1780</v>
      </c>
      <c r="I132" s="3"/>
      <c r="J132" s="7">
        <f t="shared" si="85"/>
        <v>2.7032445008717204E-3</v>
      </c>
      <c r="K132" s="3"/>
      <c r="L132" s="8">
        <f t="shared" si="86"/>
        <v>-1711.68</v>
      </c>
      <c r="M132" s="3"/>
      <c r="N132" s="7">
        <f t="shared" si="87"/>
        <v>-0.96161797752808997</v>
      </c>
      <c r="O132" s="11"/>
      <c r="P132" s="8">
        <v>68.319999999999993</v>
      </c>
      <c r="Q132" s="3"/>
      <c r="R132" s="7">
        <f t="shared" si="88"/>
        <v>1.3551544405963331E-4</v>
      </c>
      <c r="S132" s="3"/>
      <c r="T132" s="8">
        <v>1780</v>
      </c>
      <c r="U132" s="3"/>
      <c r="V132" s="7">
        <f t="shared" si="89"/>
        <v>2.7032445008717204E-3</v>
      </c>
      <c r="W132" s="3"/>
      <c r="X132" s="8">
        <f t="shared" si="90"/>
        <v>-1711.68</v>
      </c>
      <c r="Y132" s="3"/>
      <c r="Z132" s="7">
        <f t="shared" si="91"/>
        <v>-0.96161797752808997</v>
      </c>
    </row>
    <row r="133" spans="1:26" s="24" customFormat="1" hidden="1" outlineLevel="2" x14ac:dyDescent="0.3">
      <c r="A133" s="29"/>
      <c r="B133" s="11" t="str">
        <f>CONCATENATE("          ", "6275", " - ", "SUBSCRIPTIONS")</f>
        <v xml:space="preserve">          6275 - SUBSCRIPTIONS</v>
      </c>
      <c r="C133" s="11"/>
      <c r="D133" s="8">
        <v>130.66999999999999</v>
      </c>
      <c r="E133" s="3"/>
      <c r="F133" s="7">
        <f t="shared" si="84"/>
        <v>2.5918915508302525E-4</v>
      </c>
      <c r="G133" s="3"/>
      <c r="H133" s="8">
        <v>461</v>
      </c>
      <c r="I133" s="3"/>
      <c r="J133" s="7">
        <f t="shared" si="85"/>
        <v>7.0010995219205792E-4</v>
      </c>
      <c r="K133" s="3"/>
      <c r="L133" s="8">
        <f t="shared" si="86"/>
        <v>-330.33000000000004</v>
      </c>
      <c r="M133" s="3"/>
      <c r="N133" s="7">
        <f t="shared" si="87"/>
        <v>-0.71655097613882868</v>
      </c>
      <c r="O133" s="11"/>
      <c r="P133" s="8">
        <v>130.66999999999999</v>
      </c>
      <c r="Q133" s="3"/>
      <c r="R133" s="7">
        <f t="shared" si="88"/>
        <v>2.5918915508302525E-4</v>
      </c>
      <c r="S133" s="3"/>
      <c r="T133" s="8">
        <v>461</v>
      </c>
      <c r="U133" s="3"/>
      <c r="V133" s="7">
        <f t="shared" si="89"/>
        <v>7.0010995219205792E-4</v>
      </c>
      <c r="W133" s="3"/>
      <c r="X133" s="8">
        <f t="shared" si="90"/>
        <v>-330.33000000000004</v>
      </c>
      <c r="Y133" s="3"/>
      <c r="Z133" s="7">
        <f t="shared" si="91"/>
        <v>-0.71655097613882868</v>
      </c>
    </row>
    <row r="134" spans="1:26" s="27" customFormat="1" outlineLevel="1" collapsed="1" x14ac:dyDescent="0.3">
      <c r="A134" s="28"/>
      <c r="B134" s="14" t="str">
        <f>CONCATENATE("     ","Supplies                                          ")</f>
        <v xml:space="preserve">     Supplies                                          </v>
      </c>
      <c r="C134" s="14"/>
      <c r="D134" s="1">
        <f>SUM(OSRRefD22_22x_0)</f>
        <v>16538.2</v>
      </c>
      <c r="E134" s="1"/>
      <c r="F134" s="5">
        <f t="shared" ref="F134:F144" si="92">IF(D$12=0,0,D134/D$12)</f>
        <v>3.2804179112222304E-2</v>
      </c>
      <c r="G134" s="1"/>
      <c r="H134" s="1">
        <f>SUM(OSRRefH22_22x_0)</f>
        <v>56949</v>
      </c>
      <c r="I134" s="1"/>
      <c r="J134" s="5">
        <f t="shared" ref="J134:J144" si="93">IF(H$12=0,0,H134/H$12)</f>
        <v>8.6487118584350334E-2</v>
      </c>
      <c r="K134" s="1"/>
      <c r="L134" s="1">
        <f t="shared" ref="L134:L144" si="94">+D134-H134</f>
        <v>-40410.800000000003</v>
      </c>
      <c r="M134" s="1"/>
      <c r="N134" s="5">
        <f t="shared" ref="N134:N144" si="95">IF(H134=0,0,L134/H134)</f>
        <v>-0.70959630546629449</v>
      </c>
      <c r="O134" s="14"/>
      <c r="P134" s="1">
        <f>SUM(OSRRefP22_22x_0)</f>
        <v>16538.2</v>
      </c>
      <c r="Q134" s="1"/>
      <c r="R134" s="5">
        <f t="shared" ref="R134:R144" si="96">IF(P$12=0,0,P134/P$12)</f>
        <v>3.2804179112222304E-2</v>
      </c>
      <c r="S134" s="1"/>
      <c r="T134" s="1">
        <f>SUM(OSRRefT22_22x_0)</f>
        <v>56949</v>
      </c>
      <c r="U134" s="1"/>
      <c r="V134" s="5">
        <f t="shared" ref="V134:V144" si="97">IF(T$12=0,0,T134/T$12)</f>
        <v>8.6487118584350334E-2</v>
      </c>
      <c r="W134" s="1"/>
      <c r="X134" s="1">
        <f t="shared" ref="X134:X144" si="98">+P134-T134</f>
        <v>-40410.800000000003</v>
      </c>
      <c r="Y134" s="1"/>
      <c r="Z134" s="5">
        <f t="shared" ref="Z134:Z144" si="99">IF(T134=0,0,X134/T134)</f>
        <v>-0.70959630546629449</v>
      </c>
    </row>
    <row r="135" spans="1:26" s="24" customFormat="1" hidden="1" outlineLevel="2" x14ac:dyDescent="0.3">
      <c r="A135" s="29"/>
      <c r="B135" s="11" t="str">
        <f>CONCATENATE("          ", "6234", " - ", "EXPENDABLE SUPPLIES &amp; EQUIPMEN")</f>
        <v xml:space="preserve">          6234 - EXPENDABLE SUPPLIES &amp; EQUIPMEN</v>
      </c>
      <c r="C135" s="11"/>
      <c r="D135" s="8"/>
      <c r="E135" s="3"/>
      <c r="F135" s="7">
        <f t="shared" si="92"/>
        <v>0</v>
      </c>
      <c r="G135" s="3"/>
      <c r="H135" s="8">
        <v>6142</v>
      </c>
      <c r="I135" s="3"/>
      <c r="J135" s="7">
        <f t="shared" si="93"/>
        <v>9.327712204693318E-3</v>
      </c>
      <c r="K135" s="3"/>
      <c r="L135" s="8">
        <f t="shared" si="94"/>
        <v>-6142</v>
      </c>
      <c r="M135" s="3"/>
      <c r="N135" s="7">
        <f t="shared" si="95"/>
        <v>-1</v>
      </c>
      <c r="O135" s="11"/>
      <c r="P135" s="8"/>
      <c r="Q135" s="3"/>
      <c r="R135" s="7">
        <f t="shared" si="96"/>
        <v>0</v>
      </c>
      <c r="S135" s="3"/>
      <c r="T135" s="8">
        <v>6142</v>
      </c>
      <c r="U135" s="3"/>
      <c r="V135" s="7">
        <f t="shared" si="97"/>
        <v>9.327712204693318E-3</v>
      </c>
      <c r="W135" s="3"/>
      <c r="X135" s="8">
        <f t="shared" si="98"/>
        <v>-6142</v>
      </c>
      <c r="Y135" s="3"/>
      <c r="Z135" s="7">
        <f t="shared" si="99"/>
        <v>-1</v>
      </c>
    </row>
    <row r="136" spans="1:26" s="24" customFormat="1" hidden="1" outlineLevel="2" x14ac:dyDescent="0.3">
      <c r="A136" s="29"/>
      <c r="B136" s="11" t="str">
        <f>CONCATENATE("          ", "6235", " - ", "COVID-19 EXPENSES")</f>
        <v xml:space="preserve">          6235 - COVID-19 EXPENSES</v>
      </c>
      <c r="C136" s="11"/>
      <c r="D136" s="8">
        <v>272.22000000000003</v>
      </c>
      <c r="E136" s="3"/>
      <c r="F136" s="7">
        <f t="shared" si="92"/>
        <v>5.3995922397414209E-4</v>
      </c>
      <c r="G136" s="3"/>
      <c r="H136" s="8">
        <v>625</v>
      </c>
      <c r="I136" s="3"/>
      <c r="J136" s="7">
        <f t="shared" si="93"/>
        <v>9.4917292867686812E-4</v>
      </c>
      <c r="K136" s="3"/>
      <c r="L136" s="8">
        <f t="shared" si="94"/>
        <v>-352.78</v>
      </c>
      <c r="M136" s="3"/>
      <c r="N136" s="7">
        <f t="shared" si="95"/>
        <v>-0.56444799999999995</v>
      </c>
      <c r="O136" s="11"/>
      <c r="P136" s="8">
        <v>272.22000000000003</v>
      </c>
      <c r="Q136" s="3"/>
      <c r="R136" s="7">
        <f t="shared" si="96"/>
        <v>5.3995922397414209E-4</v>
      </c>
      <c r="S136" s="3"/>
      <c r="T136" s="8">
        <v>625</v>
      </c>
      <c r="U136" s="3"/>
      <c r="V136" s="7">
        <f t="shared" si="97"/>
        <v>9.4917292867686812E-4</v>
      </c>
      <c r="W136" s="3"/>
      <c r="X136" s="8">
        <f t="shared" si="98"/>
        <v>-352.78</v>
      </c>
      <c r="Y136" s="3"/>
      <c r="Z136" s="7">
        <f t="shared" si="99"/>
        <v>-0.56444799999999995</v>
      </c>
    </row>
    <row r="137" spans="1:26" s="24" customFormat="1" hidden="1" outlineLevel="2" x14ac:dyDescent="0.3">
      <c r="A137" s="29"/>
      <c r="B137" s="11" t="str">
        <f>CONCATENATE("          ", "6237", " - ", "JANITORIAL SUPPLIES")</f>
        <v xml:space="preserve">          6237 - JANITORIAL SUPPLIES</v>
      </c>
      <c r="C137" s="11"/>
      <c r="D137" s="8">
        <v>5360.09</v>
      </c>
      <c r="E137" s="3"/>
      <c r="F137" s="7">
        <f t="shared" si="92"/>
        <v>1.0631952232868853E-2</v>
      </c>
      <c r="G137" s="3"/>
      <c r="H137" s="8">
        <v>11573</v>
      </c>
      <c r="I137" s="3"/>
      <c r="J137" s="7">
        <f t="shared" si="93"/>
        <v>1.7575645285723831E-2</v>
      </c>
      <c r="K137" s="3"/>
      <c r="L137" s="8">
        <f t="shared" si="94"/>
        <v>-6212.91</v>
      </c>
      <c r="M137" s="3"/>
      <c r="N137" s="7">
        <f t="shared" si="95"/>
        <v>-0.53684524323857252</v>
      </c>
      <c r="O137" s="11"/>
      <c r="P137" s="8">
        <v>5360.09</v>
      </c>
      <c r="Q137" s="3"/>
      <c r="R137" s="7">
        <f t="shared" si="96"/>
        <v>1.0631952232868853E-2</v>
      </c>
      <c r="S137" s="3"/>
      <c r="T137" s="8">
        <v>11573</v>
      </c>
      <c r="U137" s="3"/>
      <c r="V137" s="7">
        <f t="shared" si="97"/>
        <v>1.7575645285723831E-2</v>
      </c>
      <c r="W137" s="3"/>
      <c r="X137" s="8">
        <f t="shared" si="98"/>
        <v>-6212.91</v>
      </c>
      <c r="Y137" s="3"/>
      <c r="Z137" s="7">
        <f t="shared" si="99"/>
        <v>-0.53684524323857252</v>
      </c>
    </row>
    <row r="138" spans="1:26" s="24" customFormat="1" hidden="1" outlineLevel="2" x14ac:dyDescent="0.3">
      <c r="A138" s="29"/>
      <c r="B138" s="11" t="str">
        <f>CONCATENATE("          ", "6239", " - ", "KITCHEN SUPPLIES")</f>
        <v xml:space="preserve">          6239 - KITCHEN SUPPLIES</v>
      </c>
      <c r="C138" s="11"/>
      <c r="D138" s="8">
        <v>32.03</v>
      </c>
      <c r="E138" s="3"/>
      <c r="F138" s="7">
        <f t="shared" si="92"/>
        <v>6.3532782102313455E-5</v>
      </c>
      <c r="G138" s="3"/>
      <c r="H138" s="8">
        <v>11463</v>
      </c>
      <c r="I138" s="3"/>
      <c r="J138" s="7">
        <f t="shared" si="93"/>
        <v>1.7408590850276701E-2</v>
      </c>
      <c r="K138" s="3"/>
      <c r="L138" s="8">
        <f t="shared" si="94"/>
        <v>-11430.97</v>
      </c>
      <c r="M138" s="3"/>
      <c r="N138" s="7">
        <f t="shared" si="95"/>
        <v>-0.99720579254994324</v>
      </c>
      <c r="O138" s="11"/>
      <c r="P138" s="8">
        <v>32.03</v>
      </c>
      <c r="Q138" s="3"/>
      <c r="R138" s="7">
        <f t="shared" si="96"/>
        <v>6.3532782102313455E-5</v>
      </c>
      <c r="S138" s="3"/>
      <c r="T138" s="8">
        <v>11463</v>
      </c>
      <c r="U138" s="3"/>
      <c r="V138" s="7">
        <f t="shared" si="97"/>
        <v>1.7408590850276701E-2</v>
      </c>
      <c r="W138" s="3"/>
      <c r="X138" s="8">
        <f t="shared" si="98"/>
        <v>-11430.97</v>
      </c>
      <c r="Y138" s="3"/>
      <c r="Z138" s="7">
        <f t="shared" si="99"/>
        <v>-0.99720579254994324</v>
      </c>
    </row>
    <row r="139" spans="1:26" s="24" customFormat="1" hidden="1" outlineLevel="2" x14ac:dyDescent="0.3">
      <c r="A139" s="29"/>
      <c r="B139" s="11" t="str">
        <f>CONCATENATE("          ", "6241", " - ", "OFFICE EXPENSE")</f>
        <v xml:space="preserve">          6241 - OFFICE EXPENSE</v>
      </c>
      <c r="C139" s="11"/>
      <c r="D139" s="8">
        <v>1860.65</v>
      </c>
      <c r="E139" s="3"/>
      <c r="F139" s="7">
        <f t="shared" si="92"/>
        <v>3.690673462961896E-3</v>
      </c>
      <c r="G139" s="3"/>
      <c r="H139" s="8">
        <v>2069</v>
      </c>
      <c r="I139" s="3"/>
      <c r="J139" s="7">
        <f t="shared" si="93"/>
        <v>3.1421420630919042E-3</v>
      </c>
      <c r="K139" s="3"/>
      <c r="L139" s="8">
        <f t="shared" si="94"/>
        <v>-208.34999999999991</v>
      </c>
      <c r="M139" s="3"/>
      <c r="N139" s="7">
        <f t="shared" si="95"/>
        <v>-0.10070082165297241</v>
      </c>
      <c r="O139" s="11"/>
      <c r="P139" s="8">
        <v>1860.65</v>
      </c>
      <c r="Q139" s="3"/>
      <c r="R139" s="7">
        <f t="shared" si="96"/>
        <v>3.690673462961896E-3</v>
      </c>
      <c r="S139" s="3"/>
      <c r="T139" s="8">
        <v>2069</v>
      </c>
      <c r="U139" s="3"/>
      <c r="V139" s="7">
        <f t="shared" si="97"/>
        <v>3.1421420630919042E-3</v>
      </c>
      <c r="W139" s="3"/>
      <c r="X139" s="8">
        <f t="shared" si="98"/>
        <v>-208.34999999999991</v>
      </c>
      <c r="Y139" s="3"/>
      <c r="Z139" s="7">
        <f t="shared" si="99"/>
        <v>-0.10070082165297241</v>
      </c>
    </row>
    <row r="140" spans="1:26" s="24" customFormat="1" hidden="1" outlineLevel="2" x14ac:dyDescent="0.3">
      <c r="A140" s="29"/>
      <c r="B140" s="11" t="str">
        <f>CONCATENATE("          ", "6243", " - ", "PAPER SUPPLIES")</f>
        <v xml:space="preserve">          6243 - PAPER SUPPLIES</v>
      </c>
      <c r="C140" s="11"/>
      <c r="D140" s="8">
        <v>2877.69</v>
      </c>
      <c r="E140" s="3"/>
      <c r="F140" s="7">
        <f t="shared" si="92"/>
        <v>5.7080128544491539E-3</v>
      </c>
      <c r="G140" s="3"/>
      <c r="H140" s="8">
        <v>16009</v>
      </c>
      <c r="I140" s="3"/>
      <c r="J140" s="7">
        <f t="shared" si="93"/>
        <v>2.431249506430077E-2</v>
      </c>
      <c r="K140" s="3"/>
      <c r="L140" s="8">
        <f t="shared" si="94"/>
        <v>-13131.31</v>
      </c>
      <c r="M140" s="3"/>
      <c r="N140" s="7">
        <f t="shared" si="95"/>
        <v>-0.8202454869136111</v>
      </c>
      <c r="O140" s="11"/>
      <c r="P140" s="8">
        <v>2877.69</v>
      </c>
      <c r="Q140" s="3"/>
      <c r="R140" s="7">
        <f t="shared" si="96"/>
        <v>5.7080128544491539E-3</v>
      </c>
      <c r="S140" s="3"/>
      <c r="T140" s="8">
        <v>16009</v>
      </c>
      <c r="U140" s="3"/>
      <c r="V140" s="7">
        <f t="shared" si="97"/>
        <v>2.431249506430077E-2</v>
      </c>
      <c r="W140" s="3"/>
      <c r="X140" s="8">
        <f t="shared" si="98"/>
        <v>-13131.31</v>
      </c>
      <c r="Y140" s="3"/>
      <c r="Z140" s="7">
        <f t="shared" si="99"/>
        <v>-0.8202454869136111</v>
      </c>
    </row>
    <row r="141" spans="1:26" s="24" customFormat="1" hidden="1" outlineLevel="2" x14ac:dyDescent="0.3">
      <c r="A141" s="29"/>
      <c r="B141" s="11" t="str">
        <f>CONCATENATE("          ", "6244", " - ", "SAFETY SUPPLY EXPENSE")</f>
        <v xml:space="preserve">          6244 - SAFETY SUPPLY EXPENSE</v>
      </c>
      <c r="C141" s="11"/>
      <c r="D141" s="8"/>
      <c r="E141" s="3"/>
      <c r="F141" s="7">
        <f t="shared" si="92"/>
        <v>0</v>
      </c>
      <c r="G141" s="3"/>
      <c r="H141" s="8">
        <v>575</v>
      </c>
      <c r="I141" s="3"/>
      <c r="J141" s="7">
        <f t="shared" si="93"/>
        <v>8.732390943827187E-4</v>
      </c>
      <c r="K141" s="3"/>
      <c r="L141" s="8">
        <f t="shared" si="94"/>
        <v>-575</v>
      </c>
      <c r="M141" s="3"/>
      <c r="N141" s="7">
        <f t="shared" si="95"/>
        <v>-1</v>
      </c>
      <c r="O141" s="11"/>
      <c r="P141" s="8"/>
      <c r="Q141" s="3"/>
      <c r="R141" s="7">
        <f t="shared" si="96"/>
        <v>0</v>
      </c>
      <c r="S141" s="3"/>
      <c r="T141" s="8">
        <v>575</v>
      </c>
      <c r="U141" s="3"/>
      <c r="V141" s="7">
        <f t="shared" si="97"/>
        <v>8.732390943827187E-4</v>
      </c>
      <c r="W141" s="3"/>
      <c r="X141" s="8">
        <f t="shared" si="98"/>
        <v>-575</v>
      </c>
      <c r="Y141" s="3"/>
      <c r="Z141" s="7">
        <f t="shared" si="99"/>
        <v>-1</v>
      </c>
    </row>
    <row r="142" spans="1:26" s="24" customFormat="1" hidden="1" outlineLevel="2" x14ac:dyDescent="0.3">
      <c r="A142" s="29"/>
      <c r="B142" s="11" t="str">
        <f>CONCATENATE("          ", "6245", " - ", "PRINTING")</f>
        <v xml:space="preserve">          6245 - PRINTING</v>
      </c>
      <c r="C142" s="11"/>
      <c r="D142" s="8">
        <v>251.64</v>
      </c>
      <c r="E142" s="3"/>
      <c r="F142" s="7">
        <f t="shared" si="92"/>
        <v>4.9913797340699832E-4</v>
      </c>
      <c r="G142" s="3"/>
      <c r="H142" s="8">
        <v>425</v>
      </c>
      <c r="I142" s="3"/>
      <c r="J142" s="7">
        <f t="shared" si="93"/>
        <v>6.4543759150027032E-4</v>
      </c>
      <c r="K142" s="3"/>
      <c r="L142" s="8">
        <f t="shared" si="94"/>
        <v>-173.36</v>
      </c>
      <c r="M142" s="3"/>
      <c r="N142" s="7">
        <f t="shared" si="95"/>
        <v>-0.40790588235294123</v>
      </c>
      <c r="O142" s="11"/>
      <c r="P142" s="8">
        <v>251.64</v>
      </c>
      <c r="Q142" s="3"/>
      <c r="R142" s="7">
        <f t="shared" si="96"/>
        <v>4.9913797340699832E-4</v>
      </c>
      <c r="S142" s="3"/>
      <c r="T142" s="8">
        <v>425</v>
      </c>
      <c r="U142" s="3"/>
      <c r="V142" s="7">
        <f t="shared" si="97"/>
        <v>6.4543759150027032E-4</v>
      </c>
      <c r="W142" s="3"/>
      <c r="X142" s="8">
        <f t="shared" si="98"/>
        <v>-173.36</v>
      </c>
      <c r="Y142" s="3"/>
      <c r="Z142" s="7">
        <f t="shared" si="99"/>
        <v>-0.40790588235294123</v>
      </c>
    </row>
    <row r="143" spans="1:26" s="24" customFormat="1" hidden="1" outlineLevel="2" x14ac:dyDescent="0.3">
      <c r="A143" s="29"/>
      <c r="B143" s="11" t="str">
        <f>CONCATENATE("          ", "6247", " - ", "STORE SUPPLIES")</f>
        <v xml:space="preserve">          6247 - STORE SUPPLIES</v>
      </c>
      <c r="C143" s="11"/>
      <c r="D143" s="8">
        <v>5883.88</v>
      </c>
      <c r="E143" s="3"/>
      <c r="F143" s="7">
        <f t="shared" si="92"/>
        <v>1.1670910582458947E-2</v>
      </c>
      <c r="G143" s="3"/>
      <c r="H143" s="8">
        <v>5880</v>
      </c>
      <c r="I143" s="3"/>
      <c r="J143" s="7">
        <f t="shared" si="93"/>
        <v>8.9298189129919745E-3</v>
      </c>
      <c r="K143" s="3"/>
      <c r="L143" s="8">
        <f t="shared" si="94"/>
        <v>3.8800000000001091</v>
      </c>
      <c r="M143" s="3"/>
      <c r="N143" s="7">
        <f t="shared" si="95"/>
        <v>6.5986394557824982E-4</v>
      </c>
      <c r="O143" s="11"/>
      <c r="P143" s="8">
        <v>5883.88</v>
      </c>
      <c r="Q143" s="3"/>
      <c r="R143" s="7">
        <f t="shared" si="96"/>
        <v>1.1670910582458947E-2</v>
      </c>
      <c r="S143" s="3"/>
      <c r="T143" s="8">
        <v>5880</v>
      </c>
      <c r="U143" s="3"/>
      <c r="V143" s="7">
        <f t="shared" si="97"/>
        <v>8.9298189129919745E-3</v>
      </c>
      <c r="W143" s="3"/>
      <c r="X143" s="8">
        <f t="shared" si="98"/>
        <v>3.8800000000001091</v>
      </c>
      <c r="Y143" s="3"/>
      <c r="Z143" s="7">
        <f t="shared" si="99"/>
        <v>6.5986394557824982E-4</v>
      </c>
    </row>
    <row r="144" spans="1:26" s="24" customFormat="1" hidden="1" outlineLevel="2" x14ac:dyDescent="0.3">
      <c r="A144" s="29"/>
      <c r="B144" s="11" t="str">
        <f>CONCATENATE("          ", "6248", " - ", "UNIFORMS")</f>
        <v xml:space="preserve">          6248 - UNIFORMS</v>
      </c>
      <c r="C144" s="11"/>
      <c r="D144" s="8"/>
      <c r="E144" s="3"/>
      <c r="F144" s="7">
        <f t="shared" si="92"/>
        <v>0</v>
      </c>
      <c r="G144" s="3"/>
      <c r="H144" s="8">
        <v>2188</v>
      </c>
      <c r="I144" s="3"/>
      <c r="J144" s="7">
        <f t="shared" si="93"/>
        <v>3.3228645887119798E-3</v>
      </c>
      <c r="K144" s="3"/>
      <c r="L144" s="8">
        <f t="shared" si="94"/>
        <v>-2188</v>
      </c>
      <c r="M144" s="3"/>
      <c r="N144" s="7">
        <f t="shared" si="95"/>
        <v>-1</v>
      </c>
      <c r="O144" s="11"/>
      <c r="P144" s="8"/>
      <c r="Q144" s="3"/>
      <c r="R144" s="7">
        <f t="shared" si="96"/>
        <v>0</v>
      </c>
      <c r="S144" s="3"/>
      <c r="T144" s="8">
        <v>2188</v>
      </c>
      <c r="U144" s="3"/>
      <c r="V144" s="7">
        <f t="shared" si="97"/>
        <v>3.3228645887119798E-3</v>
      </c>
      <c r="W144" s="3"/>
      <c r="X144" s="8">
        <f t="shared" si="98"/>
        <v>-2188</v>
      </c>
      <c r="Y144" s="3"/>
      <c r="Z144" s="7">
        <f t="shared" si="99"/>
        <v>-1</v>
      </c>
    </row>
    <row r="145" spans="1:26" s="27" customFormat="1" outlineLevel="1" collapsed="1" x14ac:dyDescent="0.3">
      <c r="A145" s="28"/>
      <c r="B145" s="14" t="str">
        <f>CONCATENATE("     ","Telephone/Data Lines                              ")</f>
        <v xml:space="preserve">     Telephone/Data Lines                              </v>
      </c>
      <c r="C145" s="14"/>
      <c r="D145" s="1">
        <f>SUM(OSRRefD22_23x_0)</f>
        <v>2742.84</v>
      </c>
      <c r="E145" s="1"/>
      <c r="F145" s="5">
        <f t="shared" ref="F145:F147" si="100">IF(D$12=0,0,D145/D$12)</f>
        <v>5.4405325027008884E-3</v>
      </c>
      <c r="G145" s="1"/>
      <c r="H145" s="1">
        <f>SUM(OSRRefH22_23x_0)</f>
        <v>3699</v>
      </c>
      <c r="I145" s="1"/>
      <c r="J145" s="5">
        <f t="shared" ref="J145:J147" si="101">IF(H$12=0,0,H145/H$12)</f>
        <v>5.6175850610811762E-3</v>
      </c>
      <c r="K145" s="1"/>
      <c r="L145" s="1">
        <f t="shared" ref="L145:L147" si="102">+D145-H145</f>
        <v>-956.15999999999985</v>
      </c>
      <c r="M145" s="1"/>
      <c r="N145" s="5">
        <f t="shared" ref="N145:N147" si="103">IF(H145=0,0,L145/H145)</f>
        <v>-0.2584914841849148</v>
      </c>
      <c r="O145" s="14"/>
      <c r="P145" s="1">
        <f>SUM(OSRRefP22_23x_0)</f>
        <v>2742.84</v>
      </c>
      <c r="Q145" s="1"/>
      <c r="R145" s="5">
        <f t="shared" ref="R145:R147" si="104">IF(P$12=0,0,P145/P$12)</f>
        <v>5.4405325027008884E-3</v>
      </c>
      <c r="S145" s="1"/>
      <c r="T145" s="1">
        <f>SUM(OSRRefT22_23x_0)</f>
        <v>3699</v>
      </c>
      <c r="U145" s="1"/>
      <c r="V145" s="5">
        <f t="shared" ref="V145:V147" si="105">IF(T$12=0,0,T145/T$12)</f>
        <v>5.6175850610811762E-3</v>
      </c>
      <c r="W145" s="1"/>
      <c r="X145" s="1">
        <f t="shared" ref="X145:X147" si="106">+P145-T145</f>
        <v>-956.15999999999985</v>
      </c>
      <c r="Y145" s="1"/>
      <c r="Z145" s="5">
        <f t="shared" ref="Z145:Z147" si="107">IF(T145=0,0,X145/T145)</f>
        <v>-0.2584914841849148</v>
      </c>
    </row>
    <row r="146" spans="1:26" s="24" customFormat="1" hidden="1" outlineLevel="2" x14ac:dyDescent="0.3">
      <c r="A146" s="29"/>
      <c r="B146" s="11" t="str">
        <f>CONCATENATE("          ", "6303", " - ", "DATA PHONE LINES")</f>
        <v xml:space="preserve">          6303 - DATA PHONE LINES</v>
      </c>
      <c r="C146" s="11"/>
      <c r="D146" s="8">
        <v>295</v>
      </c>
      <c r="E146" s="3"/>
      <c r="F146" s="7">
        <f t="shared" si="100"/>
        <v>5.8514426225983354E-4</v>
      </c>
      <c r="G146" s="3"/>
      <c r="H146" s="8">
        <v>243</v>
      </c>
      <c r="I146" s="3"/>
      <c r="J146" s="7">
        <f t="shared" si="101"/>
        <v>3.6903843466956632E-4</v>
      </c>
      <c r="K146" s="3"/>
      <c r="L146" s="8">
        <f t="shared" si="102"/>
        <v>52</v>
      </c>
      <c r="M146" s="3"/>
      <c r="N146" s="7">
        <f t="shared" si="103"/>
        <v>0.2139917695473251</v>
      </c>
      <c r="O146" s="11"/>
      <c r="P146" s="8">
        <v>295</v>
      </c>
      <c r="Q146" s="3"/>
      <c r="R146" s="7">
        <f t="shared" si="104"/>
        <v>5.8514426225983354E-4</v>
      </c>
      <c r="S146" s="3"/>
      <c r="T146" s="8">
        <v>243</v>
      </c>
      <c r="U146" s="3"/>
      <c r="V146" s="7">
        <f t="shared" si="105"/>
        <v>3.6903843466956632E-4</v>
      </c>
      <c r="W146" s="3"/>
      <c r="X146" s="8">
        <f t="shared" si="106"/>
        <v>52</v>
      </c>
      <c r="Y146" s="3"/>
      <c r="Z146" s="7">
        <f t="shared" si="107"/>
        <v>0.2139917695473251</v>
      </c>
    </row>
    <row r="147" spans="1:26" s="24" customFormat="1" hidden="1" outlineLevel="2" x14ac:dyDescent="0.3">
      <c r="A147" s="29"/>
      <c r="B147" s="11" t="str">
        <f>CONCATENATE("          ", "6309", " - ", "TELEPHONE")</f>
        <v xml:space="preserve">          6309 - TELEPHONE</v>
      </c>
      <c r="C147" s="11"/>
      <c r="D147" s="8">
        <v>2447.84</v>
      </c>
      <c r="E147" s="3"/>
      <c r="F147" s="7">
        <f t="shared" si="100"/>
        <v>4.8553882404410546E-3</v>
      </c>
      <c r="G147" s="3"/>
      <c r="H147" s="8">
        <v>3456</v>
      </c>
      <c r="I147" s="3"/>
      <c r="J147" s="7">
        <f t="shared" si="101"/>
        <v>5.2485466264116099E-3</v>
      </c>
      <c r="K147" s="3"/>
      <c r="L147" s="8">
        <f t="shared" si="102"/>
        <v>-1008.1599999999999</v>
      </c>
      <c r="M147" s="3"/>
      <c r="N147" s="7">
        <f t="shared" si="103"/>
        <v>-0.2917129629629629</v>
      </c>
      <c r="O147" s="11"/>
      <c r="P147" s="8">
        <v>2447.84</v>
      </c>
      <c r="Q147" s="3"/>
      <c r="R147" s="7">
        <f t="shared" si="104"/>
        <v>4.8553882404410546E-3</v>
      </c>
      <c r="S147" s="3"/>
      <c r="T147" s="8">
        <v>3456</v>
      </c>
      <c r="U147" s="3"/>
      <c r="V147" s="7">
        <f t="shared" si="105"/>
        <v>5.2485466264116099E-3</v>
      </c>
      <c r="W147" s="3"/>
      <c r="X147" s="8">
        <f t="shared" si="106"/>
        <v>-1008.1599999999999</v>
      </c>
      <c r="Y147" s="3"/>
      <c r="Z147" s="7">
        <f t="shared" si="107"/>
        <v>-0.2917129629629629</v>
      </c>
    </row>
    <row r="148" spans="1:26" s="27" customFormat="1" outlineLevel="1" collapsed="1" x14ac:dyDescent="0.3">
      <c r="A148" s="28"/>
      <c r="B148" s="14" t="str">
        <f>CONCATENATE("     ","Training                                          ")</f>
        <v xml:space="preserve">     Training                                          </v>
      </c>
      <c r="C148" s="14"/>
      <c r="D148" s="1">
        <f>SUM(OSRRefD22_24x_0)</f>
        <v>0</v>
      </c>
      <c r="E148" s="1"/>
      <c r="F148" s="5">
        <f t="shared" ref="F148:F153" si="108">IF(D$12=0,0,D148/D$12)</f>
        <v>0</v>
      </c>
      <c r="G148" s="1"/>
      <c r="H148" s="1">
        <f>SUM(OSRRefH22_24x_0)</f>
        <v>960</v>
      </c>
      <c r="I148" s="1"/>
      <c r="J148" s="5">
        <f t="shared" ref="J148:J153" si="109">IF(H$12=0,0,H148/H$12)</f>
        <v>1.4579296184476693E-3</v>
      </c>
      <c r="K148" s="1"/>
      <c r="L148" s="1">
        <f t="shared" ref="L148:L153" si="110">+D148-H148</f>
        <v>-960</v>
      </c>
      <c r="M148" s="1"/>
      <c r="N148" s="5">
        <f t="shared" ref="N148:N153" si="111">IF(H148=0,0,L148/H148)</f>
        <v>-1</v>
      </c>
      <c r="O148" s="14"/>
      <c r="P148" s="1">
        <f>SUM(OSRRefP22_24x_0)</f>
        <v>0</v>
      </c>
      <c r="Q148" s="1"/>
      <c r="R148" s="5">
        <f t="shared" ref="R148:R153" si="112">IF(P$12=0,0,P148/P$12)</f>
        <v>0</v>
      </c>
      <c r="S148" s="1"/>
      <c r="T148" s="1">
        <f>SUM(OSRRefT22_24x_0)</f>
        <v>960</v>
      </c>
      <c r="U148" s="1"/>
      <c r="V148" s="5">
        <f t="shared" ref="V148:V153" si="113">IF(T$12=0,0,T148/T$12)</f>
        <v>1.4579296184476693E-3</v>
      </c>
      <c r="W148" s="1"/>
      <c r="X148" s="1">
        <f t="shared" ref="X148:X153" si="114">+P148-T148</f>
        <v>-960</v>
      </c>
      <c r="Y148" s="1"/>
      <c r="Z148" s="5">
        <f t="shared" ref="Z148:Z153" si="115">IF(T148=0,0,X148/T148)</f>
        <v>-1</v>
      </c>
    </row>
    <row r="149" spans="1:26" s="24" customFormat="1" hidden="1" outlineLevel="2" x14ac:dyDescent="0.3">
      <c r="A149" s="29"/>
      <c r="B149" s="11" t="str">
        <f>CONCATENATE("          ", "6376", " - ", "TRAINING")</f>
        <v xml:space="preserve">          6376 - TRAINING</v>
      </c>
      <c r="C149" s="11"/>
      <c r="D149" s="8"/>
      <c r="E149" s="3"/>
      <c r="F149" s="7">
        <f t="shared" si="108"/>
        <v>0</v>
      </c>
      <c r="G149" s="3"/>
      <c r="H149" s="8">
        <v>960</v>
      </c>
      <c r="I149" s="3"/>
      <c r="J149" s="7">
        <f t="shared" si="109"/>
        <v>1.4579296184476693E-3</v>
      </c>
      <c r="K149" s="3"/>
      <c r="L149" s="8">
        <f t="shared" si="110"/>
        <v>-960</v>
      </c>
      <c r="M149" s="3"/>
      <c r="N149" s="7">
        <f t="shared" si="111"/>
        <v>-1</v>
      </c>
      <c r="O149" s="11"/>
      <c r="P149" s="8"/>
      <c r="Q149" s="3"/>
      <c r="R149" s="7">
        <f t="shared" si="112"/>
        <v>0</v>
      </c>
      <c r="S149" s="3"/>
      <c r="T149" s="8">
        <v>960</v>
      </c>
      <c r="U149" s="3"/>
      <c r="V149" s="7">
        <f t="shared" si="113"/>
        <v>1.4579296184476693E-3</v>
      </c>
      <c r="W149" s="3"/>
      <c r="X149" s="8">
        <f t="shared" si="114"/>
        <v>-960</v>
      </c>
      <c r="Y149" s="3"/>
      <c r="Z149" s="7">
        <f t="shared" si="115"/>
        <v>-1</v>
      </c>
    </row>
    <row r="150" spans="1:26" s="27" customFormat="1" outlineLevel="1" collapsed="1" x14ac:dyDescent="0.3">
      <c r="A150" s="28"/>
      <c r="B150" s="14" t="str">
        <f>CONCATENATE("     ","Travel                                            ")</f>
        <v xml:space="preserve">     Travel                                            </v>
      </c>
      <c r="C150" s="14"/>
      <c r="D150" s="1">
        <f>SUM(OSRRefD22_25x_0)</f>
        <v>683.14</v>
      </c>
      <c r="E150" s="1"/>
      <c r="F150" s="5">
        <f t="shared" si="108"/>
        <v>1.355035428204009E-3</v>
      </c>
      <c r="G150" s="1"/>
      <c r="H150" s="1">
        <f>SUM(OSRRefH22_25x_0)</f>
        <v>175</v>
      </c>
      <c r="I150" s="1"/>
      <c r="J150" s="5">
        <f t="shared" si="109"/>
        <v>2.6576842002952309E-4</v>
      </c>
      <c r="K150" s="1"/>
      <c r="L150" s="1">
        <f t="shared" si="110"/>
        <v>508.14</v>
      </c>
      <c r="M150" s="1"/>
      <c r="N150" s="5">
        <f t="shared" si="111"/>
        <v>2.9036571428571429</v>
      </c>
      <c r="O150" s="14"/>
      <c r="P150" s="1">
        <f>SUM(OSRRefP22_25x_0)</f>
        <v>683.14</v>
      </c>
      <c r="Q150" s="1"/>
      <c r="R150" s="5">
        <f t="shared" si="112"/>
        <v>1.355035428204009E-3</v>
      </c>
      <c r="S150" s="1"/>
      <c r="T150" s="1">
        <f>SUM(OSRRefT22_25x_0)</f>
        <v>175</v>
      </c>
      <c r="U150" s="1"/>
      <c r="V150" s="5">
        <f t="shared" si="113"/>
        <v>2.6576842002952309E-4</v>
      </c>
      <c r="W150" s="1"/>
      <c r="X150" s="1">
        <f t="shared" si="114"/>
        <v>508.14</v>
      </c>
      <c r="Y150" s="1"/>
      <c r="Z150" s="5">
        <f t="shared" si="115"/>
        <v>2.9036571428571429</v>
      </c>
    </row>
    <row r="151" spans="1:26" s="24" customFormat="1" hidden="1" outlineLevel="2" x14ac:dyDescent="0.3">
      <c r="A151" s="29"/>
      <c r="B151" s="11" t="str">
        <f>CONCATENATE("          ", "6292", " - ", "TRAVEL/CONFERENCE")</f>
        <v xml:space="preserve">          6292 - TRAVEL/CONFERENCE</v>
      </c>
      <c r="C151" s="11"/>
      <c r="D151" s="8">
        <v>495</v>
      </c>
      <c r="E151" s="3"/>
      <c r="F151" s="7">
        <f t="shared" si="108"/>
        <v>9.8185223667328E-4</v>
      </c>
      <c r="G151" s="3"/>
      <c r="H151" s="8">
        <v>125</v>
      </c>
      <c r="I151" s="3"/>
      <c r="J151" s="7">
        <f t="shared" si="109"/>
        <v>1.8983458573537361E-4</v>
      </c>
      <c r="K151" s="3"/>
      <c r="L151" s="8">
        <f t="shared" si="110"/>
        <v>370</v>
      </c>
      <c r="M151" s="3"/>
      <c r="N151" s="7">
        <f t="shared" si="111"/>
        <v>2.96</v>
      </c>
      <c r="O151" s="11"/>
      <c r="P151" s="8">
        <v>495</v>
      </c>
      <c r="Q151" s="3"/>
      <c r="R151" s="7">
        <f t="shared" si="112"/>
        <v>9.8185223667328E-4</v>
      </c>
      <c r="S151" s="3"/>
      <c r="T151" s="8">
        <v>125</v>
      </c>
      <c r="U151" s="3"/>
      <c r="V151" s="7">
        <f t="shared" si="113"/>
        <v>1.8983458573537361E-4</v>
      </c>
      <c r="W151" s="3"/>
      <c r="X151" s="8">
        <f t="shared" si="114"/>
        <v>370</v>
      </c>
      <c r="Y151" s="3"/>
      <c r="Z151" s="7">
        <f t="shared" si="115"/>
        <v>2.96</v>
      </c>
    </row>
    <row r="152" spans="1:26" s="24" customFormat="1" hidden="1" outlineLevel="2" x14ac:dyDescent="0.3">
      <c r="A152" s="29"/>
      <c r="B152" s="11" t="str">
        <f>CONCATENATE("          ", "6294", " - ", "TRAVEL OPERATIONAL")</f>
        <v xml:space="preserve">          6294 - TRAVEL OPERATIONAL</v>
      </c>
      <c r="C152" s="11"/>
      <c r="D152" s="8">
        <v>188.14</v>
      </c>
      <c r="E152" s="3"/>
      <c r="F152" s="7">
        <f t="shared" si="108"/>
        <v>3.7318319153072907E-4</v>
      </c>
      <c r="G152" s="3"/>
      <c r="H152" s="8">
        <v>25</v>
      </c>
      <c r="I152" s="3"/>
      <c r="J152" s="7">
        <f t="shared" si="109"/>
        <v>3.7966917147074726E-5</v>
      </c>
      <c r="K152" s="3"/>
      <c r="L152" s="8">
        <f t="shared" si="110"/>
        <v>163.13999999999999</v>
      </c>
      <c r="M152" s="3"/>
      <c r="N152" s="7">
        <f t="shared" si="111"/>
        <v>6.5255999999999998</v>
      </c>
      <c r="O152" s="11"/>
      <c r="P152" s="8">
        <v>188.14</v>
      </c>
      <c r="Q152" s="3"/>
      <c r="R152" s="7">
        <f t="shared" si="112"/>
        <v>3.7318319153072907E-4</v>
      </c>
      <c r="S152" s="3"/>
      <c r="T152" s="8">
        <v>25</v>
      </c>
      <c r="U152" s="3"/>
      <c r="V152" s="7">
        <f t="shared" si="113"/>
        <v>3.7966917147074726E-5</v>
      </c>
      <c r="W152" s="3"/>
      <c r="X152" s="8">
        <f t="shared" si="114"/>
        <v>163.13999999999999</v>
      </c>
      <c r="Y152" s="3"/>
      <c r="Z152" s="7">
        <f t="shared" si="115"/>
        <v>6.5255999999999998</v>
      </c>
    </row>
    <row r="153" spans="1:26" s="24" customFormat="1" hidden="1" outlineLevel="2" x14ac:dyDescent="0.3">
      <c r="A153" s="29"/>
      <c r="B153" s="11" t="str">
        <f>CONCATENATE("          ", "6298", " - ", "VEHICLE MILEAGE")</f>
        <v xml:space="preserve">          6298 - VEHICLE MILEAGE</v>
      </c>
      <c r="C153" s="11"/>
      <c r="D153" s="8"/>
      <c r="E153" s="3"/>
      <c r="F153" s="7">
        <f t="shared" si="108"/>
        <v>0</v>
      </c>
      <c r="G153" s="3"/>
      <c r="H153" s="8">
        <v>25</v>
      </c>
      <c r="I153" s="3"/>
      <c r="J153" s="7">
        <f t="shared" si="109"/>
        <v>3.7966917147074726E-5</v>
      </c>
      <c r="K153" s="3"/>
      <c r="L153" s="8">
        <f t="shared" si="110"/>
        <v>-25</v>
      </c>
      <c r="M153" s="3"/>
      <c r="N153" s="7">
        <f t="shared" si="111"/>
        <v>-1</v>
      </c>
      <c r="O153" s="11"/>
      <c r="P153" s="8"/>
      <c r="Q153" s="3"/>
      <c r="R153" s="7">
        <f t="shared" si="112"/>
        <v>0</v>
      </c>
      <c r="S153" s="3"/>
      <c r="T153" s="8">
        <v>25</v>
      </c>
      <c r="U153" s="3"/>
      <c r="V153" s="7">
        <f t="shared" si="113"/>
        <v>3.7966917147074726E-5</v>
      </c>
      <c r="W153" s="3"/>
      <c r="X153" s="8">
        <f t="shared" si="114"/>
        <v>-25</v>
      </c>
      <c r="Y153" s="3"/>
      <c r="Z153" s="7">
        <f t="shared" si="115"/>
        <v>-1</v>
      </c>
    </row>
    <row r="154" spans="1:26" s="27" customFormat="1" outlineLevel="1" collapsed="1" x14ac:dyDescent="0.3">
      <c r="A154" s="28"/>
      <c r="B154" s="14" t="str">
        <f>CONCATENATE("     ","Utilities                                         ")</f>
        <v xml:space="preserve">     Utilities                                         </v>
      </c>
      <c r="C154" s="14"/>
      <c r="D154" s="1">
        <f>SUM(OSRRefD22_26x_0)</f>
        <v>14286.49</v>
      </c>
      <c r="E154" s="1"/>
      <c r="F154" s="5">
        <f t="shared" ref="F154:F155" si="116">IF(D$12=0,0,D154/D$12)</f>
        <v>2.8337822546889796E-2</v>
      </c>
      <c r="G154" s="1"/>
      <c r="H154" s="1">
        <f>SUM(OSRRefH22_26x_0)</f>
        <v>14787</v>
      </c>
      <c r="I154" s="1"/>
      <c r="J154" s="5">
        <f t="shared" ref="J154:J155" si="117">IF(H$12=0,0,H154/H$12)</f>
        <v>2.2456672154151758E-2</v>
      </c>
      <c r="K154" s="1"/>
      <c r="L154" s="1">
        <f t="shared" ref="L154:L155" si="118">+D154-H154</f>
        <v>-500.51000000000022</v>
      </c>
      <c r="M154" s="1"/>
      <c r="N154" s="5">
        <f t="shared" ref="N154:N155" si="119">IF(H154=0,0,L154/H154)</f>
        <v>-3.384797457225943E-2</v>
      </c>
      <c r="O154" s="14"/>
      <c r="P154" s="1">
        <f>SUM(OSRRefP22_26x_0)</f>
        <v>14286.49</v>
      </c>
      <c r="Q154" s="1"/>
      <c r="R154" s="5">
        <f t="shared" ref="R154:R155" si="120">IF(P$12=0,0,P154/P$12)</f>
        <v>2.8337822546889796E-2</v>
      </c>
      <c r="S154" s="1"/>
      <c r="T154" s="1">
        <f>SUM(OSRRefT22_26x_0)</f>
        <v>14787</v>
      </c>
      <c r="U154" s="1"/>
      <c r="V154" s="5">
        <f t="shared" ref="V154:V155" si="121">IF(T$12=0,0,T154/T$12)</f>
        <v>2.2456672154151758E-2</v>
      </c>
      <c r="W154" s="1"/>
      <c r="X154" s="1">
        <f t="shared" ref="X154:X155" si="122">+P154-T154</f>
        <v>-500.51000000000022</v>
      </c>
      <c r="Y154" s="1"/>
      <c r="Z154" s="5">
        <f t="shared" ref="Z154:Z155" si="123">IF(T154=0,0,X154/T154)</f>
        <v>-3.384797457225943E-2</v>
      </c>
    </row>
    <row r="155" spans="1:26" s="24" customFormat="1" hidden="1" outlineLevel="2" x14ac:dyDescent="0.3">
      <c r="A155" s="29"/>
      <c r="B155" s="11" t="str">
        <f>CONCATENATE("          ", "6274", " - ", "UTILITIES")</f>
        <v xml:space="preserve">          6274 - UTILITIES</v>
      </c>
      <c r="C155" s="11"/>
      <c r="D155" s="8">
        <v>14286.49</v>
      </c>
      <c r="E155" s="3"/>
      <c r="F155" s="7">
        <f t="shared" si="116"/>
        <v>2.8337822546889796E-2</v>
      </c>
      <c r="G155" s="3"/>
      <c r="H155" s="8">
        <v>14787</v>
      </c>
      <c r="I155" s="3"/>
      <c r="J155" s="7">
        <f t="shared" si="117"/>
        <v>2.2456672154151758E-2</v>
      </c>
      <c r="K155" s="3"/>
      <c r="L155" s="8">
        <f t="shared" si="118"/>
        <v>-500.51000000000022</v>
      </c>
      <c r="M155" s="3"/>
      <c r="N155" s="7">
        <f t="shared" si="119"/>
        <v>-3.384797457225943E-2</v>
      </c>
      <c r="O155" s="11"/>
      <c r="P155" s="8">
        <v>14286.49</v>
      </c>
      <c r="Q155" s="3"/>
      <c r="R155" s="7">
        <f t="shared" si="120"/>
        <v>2.8337822546889796E-2</v>
      </c>
      <c r="S155" s="3"/>
      <c r="T155" s="8">
        <v>14787</v>
      </c>
      <c r="U155" s="3"/>
      <c r="V155" s="7">
        <f t="shared" si="121"/>
        <v>2.2456672154151758E-2</v>
      </c>
      <c r="W155" s="3"/>
      <c r="X155" s="8">
        <f t="shared" si="122"/>
        <v>-500.51000000000022</v>
      </c>
      <c r="Y155" s="3"/>
      <c r="Z155" s="7">
        <f t="shared" si="123"/>
        <v>-3.384797457225943E-2</v>
      </c>
    </row>
    <row r="156" spans="1:26" s="62" customFormat="1" x14ac:dyDescent="0.3">
      <c r="A156" s="36"/>
      <c r="B156" s="36"/>
      <c r="C156" s="36"/>
      <c r="D156" s="1"/>
      <c r="E156" s="1"/>
      <c r="F156" s="5"/>
      <c r="G156" s="1"/>
      <c r="H156" s="1"/>
      <c r="I156" s="1"/>
      <c r="J156" s="5"/>
      <c r="K156" s="1"/>
      <c r="L156" s="1"/>
      <c r="M156" s="1"/>
      <c r="N156" s="5"/>
      <c r="O156" s="36"/>
      <c r="P156" s="1"/>
      <c r="Q156" s="1"/>
      <c r="R156" s="5"/>
      <c r="S156" s="1"/>
      <c r="T156" s="1"/>
      <c r="U156" s="1"/>
      <c r="V156" s="5"/>
      <c r="W156" s="1"/>
      <c r="X156" s="1"/>
      <c r="Y156" s="1"/>
      <c r="Z156" s="5"/>
    </row>
    <row r="157" spans="1:26" s="23" customFormat="1" collapsed="1" x14ac:dyDescent="0.3">
      <c r="A157" s="10"/>
      <c r="B157" s="25" t="s">
        <v>293</v>
      </c>
      <c r="C157" s="10"/>
      <c r="D157" s="4">
        <f>SUM(OSRRefD25x_0)</f>
        <v>42597.810000000005</v>
      </c>
      <c r="E157" s="4"/>
      <c r="F157" s="12">
        <f t="shared" ref="F157:F163" si="124">IF(D$12=0,0,D157/D$12)</f>
        <v>8.4494454597744281E-2</v>
      </c>
      <c r="G157" s="4"/>
      <c r="H157" s="4">
        <f>SUM(OSRRefH25x_0)</f>
        <v>26753</v>
      </c>
      <c r="I157" s="4"/>
      <c r="J157" s="12">
        <f t="shared" ref="J157:J163" si="125">IF(H$12=0,0,H157/H$12)</f>
        <v>4.0629157377427602E-2</v>
      </c>
      <c r="K157" s="4"/>
      <c r="L157" s="4">
        <f t="shared" ref="L157:L163" si="126">+D157-H157</f>
        <v>15844.810000000005</v>
      </c>
      <c r="M157" s="4"/>
      <c r="N157" s="12">
        <f t="shared" ref="N157:N163" si="127">IF(H157=0,0,L157/H157)</f>
        <v>0.59226292378424872</v>
      </c>
      <c r="O157" s="10"/>
      <c r="P157" s="4">
        <f>SUM(OSRRefP25x_0)</f>
        <v>42597.810000000005</v>
      </c>
      <c r="Q157" s="4"/>
      <c r="R157" s="12">
        <f t="shared" ref="R157:R163" si="128">IF(P$12=0,0,P157/P$12)</f>
        <v>8.4494454597744281E-2</v>
      </c>
      <c r="S157" s="4"/>
      <c r="T157" s="4">
        <f>SUM(OSRRefT25x_0)</f>
        <v>26753</v>
      </c>
      <c r="U157" s="4"/>
      <c r="V157" s="12">
        <f t="shared" ref="V157:V163" si="129">IF(T$12=0,0,T157/T$12)</f>
        <v>4.0629157377427602E-2</v>
      </c>
      <c r="W157" s="4"/>
      <c r="X157" s="4">
        <f t="shared" ref="X157:X163" si="130">+P157-T157</f>
        <v>15844.810000000005</v>
      </c>
      <c r="Y157" s="4"/>
      <c r="Z157" s="12">
        <f t="shared" ref="Z157:Z163" si="131">IF(T157=0,0,X157/T157)</f>
        <v>0.59226292378424872</v>
      </c>
    </row>
    <row r="158" spans="1:26" s="24" customFormat="1" hidden="1" outlineLevel="1" x14ac:dyDescent="0.3">
      <c r="A158" s="44"/>
      <c r="B158" s="11" t="str">
        <f>CONCATENATE("          ", "4187", " - ", "NON-TAXABLE SALES-COMPUTER REP")</f>
        <v xml:space="preserve">          4187 - NON-TAXABLE SALES-COMPUTER REP</v>
      </c>
      <c r="C158" s="11"/>
      <c r="D158" s="3">
        <f>0</f>
        <v>0</v>
      </c>
      <c r="E158" s="3"/>
      <c r="F158" s="19">
        <f t="shared" si="124"/>
        <v>0</v>
      </c>
      <c r="G158" s="3"/>
      <c r="H158" s="3"/>
      <c r="I158" s="3"/>
      <c r="J158" s="19">
        <f t="shared" si="125"/>
        <v>0</v>
      </c>
      <c r="K158" s="3"/>
      <c r="L158" s="3">
        <f t="shared" si="126"/>
        <v>0</v>
      </c>
      <c r="M158" s="3"/>
      <c r="N158" s="19">
        <f t="shared" si="127"/>
        <v>0</v>
      </c>
      <c r="O158" s="11"/>
      <c r="P158" s="3">
        <f>0</f>
        <v>0</v>
      </c>
      <c r="Q158" s="3"/>
      <c r="R158" s="19">
        <f t="shared" si="128"/>
        <v>0</v>
      </c>
      <c r="S158" s="3"/>
      <c r="T158" s="3"/>
      <c r="U158" s="3"/>
      <c r="V158" s="19">
        <f t="shared" si="129"/>
        <v>0</v>
      </c>
      <c r="W158" s="3"/>
      <c r="X158" s="3">
        <f t="shared" si="130"/>
        <v>0</v>
      </c>
      <c r="Y158" s="3"/>
      <c r="Z158" s="19">
        <f t="shared" si="131"/>
        <v>0</v>
      </c>
    </row>
    <row r="159" spans="1:26" s="24" customFormat="1" hidden="1" outlineLevel="1" x14ac:dyDescent="0.3">
      <c r="A159" s="44"/>
      <c r="B159" s="11" t="str">
        <f>CONCATENATE("          ", "9087", " - ", "")</f>
        <v xml:space="preserve">          9087 - </v>
      </c>
      <c r="C159" s="11"/>
      <c r="D159" s="3">
        <f>--73.47</f>
        <v>73.47</v>
      </c>
      <c r="E159" s="3"/>
      <c r="F159" s="19">
        <f t="shared" si="124"/>
        <v>1.4573067440077955E-4</v>
      </c>
      <c r="G159" s="3"/>
      <c r="H159" s="3"/>
      <c r="I159" s="3"/>
      <c r="J159" s="19">
        <f t="shared" si="125"/>
        <v>0</v>
      </c>
      <c r="K159" s="3"/>
      <c r="L159" s="3">
        <f t="shared" si="126"/>
        <v>73.47</v>
      </c>
      <c r="M159" s="3"/>
      <c r="N159" s="19">
        <f t="shared" si="127"/>
        <v>0</v>
      </c>
      <c r="O159" s="11"/>
      <c r="P159" s="3">
        <f>--73.47</f>
        <v>73.47</v>
      </c>
      <c r="Q159" s="3"/>
      <c r="R159" s="19">
        <f t="shared" si="128"/>
        <v>1.4573067440077955E-4</v>
      </c>
      <c r="S159" s="3"/>
      <c r="T159" s="3"/>
      <c r="U159" s="3"/>
      <c r="V159" s="19">
        <f t="shared" si="129"/>
        <v>0</v>
      </c>
      <c r="W159" s="3"/>
      <c r="X159" s="3">
        <f t="shared" si="130"/>
        <v>73.47</v>
      </c>
      <c r="Y159" s="3"/>
      <c r="Z159" s="19">
        <f t="shared" si="131"/>
        <v>0</v>
      </c>
    </row>
    <row r="160" spans="1:26" s="24" customFormat="1" hidden="1" outlineLevel="1" x14ac:dyDescent="0.3">
      <c r="A160" s="44"/>
      <c r="B160" s="11" t="str">
        <f>CONCATENATE("          ", "9150", " - ", "MISC. INCOME")</f>
        <v xml:space="preserve">          9150 - MISC. INCOME</v>
      </c>
      <c r="C160" s="11"/>
      <c r="D160" s="3">
        <f>--34890.36</f>
        <v>34890.36</v>
      </c>
      <c r="E160" s="3"/>
      <c r="F160" s="19">
        <f t="shared" si="124"/>
        <v>6.920642021077969E-2</v>
      </c>
      <c r="G160" s="3"/>
      <c r="H160" s="3">
        <v>26753</v>
      </c>
      <c r="I160" s="3"/>
      <c r="J160" s="19">
        <f t="shared" si="125"/>
        <v>4.0629157377427602E-2</v>
      </c>
      <c r="K160" s="3"/>
      <c r="L160" s="3">
        <f t="shared" si="126"/>
        <v>8137.3600000000006</v>
      </c>
      <c r="M160" s="3"/>
      <c r="N160" s="19">
        <f t="shared" si="127"/>
        <v>0.30416626172765671</v>
      </c>
      <c r="O160" s="11"/>
      <c r="P160" s="3">
        <f>--34890.36</f>
        <v>34890.36</v>
      </c>
      <c r="Q160" s="3"/>
      <c r="R160" s="19">
        <f t="shared" si="128"/>
        <v>6.920642021077969E-2</v>
      </c>
      <c r="S160" s="3"/>
      <c r="T160" s="3">
        <v>26753</v>
      </c>
      <c r="U160" s="3"/>
      <c r="V160" s="19">
        <f t="shared" si="129"/>
        <v>4.0629157377427602E-2</v>
      </c>
      <c r="W160" s="3"/>
      <c r="X160" s="3">
        <f t="shared" si="130"/>
        <v>8137.3600000000006</v>
      </c>
      <c r="Y160" s="3"/>
      <c r="Z160" s="19">
        <f t="shared" si="131"/>
        <v>0.30416626172765671</v>
      </c>
    </row>
    <row r="161" spans="1:26" s="24" customFormat="1" hidden="1" outlineLevel="1" x14ac:dyDescent="0.3">
      <c r="A161" s="44"/>
      <c r="B161" s="11" t="str">
        <f>CONCATENATE("          ", "9152", " - ", "MISC. INCOME")</f>
        <v xml:space="preserve">          9152 - MISC. INCOME</v>
      </c>
      <c r="C161" s="11"/>
      <c r="D161" s="3">
        <f>--66.92</f>
        <v>66.92</v>
      </c>
      <c r="E161" s="3"/>
      <c r="F161" s="19">
        <f t="shared" si="124"/>
        <v>1.3273848823873921E-4</v>
      </c>
      <c r="G161" s="3"/>
      <c r="H161" s="3"/>
      <c r="I161" s="3"/>
      <c r="J161" s="19">
        <f t="shared" si="125"/>
        <v>0</v>
      </c>
      <c r="K161" s="3"/>
      <c r="L161" s="3">
        <f t="shared" si="126"/>
        <v>66.92</v>
      </c>
      <c r="M161" s="3"/>
      <c r="N161" s="19">
        <f t="shared" si="127"/>
        <v>0</v>
      </c>
      <c r="O161" s="11"/>
      <c r="P161" s="3">
        <f>--66.92</f>
        <v>66.92</v>
      </c>
      <c r="Q161" s="3"/>
      <c r="R161" s="19">
        <f t="shared" si="128"/>
        <v>1.3273848823873921E-4</v>
      </c>
      <c r="S161" s="3"/>
      <c r="T161" s="3"/>
      <c r="U161" s="3"/>
      <c r="V161" s="19">
        <f t="shared" si="129"/>
        <v>0</v>
      </c>
      <c r="W161" s="3"/>
      <c r="X161" s="3">
        <f t="shared" si="130"/>
        <v>66.92</v>
      </c>
      <c r="Y161" s="3"/>
      <c r="Z161" s="19">
        <f t="shared" si="131"/>
        <v>0</v>
      </c>
    </row>
    <row r="162" spans="1:26" s="24" customFormat="1" hidden="1" outlineLevel="1" x14ac:dyDescent="0.3">
      <c r="A162" s="44"/>
      <c r="B162" s="11" t="str">
        <f>CONCATENATE("          ", "9160", " - ", "MISC. INCOME")</f>
        <v xml:space="preserve">          9160 - MISC. INCOME</v>
      </c>
      <c r="C162" s="11"/>
      <c r="D162" s="3">
        <f>--1238.12</f>
        <v>1238.1199999999999</v>
      </c>
      <c r="E162" s="3"/>
      <c r="F162" s="19">
        <f t="shared" si="124"/>
        <v>2.4558603864038818E-3</v>
      </c>
      <c r="G162" s="3"/>
      <c r="H162" s="3">
        <v>0</v>
      </c>
      <c r="I162" s="3"/>
      <c r="J162" s="19">
        <f t="shared" si="125"/>
        <v>0</v>
      </c>
      <c r="K162" s="3"/>
      <c r="L162" s="3">
        <f t="shared" si="126"/>
        <v>1238.1199999999999</v>
      </c>
      <c r="M162" s="3"/>
      <c r="N162" s="19">
        <f t="shared" si="127"/>
        <v>0</v>
      </c>
      <c r="O162" s="11"/>
      <c r="P162" s="3">
        <f>--1238.12</f>
        <v>1238.1199999999999</v>
      </c>
      <c r="Q162" s="3"/>
      <c r="R162" s="19">
        <f t="shared" si="128"/>
        <v>2.4558603864038818E-3</v>
      </c>
      <c r="S162" s="3"/>
      <c r="T162" s="3">
        <v>0</v>
      </c>
      <c r="U162" s="3"/>
      <c r="V162" s="19">
        <f t="shared" si="129"/>
        <v>0</v>
      </c>
      <c r="W162" s="3"/>
      <c r="X162" s="3">
        <f t="shared" si="130"/>
        <v>1238.1199999999999</v>
      </c>
      <c r="Y162" s="3"/>
      <c r="Z162" s="19">
        <f t="shared" si="131"/>
        <v>0</v>
      </c>
    </row>
    <row r="163" spans="1:26" s="24" customFormat="1" hidden="1" outlineLevel="1" x14ac:dyDescent="0.3">
      <c r="A163" s="44"/>
      <c r="B163" s="11" t="str">
        <f>CONCATENATE("          ", "9163", " - ", "MISC. INCOME")</f>
        <v xml:space="preserve">          9163 - MISC. INCOME</v>
      </c>
      <c r="C163" s="11"/>
      <c r="D163" s="3">
        <f>--6328.94</f>
        <v>6328.94</v>
      </c>
      <c r="E163" s="3"/>
      <c r="F163" s="19">
        <f t="shared" si="124"/>
        <v>1.255370483792119E-2</v>
      </c>
      <c r="G163" s="3"/>
      <c r="H163" s="3"/>
      <c r="I163" s="3"/>
      <c r="J163" s="19">
        <f t="shared" si="125"/>
        <v>0</v>
      </c>
      <c r="K163" s="3"/>
      <c r="L163" s="3">
        <f t="shared" si="126"/>
        <v>6328.94</v>
      </c>
      <c r="M163" s="3"/>
      <c r="N163" s="19">
        <f t="shared" si="127"/>
        <v>0</v>
      </c>
      <c r="O163" s="11"/>
      <c r="P163" s="3">
        <f>--6328.94</f>
        <v>6328.94</v>
      </c>
      <c r="Q163" s="3"/>
      <c r="R163" s="19">
        <f t="shared" si="128"/>
        <v>1.255370483792119E-2</v>
      </c>
      <c r="S163" s="3"/>
      <c r="T163" s="3"/>
      <c r="U163" s="3"/>
      <c r="V163" s="19">
        <f t="shared" si="129"/>
        <v>0</v>
      </c>
      <c r="W163" s="3"/>
      <c r="X163" s="3">
        <f t="shared" si="130"/>
        <v>6328.94</v>
      </c>
      <c r="Y163" s="3"/>
      <c r="Z163" s="19">
        <f t="shared" si="131"/>
        <v>0</v>
      </c>
    </row>
    <row r="164" spans="1:26" x14ac:dyDescent="0.3">
      <c r="A164" s="9"/>
      <c r="B164" s="10"/>
      <c r="C164" s="10"/>
      <c r="D164" s="2"/>
      <c r="E164" s="2"/>
      <c r="F164" s="6"/>
      <c r="G164" s="2"/>
      <c r="H164" s="2"/>
      <c r="I164" s="2"/>
      <c r="J164" s="6"/>
      <c r="K164" s="2"/>
      <c r="L164" s="2"/>
      <c r="M164" s="2"/>
      <c r="N164" s="6"/>
      <c r="O164" s="10"/>
      <c r="P164" s="2"/>
      <c r="Q164" s="2"/>
      <c r="R164" s="6"/>
      <c r="S164" s="2"/>
      <c r="T164" s="2"/>
      <c r="U164" s="2"/>
      <c r="V164" s="6"/>
      <c r="W164" s="2"/>
      <c r="X164" s="2"/>
      <c r="Y164" s="2"/>
      <c r="Z164" s="6"/>
    </row>
    <row r="165" spans="1:26" s="23" customFormat="1" x14ac:dyDescent="0.3">
      <c r="A165" s="10"/>
      <c r="B165" s="26" t="s">
        <v>277</v>
      </c>
      <c r="C165" s="26"/>
      <c r="D165" s="21">
        <f>+D54-D56+D157</f>
        <v>-563723.07999999984</v>
      </c>
      <c r="E165" s="13"/>
      <c r="F165" s="22">
        <f>IF(D$12=0,0,D165/D$12)</f>
        <v>-1.118167205984546</v>
      </c>
      <c r="G165" s="13"/>
      <c r="H165" s="21">
        <f>+H54-H56+H157</f>
        <v>-760692.13981687301</v>
      </c>
      <c r="I165" s="13"/>
      <c r="J165" s="22">
        <f>IF(H$12=0,0,H165/H$12)</f>
        <v>-1.1552454178743281</v>
      </c>
      <c r="K165" s="16"/>
      <c r="L165" s="21">
        <f>+D165-H165</f>
        <v>196969.05981687317</v>
      </c>
      <c r="M165" s="16"/>
      <c r="N165" s="22">
        <f>IF(H165=0,0,L165/H165)</f>
        <v>-0.25893400168994907</v>
      </c>
      <c r="O165" s="25"/>
      <c r="P165" s="21">
        <f>+P54-P56+P157</f>
        <v>-563723.07999999984</v>
      </c>
      <c r="Q165" s="13"/>
      <c r="R165" s="22">
        <f>IF(P$12=0,0,P165/P$12)</f>
        <v>-1.118167205984546</v>
      </c>
      <c r="S165" s="13"/>
      <c r="T165" s="21">
        <f>+T54-T56+T157</f>
        <v>-760692.13981687301</v>
      </c>
      <c r="U165" s="13"/>
      <c r="V165" s="22">
        <f>IF(T$12=0,0,T165/T$12)</f>
        <v>-1.1552454178743281</v>
      </c>
      <c r="W165" s="16"/>
      <c r="X165" s="21">
        <f>+P165-T165</f>
        <v>196969.05981687317</v>
      </c>
      <c r="Y165" s="16"/>
      <c r="Z165" s="22">
        <f>IF(T165=0,0,X165/T165)</f>
        <v>-0.25893400168994907</v>
      </c>
    </row>
    <row r="166" spans="1:26" x14ac:dyDescent="0.3">
      <c r="A166" s="9"/>
      <c r="B166" s="10"/>
      <c r="C166" s="9"/>
      <c r="D166" s="2"/>
      <c r="E166" s="2"/>
      <c r="F166" s="6"/>
      <c r="G166" s="2"/>
      <c r="H166" s="2"/>
      <c r="I166" s="2"/>
      <c r="J166" s="6"/>
      <c r="K166" s="2"/>
      <c r="L166" s="2"/>
      <c r="M166" s="2"/>
      <c r="N166" s="6"/>
      <c r="P166" s="2"/>
      <c r="Q166" s="2"/>
      <c r="R166" s="6"/>
      <c r="S166" s="2"/>
      <c r="T166" s="2"/>
      <c r="U166" s="2"/>
      <c r="V166" s="6"/>
      <c r="W166" s="2"/>
      <c r="X166" s="2"/>
      <c r="Y166" s="2"/>
      <c r="Z166" s="6"/>
    </row>
    <row r="167" spans="1:26" s="23" customFormat="1" x14ac:dyDescent="0.3">
      <c r="A167" s="52"/>
      <c r="B167" s="10" t="s">
        <v>128</v>
      </c>
      <c r="C167" s="10"/>
      <c r="D167" s="4">
        <v>232914.86</v>
      </c>
      <c r="E167" s="4"/>
      <c r="F167" s="12">
        <f>IF(D$12=0,0,D167/D$12)</f>
        <v>0.4619959116069573</v>
      </c>
      <c r="G167" s="4"/>
      <c r="H167" s="4">
        <v>238463</v>
      </c>
      <c r="I167" s="4"/>
      <c r="J167" s="12">
        <f>IF(H$12=0,0,H167/H$12)</f>
        <v>0.36214819854571523</v>
      </c>
      <c r="K167" s="4"/>
      <c r="L167" s="4">
        <f>+D167-H167</f>
        <v>-5548.140000000014</v>
      </c>
      <c r="M167" s="4"/>
      <c r="N167" s="12">
        <f>IF(H167=0,0,L167/H167)</f>
        <v>-2.3266250948784567E-2</v>
      </c>
      <c r="O167" s="10"/>
      <c r="P167" s="4">
        <v>232914.86</v>
      </c>
      <c r="Q167" s="4"/>
      <c r="R167" s="12">
        <f>IF(P$12=0,0,P167/P$12)</f>
        <v>0.4619959116069573</v>
      </c>
      <c r="S167" s="4"/>
      <c r="T167" s="4">
        <v>238463</v>
      </c>
      <c r="U167" s="4"/>
      <c r="V167" s="12">
        <f>IF(T$12=0,0,T167/T$12)</f>
        <v>0.36214819854571523</v>
      </c>
      <c r="W167" s="4"/>
      <c r="X167" s="4">
        <f>+P167-T167</f>
        <v>-5548.140000000014</v>
      </c>
      <c r="Y167" s="4"/>
      <c r="Z167" s="12">
        <f>IF(T167=0,0,X167/T167)</f>
        <v>-2.3266250948784567E-2</v>
      </c>
    </row>
    <row r="168" spans="1:26" x14ac:dyDescent="0.3">
      <c r="A168" s="9"/>
      <c r="B168" s="10"/>
      <c r="C168" s="10"/>
      <c r="D168" s="2"/>
      <c r="E168" s="2"/>
      <c r="F168" s="6"/>
      <c r="G168" s="2"/>
      <c r="H168" s="2"/>
      <c r="I168" s="2"/>
      <c r="J168" s="6"/>
      <c r="K168" s="2"/>
      <c r="L168" s="2"/>
      <c r="M168" s="2"/>
      <c r="N168" s="6"/>
      <c r="O168" s="10"/>
      <c r="P168" s="2"/>
      <c r="Q168" s="2"/>
      <c r="R168" s="6"/>
      <c r="S168" s="2"/>
      <c r="T168" s="2"/>
      <c r="U168" s="2"/>
      <c r="V168" s="6"/>
      <c r="W168" s="2"/>
      <c r="X168" s="2"/>
      <c r="Y168" s="2"/>
      <c r="Z168" s="6"/>
    </row>
    <row r="169" spans="1:26" s="23" customFormat="1" ht="15" thickBot="1" x14ac:dyDescent="0.35">
      <c r="A169" s="10"/>
      <c r="B169" s="26" t="s">
        <v>126</v>
      </c>
      <c r="C169" s="26"/>
      <c r="D169" s="35">
        <f>+D165-D167</f>
        <v>-796637.93999999983</v>
      </c>
      <c r="E169" s="13"/>
      <c r="F169" s="30">
        <f>IF(D$12=0,0,D169/D$12)</f>
        <v>-1.5801631175915032</v>
      </c>
      <c r="G169" s="13"/>
      <c r="H169" s="35">
        <f>+H165-H167</f>
        <v>-999155.13981687301</v>
      </c>
      <c r="I169" s="13"/>
      <c r="J169" s="30">
        <f>IF(H$12=0,0,H169/H$12)</f>
        <v>-1.5173936164200432</v>
      </c>
      <c r="K169" s="16"/>
      <c r="L169" s="35">
        <f>D169-H169</f>
        <v>202517.19981687318</v>
      </c>
      <c r="M169" s="16"/>
      <c r="N169" s="30">
        <f>IF(H169=0,0,L169/H169)</f>
        <v>-0.20268844321212309</v>
      </c>
      <c r="O169" s="25"/>
      <c r="P169" s="35">
        <f>+P165-P167</f>
        <v>-796637.93999999983</v>
      </c>
      <c r="Q169" s="13"/>
      <c r="R169" s="30">
        <f>IF(P$12=0,0,P169/P$12)</f>
        <v>-1.5801631175915032</v>
      </c>
      <c r="S169" s="13"/>
      <c r="T169" s="35">
        <f>+T165-T167</f>
        <v>-999155.13981687301</v>
      </c>
      <c r="U169" s="13"/>
      <c r="V169" s="30">
        <f>IF(T$12=0,0,T169/T$12)</f>
        <v>-1.5173936164200432</v>
      </c>
      <c r="W169" s="16"/>
      <c r="X169" s="35">
        <f>P169-T169</f>
        <v>202517.19981687318</v>
      </c>
      <c r="Y169" s="16"/>
      <c r="Z169" s="30">
        <f>IF(T169=0,0,X169/T169)</f>
        <v>-0.20268844321212309</v>
      </c>
    </row>
    <row r="170" spans="1:26" ht="15" thickTop="1" x14ac:dyDescent="0.3">
      <c r="A170" s="9"/>
      <c r="B170" s="9"/>
      <c r="C170" s="9"/>
      <c r="D170" s="2"/>
      <c r="E170" s="2"/>
      <c r="F170" s="6"/>
      <c r="G170" s="2"/>
      <c r="H170" s="2"/>
      <c r="I170" s="2"/>
      <c r="J170" s="6"/>
      <c r="K170" s="2"/>
      <c r="L170" s="2"/>
      <c r="M170" s="2"/>
      <c r="N170" s="6"/>
      <c r="P170" s="2"/>
      <c r="Q170" s="2"/>
      <c r="R170" s="6"/>
      <c r="S170" s="2"/>
      <c r="T170" s="2"/>
      <c r="U170" s="2"/>
      <c r="V170" s="6"/>
      <c r="W170" s="2"/>
      <c r="X170" s="2"/>
      <c r="Y170" s="2"/>
      <c r="Z170" s="6"/>
    </row>
    <row r="171" spans="1:26" s="23" customFormat="1" x14ac:dyDescent="0.3">
      <c r="A171" s="52"/>
      <c r="B171" s="10" t="s">
        <v>184</v>
      </c>
      <c r="C171" s="10"/>
      <c r="D171" s="4">
        <f>--18122.3</f>
        <v>18122.3</v>
      </c>
      <c r="E171" s="4"/>
      <c r="F171" s="12">
        <f t="shared" ref="F171:F172" si="132">IF(D$12=0,0,D171/D$12)</f>
        <v>3.5946304623564004E-2</v>
      </c>
      <c r="G171" s="4"/>
      <c r="H171" s="4">
        <f t="shared" ref="H171:H172" si="133">--15000</f>
        <v>15000</v>
      </c>
      <c r="I171" s="4"/>
      <c r="J171" s="12">
        <f t="shared" ref="J171:J172" si="134">IF(H$12=0,0,H171/H$12)</f>
        <v>2.2780150288244833E-2</v>
      </c>
      <c r="K171" s="4"/>
      <c r="L171" s="4">
        <f t="shared" ref="L171:L172" si="135">+D171-H171</f>
        <v>3122.2999999999993</v>
      </c>
      <c r="M171" s="4"/>
      <c r="N171" s="12">
        <f t="shared" ref="N171:N172" si="136">IF(H171=0,0,L171/H171)</f>
        <v>0.20815333333333327</v>
      </c>
      <c r="O171" s="10"/>
      <c r="P171" s="4">
        <f>--18122.3</f>
        <v>18122.3</v>
      </c>
      <c r="Q171" s="4"/>
      <c r="R171" s="12">
        <f t="shared" ref="R171:R172" si="137">IF(P$12=0,0,P171/P$12)</f>
        <v>3.5946304623564004E-2</v>
      </c>
      <c r="S171" s="4"/>
      <c r="T171" s="4">
        <f t="shared" ref="T171:T172" si="138">--15000</f>
        <v>15000</v>
      </c>
      <c r="U171" s="4"/>
      <c r="V171" s="12">
        <f t="shared" ref="V171:V172" si="139">IF(T$12=0,0,T171/T$12)</f>
        <v>2.2780150288244833E-2</v>
      </c>
      <c r="W171" s="4"/>
      <c r="X171" s="4">
        <f t="shared" ref="X171:X172" si="140">+P171-T171</f>
        <v>3122.2999999999993</v>
      </c>
      <c r="Y171" s="4"/>
      <c r="Z171" s="12">
        <f t="shared" ref="Z171:Z172" si="141">IF(T171=0,0,X171/T171)</f>
        <v>0.20815333333333327</v>
      </c>
    </row>
    <row r="172" spans="1:26" s="23" customFormat="1" x14ac:dyDescent="0.3">
      <c r="A172" s="52"/>
      <c r="B172" s="10" t="s">
        <v>82</v>
      </c>
      <c r="C172" s="10"/>
      <c r="D172" s="4">
        <f>--10182.42</f>
        <v>10182.42</v>
      </c>
      <c r="E172" s="4"/>
      <c r="F172" s="12">
        <f t="shared" si="132"/>
        <v>2.019723606413483E-2</v>
      </c>
      <c r="G172" s="4"/>
      <c r="H172" s="4">
        <f t="shared" si="133"/>
        <v>15000</v>
      </c>
      <c r="I172" s="4"/>
      <c r="J172" s="12">
        <f t="shared" si="134"/>
        <v>2.2780150288244833E-2</v>
      </c>
      <c r="K172" s="4"/>
      <c r="L172" s="4">
        <f t="shared" si="135"/>
        <v>-4817.58</v>
      </c>
      <c r="M172" s="4"/>
      <c r="N172" s="12">
        <f t="shared" si="136"/>
        <v>-0.32117200000000001</v>
      </c>
      <c r="O172" s="10"/>
      <c r="P172" s="4">
        <f>--10182.42</f>
        <v>10182.42</v>
      </c>
      <c r="Q172" s="4"/>
      <c r="R172" s="12">
        <f t="shared" si="137"/>
        <v>2.019723606413483E-2</v>
      </c>
      <c r="S172" s="4"/>
      <c r="T172" s="4">
        <f t="shared" si="138"/>
        <v>15000</v>
      </c>
      <c r="U172" s="4"/>
      <c r="V172" s="12">
        <f t="shared" si="139"/>
        <v>2.2780150288244833E-2</v>
      </c>
      <c r="W172" s="4"/>
      <c r="X172" s="4">
        <f t="shared" si="140"/>
        <v>-4817.58</v>
      </c>
      <c r="Y172" s="4"/>
      <c r="Z172" s="12">
        <f t="shared" si="141"/>
        <v>-0.32117200000000001</v>
      </c>
    </row>
    <row r="173" spans="1:26" x14ac:dyDescent="0.3">
      <c r="A173" s="9"/>
      <c r="B173" s="9"/>
      <c r="C173" s="9"/>
      <c r="D173" s="2"/>
      <c r="E173" s="2"/>
      <c r="F173" s="6"/>
      <c r="G173" s="2"/>
      <c r="H173" s="2"/>
      <c r="I173" s="2"/>
      <c r="J173" s="6"/>
      <c r="K173" s="2"/>
      <c r="L173" s="2"/>
      <c r="M173" s="2"/>
      <c r="N173" s="6"/>
      <c r="P173" s="2"/>
      <c r="Q173" s="2"/>
      <c r="R173" s="6"/>
      <c r="S173" s="2"/>
      <c r="T173" s="2"/>
      <c r="U173" s="2"/>
      <c r="V173" s="6"/>
      <c r="W173" s="2"/>
      <c r="X173" s="2"/>
      <c r="Y173" s="2"/>
      <c r="Z173" s="6"/>
    </row>
    <row r="174" spans="1:26" s="23" customFormat="1" ht="15" thickBot="1" x14ac:dyDescent="0.35">
      <c r="A174" s="10"/>
      <c r="B174" s="26" t="s">
        <v>294</v>
      </c>
      <c r="C174" s="26"/>
      <c r="D174" s="33">
        <f>SUM(D169:D173)</f>
        <v>-768333.21999999974</v>
      </c>
      <c r="E174" s="13"/>
      <c r="F174" s="31">
        <f>IF(D$12=0,0,D174/D$12)</f>
        <v>-1.5240195769038043</v>
      </c>
      <c r="G174" s="13"/>
      <c r="H174" s="33">
        <f>SUM(H169:H173)</f>
        <v>-969155.13981687301</v>
      </c>
      <c r="I174" s="13"/>
      <c r="J174" s="31">
        <f>IF(H$12=0,0,H174/H$12)</f>
        <v>-1.4718333158435535</v>
      </c>
      <c r="K174" s="16"/>
      <c r="L174" s="33">
        <f>+D174-H174</f>
        <v>200821.91981687327</v>
      </c>
      <c r="M174" s="16"/>
      <c r="N174" s="31">
        <f>IF(H174=0,0,L174/H174)</f>
        <v>-0.20721338779137016</v>
      </c>
      <c r="O174" s="25"/>
      <c r="P174" s="33">
        <f>SUM(P169:P173)</f>
        <v>-768333.21999999974</v>
      </c>
      <c r="Q174" s="13"/>
      <c r="R174" s="31">
        <f>IF(P$12=0,0,P174/P$12)</f>
        <v>-1.5240195769038043</v>
      </c>
      <c r="S174" s="13"/>
      <c r="T174" s="33">
        <f>SUM(T169:T173)</f>
        <v>-969155.13981687301</v>
      </c>
      <c r="U174" s="13"/>
      <c r="V174" s="31">
        <f>IF(T$12=0,0,T174/T$12)</f>
        <v>-1.4718333158435535</v>
      </c>
      <c r="W174" s="16"/>
      <c r="X174" s="33">
        <f>+P174-T174</f>
        <v>200821.91981687327</v>
      </c>
      <c r="Y174" s="16"/>
      <c r="Z174" s="31">
        <f>IF(T174=0,0,X174/T174)</f>
        <v>-0.20721338779137016</v>
      </c>
    </row>
    <row r="175" spans="1:26" ht="15" thickTop="1" x14ac:dyDescent="0.3">
      <c r="A175" s="9"/>
      <c r="C175" s="9"/>
      <c r="D175" s="18"/>
      <c r="E175" s="18"/>
      <c r="G175" s="18"/>
      <c r="H175" s="18"/>
      <c r="I175" s="18"/>
      <c r="J175" s="43"/>
      <c r="K175" s="18"/>
      <c r="L175" s="18"/>
      <c r="M175" s="18"/>
      <c r="P175" s="18"/>
      <c r="Q175" s="18"/>
      <c r="R175" s="43"/>
      <c r="S175" s="18"/>
      <c r="T175" s="18"/>
      <c r="U175" s="18"/>
      <c r="V175" s="43"/>
      <c r="W175" s="18"/>
      <c r="X175" s="18"/>
    </row>
    <row r="176" spans="1:26" x14ac:dyDescent="0.3">
      <c r="A176" s="9"/>
      <c r="B176" s="54">
        <v>44462.645460069441</v>
      </c>
      <c r="D176" s="18"/>
      <c r="E176" s="18"/>
      <c r="G176" s="18"/>
      <c r="H176" s="18"/>
      <c r="I176" s="18"/>
      <c r="J176" s="43"/>
      <c r="K176" s="18"/>
      <c r="L176" s="18"/>
      <c r="M176" s="18"/>
      <c r="P176" s="18"/>
      <c r="Q176" s="18"/>
      <c r="R176" s="43"/>
      <c r="S176" s="18"/>
      <c r="T176" s="18"/>
      <c r="U176" s="18"/>
      <c r="V176" s="43"/>
      <c r="W176" s="18"/>
      <c r="X176" s="18"/>
    </row>
    <row r="177" spans="1:24" x14ac:dyDescent="0.3">
      <c r="A177" s="9"/>
      <c r="B177" s="59" t="s">
        <v>56</v>
      </c>
      <c r="D177" s="18"/>
      <c r="E177" s="18"/>
      <c r="G177" s="18"/>
      <c r="H177" s="18"/>
      <c r="I177" s="18"/>
      <c r="J177" s="43"/>
      <c r="K177" s="18"/>
      <c r="L177" s="18"/>
      <c r="M177" s="18"/>
      <c r="P177" s="18"/>
      <c r="Q177" s="18"/>
      <c r="R177" s="43"/>
      <c r="S177" s="18"/>
      <c r="T177" s="18"/>
      <c r="U177" s="18"/>
      <c r="V177" s="43"/>
      <c r="W177" s="18"/>
      <c r="X177" s="18"/>
    </row>
    <row r="178" spans="1:24" x14ac:dyDescent="0.3">
      <c r="A178" s="9"/>
      <c r="B178" s="55"/>
      <c r="D178" s="18"/>
      <c r="E178" s="18"/>
      <c r="G178" s="18"/>
      <c r="H178" s="18"/>
      <c r="I178" s="18"/>
      <c r="J178" s="43"/>
      <c r="K178" s="18"/>
      <c r="L178" s="18"/>
      <c r="M178" s="18"/>
      <c r="P178" s="18"/>
      <c r="Q178" s="18"/>
      <c r="R178" s="43"/>
      <c r="S178" s="18"/>
      <c r="T178" s="18"/>
      <c r="U178" s="18"/>
      <c r="V178" s="43"/>
      <c r="W178" s="18"/>
      <c r="X178" s="18"/>
    </row>
    <row r="179" spans="1:24" x14ac:dyDescent="0.3">
      <c r="D179" s="18"/>
      <c r="E179" s="18"/>
      <c r="G179" s="18"/>
      <c r="H179" s="18"/>
      <c r="I179" s="18"/>
      <c r="J179" s="43"/>
      <c r="K179" s="18"/>
      <c r="L179" s="18"/>
      <c r="M179" s="18"/>
      <c r="P179" s="18"/>
      <c r="Q179" s="18"/>
      <c r="R179" s="43"/>
      <c r="S179" s="18"/>
      <c r="T179" s="18"/>
      <c r="U179" s="18"/>
      <c r="V179" s="43"/>
      <c r="W179" s="18"/>
      <c r="X179" s="18"/>
    </row>
  </sheetData>
  <pageMargins left="0.25" right="0.25" top="0.75" bottom="0.75" header="0.3" footer="0.3"/>
  <pageSetup scale="55" fitToWidth="2" orientation="landscape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50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7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50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7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7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7" customWidth="1" outlineLevel="1"/>
  </cols>
  <sheetData>
    <row r="2" spans="1:26" x14ac:dyDescent="0.3">
      <c r="D2" s="57" t="s">
        <v>23</v>
      </c>
    </row>
    <row r="3" spans="1:26" x14ac:dyDescent="0.3">
      <c r="D3" s="57" t="s">
        <v>237</v>
      </c>
      <c r="E3" s="17"/>
      <c r="F3" s="51"/>
      <c r="G3" s="17"/>
      <c r="H3" s="17"/>
      <c r="I3" s="17"/>
      <c r="J3" s="39"/>
      <c r="K3" s="17"/>
      <c r="L3" s="17"/>
      <c r="M3" s="17"/>
      <c r="N3" s="51"/>
      <c r="O3" s="61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3">
      <c r="D4" s="57" t="e">
        <f ca="1">CONCATENATE("Period ",RIGHT(_xll.OneStop.ReportPlayer.OSRFunctions.OSRGet("Period","PeriodId"),2),", ",_xll.OneStop.ReportPlayer.OSRFunctions.OSRGet("Period","Year"))</f>
        <v>#NAME?</v>
      </c>
      <c r="E4" s="17"/>
      <c r="F4" s="51"/>
      <c r="G4" s="17"/>
      <c r="H4" s="17"/>
      <c r="I4" s="17"/>
      <c r="J4" s="39"/>
      <c r="K4" s="17"/>
      <c r="L4" s="17"/>
      <c r="M4" s="17"/>
      <c r="N4" s="51"/>
      <c r="O4" s="61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3">
      <c r="A5" s="23"/>
      <c r="D5" s="65" t="e">
        <f ca="1">_xll.OneStop.ReportPlayer.OSRFunctions.OSRGet("Period","PeriodEnd")</f>
        <v>#NAME?</v>
      </c>
      <c r="E5" s="17"/>
      <c r="F5" s="51"/>
      <c r="G5" s="17"/>
      <c r="H5" s="17"/>
      <c r="I5" s="17"/>
      <c r="J5" s="39"/>
      <c r="K5" s="17"/>
      <c r="L5" s="17"/>
      <c r="M5" s="17"/>
      <c r="N5" s="51"/>
      <c r="O5" s="61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3">
      <c r="A6" s="23"/>
      <c r="B6" s="47"/>
      <c r="C6" s="47"/>
      <c r="D6" s="23" t="s">
        <v>106</v>
      </c>
      <c r="E6" s="17"/>
      <c r="F6" s="51"/>
      <c r="G6" s="17"/>
      <c r="H6" s="17"/>
      <c r="I6" s="17"/>
      <c r="J6" s="39"/>
      <c r="K6" s="17"/>
      <c r="L6" s="17"/>
      <c r="M6" s="17"/>
      <c r="N6" s="51"/>
      <c r="O6" s="60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3">
      <c r="B7" s="63"/>
    </row>
    <row r="8" spans="1:26" x14ac:dyDescent="0.3">
      <c r="B8" s="63"/>
    </row>
    <row r="9" spans="1:26" x14ac:dyDescent="0.3">
      <c r="B9" s="9"/>
      <c r="C9" s="9"/>
      <c r="D9" s="15" t="s">
        <v>292</v>
      </c>
      <c r="E9" s="15"/>
      <c r="F9" s="38"/>
      <c r="G9" s="15"/>
      <c r="H9" s="15"/>
      <c r="I9" s="15"/>
      <c r="J9" s="49"/>
      <c r="K9" s="15"/>
      <c r="L9" s="15"/>
      <c r="M9" s="15"/>
      <c r="N9" s="38"/>
      <c r="P9" s="15" t="s">
        <v>39</v>
      </c>
      <c r="Q9" s="15"/>
      <c r="R9" s="38"/>
      <c r="S9" s="15"/>
      <c r="T9" s="15"/>
      <c r="U9" s="15"/>
      <c r="V9" s="49"/>
      <c r="W9" s="15"/>
      <c r="X9" s="15"/>
      <c r="Y9" s="15"/>
      <c r="Z9" s="38"/>
    </row>
    <row r="10" spans="1:26" x14ac:dyDescent="0.3">
      <c r="A10" s="10"/>
      <c r="B10" s="53"/>
      <c r="C10" s="10"/>
      <c r="D10" s="42" t="s">
        <v>57</v>
      </c>
      <c r="E10" s="34"/>
      <c r="F10" s="40" t="s">
        <v>40</v>
      </c>
      <c r="G10" s="34"/>
      <c r="H10" s="45" t="s">
        <v>238</v>
      </c>
      <c r="I10" s="34"/>
      <c r="J10" s="48" t="s">
        <v>58</v>
      </c>
      <c r="K10" s="10"/>
      <c r="L10" s="42" t="s">
        <v>127</v>
      </c>
      <c r="M10" s="10"/>
      <c r="N10" s="40" t="s">
        <v>258</v>
      </c>
      <c r="O10" s="10"/>
      <c r="P10" s="56" t="s">
        <v>57</v>
      </c>
      <c r="Q10" s="34"/>
      <c r="R10" s="40" t="s">
        <v>40</v>
      </c>
      <c r="S10" s="34"/>
      <c r="T10" s="45" t="s">
        <v>238</v>
      </c>
      <c r="U10" s="34"/>
      <c r="V10" s="48" t="s">
        <v>58</v>
      </c>
      <c r="W10" s="10"/>
      <c r="X10" s="42" t="s">
        <v>127</v>
      </c>
      <c r="Y10" s="10"/>
      <c r="Z10" s="40" t="s">
        <v>258</v>
      </c>
    </row>
    <row r="11" spans="1:26" ht="15.6" x14ac:dyDescent="0.3">
      <c r="A11" s="9"/>
      <c r="B11" s="58"/>
      <c r="C11" s="9"/>
      <c r="D11" s="9"/>
      <c r="E11" s="9"/>
      <c r="F11" s="6"/>
      <c r="G11" s="9"/>
      <c r="H11" s="9"/>
      <c r="I11" s="9"/>
      <c r="J11" s="46"/>
      <c r="K11" s="9"/>
      <c r="L11" s="9"/>
      <c r="M11" s="9"/>
      <c r="N11" s="6"/>
      <c r="P11" s="9"/>
      <c r="Q11" s="9"/>
      <c r="R11" s="6"/>
      <c r="S11" s="9"/>
      <c r="T11" s="9"/>
      <c r="U11" s="9"/>
      <c r="V11" s="46"/>
      <c r="W11" s="9"/>
      <c r="X11" s="9"/>
      <c r="Y11" s="9"/>
      <c r="Z11" s="6"/>
    </row>
    <row r="12" spans="1:26" s="23" customFormat="1" collapsed="1" x14ac:dyDescent="0.3">
      <c r="A12" s="10"/>
      <c r="B12" s="25" t="s">
        <v>140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3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3" t="e">
        <f ca="1">-_xll.OneStop.ReportPlayer.OSRFunctions.OSRGet("GL_F_Trans","Value1")</f>
        <v>#NAME?</v>
      </c>
      <c r="E13" s="3"/>
      <c r="F13" s="19"/>
      <c r="G13" s="3"/>
      <c r="H13" s="3" t="e">
        <f ca="1">_xll.OneStop.ReportPlayer.OSRFunctions.OSRGet("GL_F_Trans","Value1")</f>
        <v>#NAME?</v>
      </c>
      <c r="I13" s="3"/>
      <c r="J13" s="19"/>
      <c r="K13" s="3"/>
      <c r="L13" s="3" t="e">
        <f t="shared" ca="1" si="0"/>
        <v>#NAME?</v>
      </c>
      <c r="M13" s="3"/>
      <c r="N13" s="19" t="e">
        <f t="shared" ca="1" si="1"/>
        <v>#NAME?</v>
      </c>
      <c r="O13" s="11"/>
      <c r="P13" s="3" t="e">
        <f ca="1">-_xll.OneStop.ReportPlayer.OSRFunctions.OSRGet("GL_F_Trans","Value1")</f>
        <v>#NAME?</v>
      </c>
      <c r="Q13" s="3"/>
      <c r="R13" s="19"/>
      <c r="S13" s="3"/>
      <c r="T13" s="3" t="e">
        <f ca="1">_xll.OneStop.ReportPlayer.OSRFunctions.OSRGet("GL_F_Trans","Value1")</f>
        <v>#NAME?</v>
      </c>
      <c r="U13" s="3"/>
      <c r="V13" s="19"/>
      <c r="W13" s="3"/>
      <c r="X13" s="3" t="e">
        <f t="shared" ca="1" si="2"/>
        <v>#NAME?</v>
      </c>
      <c r="Y13" s="3"/>
      <c r="Z13" s="19" t="e">
        <f t="shared" ca="1" si="3"/>
        <v>#NAME?</v>
      </c>
    </row>
    <row r="14" spans="1:26" x14ac:dyDescent="0.3">
      <c r="A14" s="9"/>
      <c r="B14" s="10"/>
      <c r="C14" s="9"/>
      <c r="D14" s="2"/>
      <c r="E14" s="2"/>
      <c r="F14" s="6"/>
      <c r="G14" s="2"/>
      <c r="H14" s="2"/>
      <c r="I14" s="2"/>
      <c r="J14" s="6"/>
      <c r="K14" s="2"/>
      <c r="L14" s="2"/>
      <c r="M14" s="2"/>
      <c r="N14" s="6"/>
      <c r="P14" s="2"/>
      <c r="Q14" s="2"/>
      <c r="R14" s="6"/>
      <c r="S14" s="2"/>
      <c r="T14" s="2"/>
      <c r="U14" s="2"/>
      <c r="V14" s="6"/>
      <c r="W14" s="2"/>
      <c r="X14" s="2"/>
      <c r="Y14" s="2"/>
      <c r="Z14" s="6"/>
    </row>
    <row r="15" spans="1:26" s="23" customFormat="1" collapsed="1" x14ac:dyDescent="0.3">
      <c r="A15" s="10"/>
      <c r="B15" s="25" t="s">
        <v>257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3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3" t="e">
        <f ca="1">_xll.OneStop.ReportPlayer.OSRFunctions.OSRGet("GL_F_Trans","Value1")</f>
        <v>#NAME?</v>
      </c>
      <c r="E16" s="3"/>
      <c r="F16" s="19" t="e">
        <f t="shared" ca="1" si="4"/>
        <v>#NAME?</v>
      </c>
      <c r="G16" s="3"/>
      <c r="H16" s="3" t="e">
        <f ca="1">_xll.OneStop.ReportPlayer.OSRFunctions.OSRGet("GL_F_Trans","Value1")</f>
        <v>#NAME?</v>
      </c>
      <c r="I16" s="3"/>
      <c r="J16" s="19" t="e">
        <f t="shared" ca="1" si="5"/>
        <v>#NAME?</v>
      </c>
      <c r="K16" s="3"/>
      <c r="L16" s="3" t="e">
        <f t="shared" ca="1" si="6"/>
        <v>#NAME?</v>
      </c>
      <c r="M16" s="3"/>
      <c r="N16" s="19" t="e">
        <f t="shared" ca="1" si="7"/>
        <v>#NAME?</v>
      </c>
      <c r="O16" s="11"/>
      <c r="P16" s="3" t="e">
        <f ca="1">_xll.OneStop.ReportPlayer.OSRFunctions.OSRGet("GL_F_Trans","Value1")</f>
        <v>#NAME?</v>
      </c>
      <c r="Q16" s="3"/>
      <c r="R16" s="19" t="e">
        <f t="shared" ca="1" si="8"/>
        <v>#NAME?</v>
      </c>
      <c r="S16" s="3"/>
      <c r="T16" s="3" t="e">
        <f ca="1">_xll.OneStop.ReportPlayer.OSRFunctions.OSRGet("GL_F_Trans","Value1")</f>
        <v>#NAME?</v>
      </c>
      <c r="U16" s="3"/>
      <c r="V16" s="19" t="e">
        <f t="shared" ca="1" si="9"/>
        <v>#NAME?</v>
      </c>
      <c r="W16" s="3"/>
      <c r="X16" s="3" t="e">
        <f t="shared" ca="1" si="10"/>
        <v>#NAME?</v>
      </c>
      <c r="Y16" s="3"/>
      <c r="Z16" s="19" t="e">
        <f t="shared" ca="1" si="11"/>
        <v>#NAME?</v>
      </c>
    </row>
    <row r="17" spans="1:26" x14ac:dyDescent="0.3">
      <c r="A17" s="9"/>
      <c r="B17" s="10"/>
      <c r="C17" s="10"/>
      <c r="D17" s="2"/>
      <c r="E17" s="2"/>
      <c r="F17" s="6"/>
      <c r="G17" s="2"/>
      <c r="H17" s="2"/>
      <c r="I17" s="2"/>
      <c r="J17" s="6"/>
      <c r="K17" s="2"/>
      <c r="L17" s="2"/>
      <c r="M17" s="2"/>
      <c r="N17" s="6"/>
      <c r="O17" s="10"/>
      <c r="P17" s="2"/>
      <c r="Q17" s="2"/>
      <c r="R17" s="6"/>
      <c r="S17" s="2"/>
      <c r="T17" s="2"/>
      <c r="U17" s="2"/>
      <c r="V17" s="6"/>
      <c r="W17" s="2"/>
      <c r="X17" s="2"/>
      <c r="Y17" s="2"/>
      <c r="Z17" s="6"/>
    </row>
    <row r="18" spans="1:26" s="23" customFormat="1" x14ac:dyDescent="0.3">
      <c r="A18" s="10"/>
      <c r="B18" s="26" t="s">
        <v>108</v>
      </c>
      <c r="C18" s="26"/>
      <c r="D18" s="21" t="e">
        <f ca="1">D12-D15</f>
        <v>#NAME?</v>
      </c>
      <c r="E18" s="13"/>
      <c r="F18" s="22" t="e">
        <f ca="1">IF(D$12=0,0,D18/D$12)</f>
        <v>#NAME?</v>
      </c>
      <c r="G18" s="13"/>
      <c r="H18" s="21" t="e">
        <f ca="1">H12-H15</f>
        <v>#NAME?</v>
      </c>
      <c r="I18" s="13"/>
      <c r="J18" s="22" t="e">
        <f ca="1">IF(H$12=0,0,H18/H$12)</f>
        <v>#NAME?</v>
      </c>
      <c r="K18" s="16"/>
      <c r="L18" s="21" t="e">
        <f ca="1">+D18-H18</f>
        <v>#NAME?</v>
      </c>
      <c r="M18" s="16"/>
      <c r="N18" s="22" t="e">
        <f ca="1">IF(H18=0,0,L18/H18)</f>
        <v>#NAME?</v>
      </c>
      <c r="O18" s="25"/>
      <c r="P18" s="21" t="e">
        <f ca="1">P12-P15</f>
        <v>#NAME?</v>
      </c>
      <c r="Q18" s="13"/>
      <c r="R18" s="22" t="e">
        <f ca="1">IF(P$12=0,0,P18/P$12)</f>
        <v>#NAME?</v>
      </c>
      <c r="S18" s="13"/>
      <c r="T18" s="21" t="e">
        <f ca="1">T12-T15</f>
        <v>#NAME?</v>
      </c>
      <c r="U18" s="13"/>
      <c r="V18" s="22" t="e">
        <f ca="1">IF(T$12=0,0,T18/T$12)</f>
        <v>#NAME?</v>
      </c>
      <c r="W18" s="16"/>
      <c r="X18" s="21" t="e">
        <f ca="1">+P18-T18</f>
        <v>#NAME?</v>
      </c>
      <c r="Y18" s="16"/>
      <c r="Z18" s="22" t="e">
        <f ca="1">IF(T18=0,0,X18/T18)</f>
        <v>#NAME?</v>
      </c>
    </row>
    <row r="19" spans="1:26" x14ac:dyDescent="0.3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">
      <c r="A20" s="10"/>
      <c r="B20" s="25" t="s">
        <v>295</v>
      </c>
      <c r="C20" s="10"/>
      <c r="D20" s="20" t="e">
        <f ca="1">SUM(_xll.OneStop.ReportPlayer.OSRFunctions.OSRRef(D22))</f>
        <v>#NAME?</v>
      </c>
      <c r="E20" s="20"/>
      <c r="F20" s="32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2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2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2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2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2" t="e">
        <f t="shared" ref="Z20:Z22" ca="1" si="19">IF(T20=0,0,X20/T20)</f>
        <v>#NAME?</v>
      </c>
    </row>
    <row r="21" spans="1:26" s="27" customFormat="1" outlineLevel="1" collapsed="1" x14ac:dyDescent="0.3">
      <c r="A21" s="28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3">
      <c r="A22" s="29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8" t="e">
        <f ca="1">_xll.OneStop.ReportPlayer.OSRFunctions.OSRGet("GL_F_Trans","Value1")</f>
        <v>#NAME?</v>
      </c>
      <c r="E22" s="3"/>
      <c r="F22" s="7" t="e">
        <f t="shared" ca="1" si="12"/>
        <v>#NAME?</v>
      </c>
      <c r="G22" s="3"/>
      <c r="H22" s="8" t="e">
        <f ca="1">_xll.OneStop.ReportPlayer.OSRFunctions.OSRGet("GL_F_Trans","Value1")</f>
        <v>#NAME?</v>
      </c>
      <c r="I22" s="3"/>
      <c r="J22" s="7" t="e">
        <f t="shared" ca="1" si="13"/>
        <v>#NAME?</v>
      </c>
      <c r="K22" s="3"/>
      <c r="L22" s="8" t="e">
        <f t="shared" ca="1" si="14"/>
        <v>#NAME?</v>
      </c>
      <c r="M22" s="3"/>
      <c r="N22" s="7" t="e">
        <f t="shared" ca="1" si="15"/>
        <v>#NAME?</v>
      </c>
      <c r="O22" s="11"/>
      <c r="P22" s="8" t="e">
        <f ca="1">_xll.OneStop.ReportPlayer.OSRFunctions.OSRGet("GL_F_Trans","Value1")</f>
        <v>#NAME?</v>
      </c>
      <c r="Q22" s="3"/>
      <c r="R22" s="7" t="e">
        <f t="shared" ca="1" si="16"/>
        <v>#NAME?</v>
      </c>
      <c r="S22" s="3"/>
      <c r="T22" s="8" t="e">
        <f ca="1">_xll.OneStop.ReportPlayer.OSRFunctions.OSRGet("GL_F_Trans","Value1")</f>
        <v>#NAME?</v>
      </c>
      <c r="U22" s="3"/>
      <c r="V22" s="7" t="e">
        <f t="shared" ca="1" si="17"/>
        <v>#NAME?</v>
      </c>
      <c r="W22" s="3"/>
      <c r="X22" s="8" t="e">
        <f t="shared" ca="1" si="18"/>
        <v>#NAME?</v>
      </c>
      <c r="Y22" s="3"/>
      <c r="Z22" s="7" t="e">
        <f t="shared" ca="1" si="19"/>
        <v>#NAME?</v>
      </c>
    </row>
    <row r="23" spans="1:26" s="62" customFormat="1" x14ac:dyDescent="0.3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3">
      <c r="A24" s="10"/>
      <c r="B24" s="25" t="s">
        <v>293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3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3" t="e">
        <f ca="1">-_xll.OneStop.ReportPlayer.OSRFunctions.OSRGet("GL_F_Trans","Value1")</f>
        <v>#NAME?</v>
      </c>
      <c r="E25" s="3"/>
      <c r="F25" s="19" t="e">
        <f t="shared" ca="1" si="20"/>
        <v>#NAME?</v>
      </c>
      <c r="G25" s="3"/>
      <c r="H25" s="3" t="e">
        <f ca="1">_xll.OneStop.ReportPlayer.OSRFunctions.OSRGet("GL_F_Trans","Value1")</f>
        <v>#NAME?</v>
      </c>
      <c r="I25" s="3"/>
      <c r="J25" s="19" t="e">
        <f t="shared" ca="1" si="21"/>
        <v>#NAME?</v>
      </c>
      <c r="K25" s="3"/>
      <c r="L25" s="3" t="e">
        <f t="shared" ca="1" si="22"/>
        <v>#NAME?</v>
      </c>
      <c r="M25" s="3"/>
      <c r="N25" s="19" t="e">
        <f t="shared" ca="1" si="23"/>
        <v>#NAME?</v>
      </c>
      <c r="O25" s="11"/>
      <c r="P25" s="3" t="e">
        <f ca="1">-_xll.OneStop.ReportPlayer.OSRFunctions.OSRGet("GL_F_Trans","Value1")</f>
        <v>#NAME?</v>
      </c>
      <c r="Q25" s="3"/>
      <c r="R25" s="19" t="e">
        <f t="shared" ca="1" si="24"/>
        <v>#NAME?</v>
      </c>
      <c r="S25" s="3"/>
      <c r="T25" s="3" t="e">
        <f ca="1">_xll.OneStop.ReportPlayer.OSRFunctions.OSRGet("GL_F_Trans","Value1")</f>
        <v>#NAME?</v>
      </c>
      <c r="U25" s="3"/>
      <c r="V25" s="19" t="e">
        <f t="shared" ca="1" si="25"/>
        <v>#NAME?</v>
      </c>
      <c r="W25" s="3"/>
      <c r="X25" s="3" t="e">
        <f t="shared" ca="1" si="26"/>
        <v>#NAME?</v>
      </c>
      <c r="Y25" s="3"/>
      <c r="Z25" s="19" t="e">
        <f t="shared" ca="1" si="27"/>
        <v>#NAME?</v>
      </c>
    </row>
    <row r="26" spans="1:26" x14ac:dyDescent="0.3">
      <c r="A26" s="9"/>
      <c r="B26" s="10"/>
      <c r="C26" s="10"/>
      <c r="D26" s="2"/>
      <c r="E26" s="2"/>
      <c r="F26" s="6"/>
      <c r="G26" s="2"/>
      <c r="H26" s="2"/>
      <c r="I26" s="2"/>
      <c r="J26" s="6"/>
      <c r="K26" s="2"/>
      <c r="L26" s="2"/>
      <c r="M26" s="2"/>
      <c r="N26" s="6"/>
      <c r="O26" s="10"/>
      <c r="P26" s="2"/>
      <c r="Q26" s="2"/>
      <c r="R26" s="6"/>
      <c r="S26" s="2"/>
      <c r="T26" s="2"/>
      <c r="U26" s="2"/>
      <c r="V26" s="6"/>
      <c r="W26" s="2"/>
      <c r="X26" s="2"/>
      <c r="Y26" s="2"/>
      <c r="Z26" s="6"/>
    </row>
    <row r="27" spans="1:26" s="23" customFormat="1" x14ac:dyDescent="0.3">
      <c r="A27" s="10"/>
      <c r="B27" s="26" t="s">
        <v>277</v>
      </c>
      <c r="C27" s="26"/>
      <c r="D27" s="21" t="e">
        <f ca="1">+D18-D20+D24</f>
        <v>#NAME?</v>
      </c>
      <c r="E27" s="13"/>
      <c r="F27" s="22" t="e">
        <f ca="1">IF(D$12=0,0,D27/D$12)</f>
        <v>#NAME?</v>
      </c>
      <c r="G27" s="13"/>
      <c r="H27" s="21" t="e">
        <f ca="1">+H18-H20+H24</f>
        <v>#NAME?</v>
      </c>
      <c r="I27" s="13"/>
      <c r="J27" s="22" t="e">
        <f ca="1">IF(H$12=0,0,H27/H$12)</f>
        <v>#NAME?</v>
      </c>
      <c r="K27" s="16"/>
      <c r="L27" s="21" t="e">
        <f ca="1">+D27-H27</f>
        <v>#NAME?</v>
      </c>
      <c r="M27" s="16"/>
      <c r="N27" s="22" t="e">
        <f ca="1">IF(H27=0,0,L27/H27)</f>
        <v>#NAME?</v>
      </c>
      <c r="O27" s="25"/>
      <c r="P27" s="21" t="e">
        <f ca="1">+P18-P20+P24</f>
        <v>#NAME?</v>
      </c>
      <c r="Q27" s="13"/>
      <c r="R27" s="22" t="e">
        <f ca="1">IF(P$12=0,0,P27/P$12)</f>
        <v>#NAME?</v>
      </c>
      <c r="S27" s="13"/>
      <c r="T27" s="21" t="e">
        <f ca="1">+T18-T20+T24</f>
        <v>#NAME?</v>
      </c>
      <c r="U27" s="13"/>
      <c r="V27" s="22" t="e">
        <f ca="1">IF(T$12=0,0,T27/T$12)</f>
        <v>#NAME?</v>
      </c>
      <c r="W27" s="16"/>
      <c r="X27" s="21" t="e">
        <f ca="1">+P27-T27</f>
        <v>#NAME?</v>
      </c>
      <c r="Y27" s="16"/>
      <c r="Z27" s="22" t="e">
        <f ca="1">IF(T27=0,0,X27/T27)</f>
        <v>#NAME?</v>
      </c>
    </row>
    <row r="28" spans="1:26" x14ac:dyDescent="0.3">
      <c r="A28" s="9"/>
      <c r="B28" s="10"/>
      <c r="C28" s="9"/>
      <c r="D28" s="2"/>
      <c r="E28" s="2"/>
      <c r="F28" s="6"/>
      <c r="G28" s="2"/>
      <c r="H28" s="2"/>
      <c r="I28" s="2"/>
      <c r="J28" s="6"/>
      <c r="K28" s="2"/>
      <c r="L28" s="2"/>
      <c r="M28" s="2"/>
      <c r="N28" s="6"/>
      <c r="P28" s="2"/>
      <c r="Q28" s="2"/>
      <c r="R28" s="6"/>
      <c r="S28" s="2"/>
      <c r="T28" s="2"/>
      <c r="U28" s="2"/>
      <c r="V28" s="6"/>
      <c r="W28" s="2"/>
      <c r="X28" s="2"/>
      <c r="Y28" s="2"/>
      <c r="Z28" s="6"/>
    </row>
    <row r="29" spans="1:26" s="23" customFormat="1" x14ac:dyDescent="0.3">
      <c r="A29" s="52"/>
      <c r="B29" s="10" t="s">
        <v>128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3">
      <c r="A30" s="9"/>
      <c r="B30" s="10"/>
      <c r="C30" s="10"/>
      <c r="D30" s="2"/>
      <c r="E30" s="2"/>
      <c r="F30" s="6"/>
      <c r="G30" s="2"/>
      <c r="H30" s="2"/>
      <c r="I30" s="2"/>
      <c r="J30" s="6"/>
      <c r="K30" s="2"/>
      <c r="L30" s="2"/>
      <c r="M30" s="2"/>
      <c r="N30" s="6"/>
      <c r="O30" s="10"/>
      <c r="P30" s="2"/>
      <c r="Q30" s="2"/>
      <c r="R30" s="6"/>
      <c r="S30" s="2"/>
      <c r="T30" s="2"/>
      <c r="U30" s="2"/>
      <c r="V30" s="6"/>
      <c r="W30" s="2"/>
      <c r="X30" s="2"/>
      <c r="Y30" s="2"/>
      <c r="Z30" s="6"/>
    </row>
    <row r="31" spans="1:26" s="23" customFormat="1" ht="15" thickBot="1" x14ac:dyDescent="0.35">
      <c r="A31" s="10"/>
      <c r="B31" s="26" t="s">
        <v>126</v>
      </c>
      <c r="C31" s="26"/>
      <c r="D31" s="35" t="e">
        <f ca="1">+D27-D29</f>
        <v>#NAME?</v>
      </c>
      <c r="E31" s="13"/>
      <c r="F31" s="30" t="e">
        <f ca="1">IF(D$12=0,0,D31/D$12)</f>
        <v>#NAME?</v>
      </c>
      <c r="G31" s="13"/>
      <c r="H31" s="35" t="e">
        <f ca="1">+H27-H29</f>
        <v>#NAME?</v>
      </c>
      <c r="I31" s="13"/>
      <c r="J31" s="30" t="e">
        <f ca="1">IF(H$12=0,0,H31/H$12)</f>
        <v>#NAME?</v>
      </c>
      <c r="K31" s="16"/>
      <c r="L31" s="35" t="e">
        <f ca="1">D31-H31</f>
        <v>#NAME?</v>
      </c>
      <c r="M31" s="16"/>
      <c r="N31" s="30" t="e">
        <f ca="1">IF(H31=0,0,L31/H31)</f>
        <v>#NAME?</v>
      </c>
      <c r="O31" s="25"/>
      <c r="P31" s="35" t="e">
        <f ca="1">+P27-P29</f>
        <v>#NAME?</v>
      </c>
      <c r="Q31" s="13"/>
      <c r="R31" s="30" t="e">
        <f ca="1">IF(P$12=0,0,P31/P$12)</f>
        <v>#NAME?</v>
      </c>
      <c r="S31" s="13"/>
      <c r="T31" s="35" t="e">
        <f ca="1">+T27-T29</f>
        <v>#NAME?</v>
      </c>
      <c r="U31" s="13"/>
      <c r="V31" s="30" t="e">
        <f ca="1">IF(T$12=0,0,T31/T$12)</f>
        <v>#NAME?</v>
      </c>
      <c r="W31" s="16"/>
      <c r="X31" s="35" t="e">
        <f ca="1">P31-T31</f>
        <v>#NAME?</v>
      </c>
      <c r="Y31" s="16"/>
      <c r="Z31" s="30" t="e">
        <f ca="1">IF(T31=0,0,X31/T31)</f>
        <v>#NAME?</v>
      </c>
    </row>
    <row r="32" spans="1:26" ht="15" thickTop="1" x14ac:dyDescent="0.3">
      <c r="A32" s="9"/>
      <c r="B32" s="9"/>
      <c r="C32" s="9"/>
      <c r="D32" s="2"/>
      <c r="E32" s="2"/>
      <c r="F32" s="6"/>
      <c r="G32" s="2"/>
      <c r="H32" s="2"/>
      <c r="I32" s="2"/>
      <c r="J32" s="6"/>
      <c r="K32" s="2"/>
      <c r="L32" s="2"/>
      <c r="M32" s="2"/>
      <c r="N32" s="6"/>
      <c r="P32" s="2"/>
      <c r="Q32" s="2"/>
      <c r="R32" s="6"/>
      <c r="S32" s="2"/>
      <c r="T32" s="2"/>
      <c r="U32" s="2"/>
      <c r="V32" s="6"/>
      <c r="W32" s="2"/>
      <c r="X32" s="2"/>
      <c r="Y32" s="2"/>
      <c r="Z32" s="6"/>
    </row>
    <row r="33" spans="1:26" s="23" customFormat="1" x14ac:dyDescent="0.3">
      <c r="A33" s="52"/>
      <c r="B33" s="10" t="s">
        <v>184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3">
      <c r="A34" s="52"/>
      <c r="B34" s="10" t="s">
        <v>82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3">
      <c r="A35" s="9"/>
      <c r="B35" s="9"/>
      <c r="C35" s="9"/>
      <c r="D35" s="2"/>
      <c r="E35" s="2"/>
      <c r="F35" s="6"/>
      <c r="G35" s="2"/>
      <c r="H35" s="2"/>
      <c r="I35" s="2"/>
      <c r="J35" s="6"/>
      <c r="K35" s="2"/>
      <c r="L35" s="2"/>
      <c r="M35" s="2"/>
      <c r="N35" s="6"/>
      <c r="P35" s="2"/>
      <c r="Q35" s="2"/>
      <c r="R35" s="6"/>
      <c r="S35" s="2"/>
      <c r="T35" s="2"/>
      <c r="U35" s="2"/>
      <c r="V35" s="6"/>
      <c r="W35" s="2"/>
      <c r="X35" s="2"/>
      <c r="Y35" s="2"/>
      <c r="Z35" s="6"/>
    </row>
    <row r="36" spans="1:26" s="23" customFormat="1" ht="15" thickBot="1" x14ac:dyDescent="0.35">
      <c r="A36" s="10"/>
      <c r="B36" s="26" t="s">
        <v>294</v>
      </c>
      <c r="C36" s="26"/>
      <c r="D36" s="33" t="e">
        <f ca="1">SUM(D31:D35)</f>
        <v>#NAME?</v>
      </c>
      <c r="E36" s="13"/>
      <c r="F36" s="31" t="e">
        <f ca="1">IF(D$12=0,0,D36/D$12)</f>
        <v>#NAME?</v>
      </c>
      <c r="G36" s="13"/>
      <c r="H36" s="33" t="e">
        <f ca="1">SUM(H31:H35)</f>
        <v>#NAME?</v>
      </c>
      <c r="I36" s="13"/>
      <c r="J36" s="31" t="e">
        <f ca="1">IF(H$12=0,0,H36/H$12)</f>
        <v>#NAME?</v>
      </c>
      <c r="K36" s="16"/>
      <c r="L36" s="33" t="e">
        <f ca="1">+D36-H36</f>
        <v>#NAME?</v>
      </c>
      <c r="M36" s="16"/>
      <c r="N36" s="31" t="e">
        <f ca="1">IF(H36=0,0,L36/H36)</f>
        <v>#NAME?</v>
      </c>
      <c r="O36" s="25"/>
      <c r="P36" s="33" t="e">
        <f ca="1">SUM(P31:P35)</f>
        <v>#NAME?</v>
      </c>
      <c r="Q36" s="13"/>
      <c r="R36" s="31" t="e">
        <f ca="1">IF(P$12=0,0,P36/P$12)</f>
        <v>#NAME?</v>
      </c>
      <c r="S36" s="13"/>
      <c r="T36" s="33" t="e">
        <f ca="1">SUM(T31:T35)</f>
        <v>#NAME?</v>
      </c>
      <c r="U36" s="13"/>
      <c r="V36" s="31" t="e">
        <f ca="1">IF(T$12=0,0,T36/T$12)</f>
        <v>#NAME?</v>
      </c>
      <c r="W36" s="16"/>
      <c r="X36" s="33" t="e">
        <f ca="1">+P36-T36</f>
        <v>#NAME?</v>
      </c>
      <c r="Y36" s="16"/>
      <c r="Z36" s="31" t="e">
        <f ca="1">IF(T36=0,0,X36/T36)</f>
        <v>#NAME?</v>
      </c>
    </row>
    <row r="37" spans="1:26" ht="15" thickTop="1" x14ac:dyDescent="0.3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3">
      <c r="A38" s="9"/>
      <c r="B38" s="54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3">
      <c r="A39" s="9"/>
      <c r="B39" s="59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3">
      <c r="A40" s="9"/>
      <c r="B40" s="55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3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50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7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50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7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7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7" customWidth="1" outlineLevel="1"/>
  </cols>
  <sheetData>
    <row r="2" spans="1:26" x14ac:dyDescent="0.3">
      <c r="D2" s="57" t="s">
        <v>23</v>
      </c>
    </row>
    <row r="3" spans="1:26" x14ac:dyDescent="0.3">
      <c r="D3" s="57" t="s">
        <v>237</v>
      </c>
      <c r="E3" s="17"/>
      <c r="F3" s="51"/>
      <c r="G3" s="17"/>
      <c r="H3" s="17"/>
      <c r="I3" s="17"/>
      <c r="J3" s="39"/>
      <c r="K3" s="17"/>
      <c r="L3" s="17"/>
      <c r="M3" s="17"/>
      <c r="N3" s="51"/>
      <c r="O3" s="61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3">
      <c r="D4" s="57" t="e">
        <f ca="1">CONCATENATE("Period ",RIGHT(_xll.OneStop.ReportPlayer.OSRFunctions.OSRGet("Period","PeriodId"),2),", ",_xll.OneStop.ReportPlayer.OSRFunctions.OSRGet("Period","Year"))</f>
        <v>#NAME?</v>
      </c>
      <c r="E4" s="17"/>
      <c r="F4" s="51"/>
      <c r="G4" s="17"/>
      <c r="H4" s="17"/>
      <c r="I4" s="17"/>
      <c r="J4" s="39"/>
      <c r="K4" s="17"/>
      <c r="L4" s="17"/>
      <c r="M4" s="17"/>
      <c r="N4" s="51"/>
      <c r="O4" s="61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3">
      <c r="A5" s="23"/>
      <c r="D5" s="65" t="e">
        <f ca="1">_xll.OneStop.ReportPlayer.OSRFunctions.OSRGet("Period","PeriodEnd")</f>
        <v>#NAME?</v>
      </c>
      <c r="E5" s="17"/>
      <c r="F5" s="51"/>
      <c r="G5" s="17"/>
      <c r="H5" s="17"/>
      <c r="I5" s="17"/>
      <c r="J5" s="39"/>
      <c r="K5" s="17"/>
      <c r="L5" s="17"/>
      <c r="M5" s="17"/>
      <c r="N5" s="51"/>
      <c r="O5" s="61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3">
      <c r="A6" s="23"/>
      <c r="B6" s="47"/>
      <c r="C6" s="47"/>
      <c r="D6" s="23" t="s">
        <v>106</v>
      </c>
      <c r="E6" s="17"/>
      <c r="F6" s="51"/>
      <c r="G6" s="17"/>
      <c r="H6" s="17"/>
      <c r="I6" s="17"/>
      <c r="J6" s="39"/>
      <c r="K6" s="17"/>
      <c r="L6" s="17"/>
      <c r="M6" s="17"/>
      <c r="N6" s="51"/>
      <c r="O6" s="60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3">
      <c r="B7" s="63"/>
    </row>
    <row r="8" spans="1:26" x14ac:dyDescent="0.3">
      <c r="B8" s="63"/>
    </row>
    <row r="9" spans="1:26" x14ac:dyDescent="0.3">
      <c r="B9" s="9"/>
      <c r="C9" s="9"/>
      <c r="D9" s="15" t="s">
        <v>292</v>
      </c>
      <c r="E9" s="15"/>
      <c r="F9" s="38"/>
      <c r="G9" s="15"/>
      <c r="H9" s="15"/>
      <c r="I9" s="15"/>
      <c r="J9" s="49"/>
      <c r="K9" s="15"/>
      <c r="L9" s="15"/>
      <c r="M9" s="15"/>
      <c r="N9" s="38"/>
      <c r="P9" s="15" t="s">
        <v>39</v>
      </c>
      <c r="Q9" s="15"/>
      <c r="R9" s="38"/>
      <c r="S9" s="15"/>
      <c r="T9" s="15"/>
      <c r="U9" s="15"/>
      <c r="V9" s="49"/>
      <c r="W9" s="15"/>
      <c r="X9" s="15"/>
      <c r="Y9" s="15"/>
      <c r="Z9" s="38"/>
    </row>
    <row r="10" spans="1:26" x14ac:dyDescent="0.3">
      <c r="A10" s="10"/>
      <c r="B10" s="53"/>
      <c r="C10" s="10"/>
      <c r="D10" s="42" t="s">
        <v>57</v>
      </c>
      <c r="E10" s="34"/>
      <c r="F10" s="40" t="s">
        <v>40</v>
      </c>
      <c r="G10" s="34"/>
      <c r="H10" s="45" t="s">
        <v>238</v>
      </c>
      <c r="I10" s="34"/>
      <c r="J10" s="48" t="s">
        <v>58</v>
      </c>
      <c r="K10" s="10"/>
      <c r="L10" s="42" t="s">
        <v>127</v>
      </c>
      <c r="M10" s="10"/>
      <c r="N10" s="40" t="s">
        <v>258</v>
      </c>
      <c r="O10" s="10"/>
      <c r="P10" s="56" t="s">
        <v>57</v>
      </c>
      <c r="Q10" s="34"/>
      <c r="R10" s="40" t="s">
        <v>40</v>
      </c>
      <c r="S10" s="34"/>
      <c r="T10" s="45" t="s">
        <v>238</v>
      </c>
      <c r="U10" s="34"/>
      <c r="V10" s="48" t="s">
        <v>58</v>
      </c>
      <c r="W10" s="10"/>
      <c r="X10" s="42" t="s">
        <v>127</v>
      </c>
      <c r="Y10" s="10"/>
      <c r="Z10" s="40" t="s">
        <v>258</v>
      </c>
    </row>
    <row r="11" spans="1:26" ht="15.6" x14ac:dyDescent="0.3">
      <c r="A11" s="9"/>
      <c r="B11" s="58"/>
      <c r="C11" s="9"/>
      <c r="D11" s="9"/>
      <c r="E11" s="9"/>
      <c r="F11" s="6"/>
      <c r="G11" s="9"/>
      <c r="H11" s="9"/>
      <c r="I11" s="9"/>
      <c r="J11" s="46"/>
      <c r="K11" s="9"/>
      <c r="L11" s="9"/>
      <c r="M11" s="9"/>
      <c r="N11" s="6"/>
      <c r="P11" s="9"/>
      <c r="Q11" s="9"/>
      <c r="R11" s="6"/>
      <c r="S11" s="9"/>
      <c r="T11" s="9"/>
      <c r="U11" s="9"/>
      <c r="V11" s="46"/>
      <c r="W11" s="9"/>
      <c r="X11" s="9"/>
      <c r="Y11" s="9"/>
      <c r="Z11" s="6"/>
    </row>
    <row r="12" spans="1:26" s="23" customFormat="1" collapsed="1" x14ac:dyDescent="0.3">
      <c r="A12" s="10"/>
      <c r="B12" s="25" t="s">
        <v>140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3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3" t="e">
        <f ca="1">-_xll.OneStop.ReportPlayer.OSRFunctions.OSRGet("GL_F_Trans","Value1")</f>
        <v>#NAME?</v>
      </c>
      <c r="E13" s="3"/>
      <c r="F13" s="19"/>
      <c r="G13" s="3"/>
      <c r="H13" s="3" t="e">
        <f ca="1">_xll.OneStop.ReportPlayer.OSRFunctions.OSRGet("GL_F_Trans","Value1")</f>
        <v>#NAME?</v>
      </c>
      <c r="I13" s="3"/>
      <c r="J13" s="19"/>
      <c r="K13" s="3"/>
      <c r="L13" s="3" t="e">
        <f t="shared" ca="1" si="0"/>
        <v>#NAME?</v>
      </c>
      <c r="M13" s="3"/>
      <c r="N13" s="19" t="e">
        <f t="shared" ca="1" si="1"/>
        <v>#NAME?</v>
      </c>
      <c r="O13" s="11"/>
      <c r="P13" s="3" t="e">
        <f ca="1">-_xll.OneStop.ReportPlayer.OSRFunctions.OSRGet("GL_F_Trans","Value1")</f>
        <v>#NAME?</v>
      </c>
      <c r="Q13" s="3"/>
      <c r="R13" s="19"/>
      <c r="S13" s="3"/>
      <c r="T13" s="3" t="e">
        <f ca="1">_xll.OneStop.ReportPlayer.OSRFunctions.OSRGet("GL_F_Trans","Value1")</f>
        <v>#NAME?</v>
      </c>
      <c r="U13" s="3"/>
      <c r="V13" s="19"/>
      <c r="W13" s="3"/>
      <c r="X13" s="3" t="e">
        <f t="shared" ca="1" si="2"/>
        <v>#NAME?</v>
      </c>
      <c r="Y13" s="3"/>
      <c r="Z13" s="19" t="e">
        <f t="shared" ca="1" si="3"/>
        <v>#NAME?</v>
      </c>
    </row>
    <row r="14" spans="1:26" x14ac:dyDescent="0.3">
      <c r="A14" s="9"/>
      <c r="B14" s="10"/>
      <c r="C14" s="9"/>
      <c r="D14" s="2"/>
      <c r="E14" s="2"/>
      <c r="F14" s="6"/>
      <c r="G14" s="2"/>
      <c r="H14" s="2"/>
      <c r="I14" s="2"/>
      <c r="J14" s="6"/>
      <c r="K14" s="2"/>
      <c r="L14" s="2"/>
      <c r="M14" s="2"/>
      <c r="N14" s="6"/>
      <c r="P14" s="2"/>
      <c r="Q14" s="2"/>
      <c r="R14" s="6"/>
      <c r="S14" s="2"/>
      <c r="T14" s="2"/>
      <c r="U14" s="2"/>
      <c r="V14" s="6"/>
      <c r="W14" s="2"/>
      <c r="X14" s="2"/>
      <c r="Y14" s="2"/>
      <c r="Z14" s="6"/>
    </row>
    <row r="15" spans="1:26" s="23" customFormat="1" collapsed="1" x14ac:dyDescent="0.3">
      <c r="A15" s="10"/>
      <c r="B15" s="25" t="s">
        <v>257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3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3" t="e">
        <f ca="1">_xll.OneStop.ReportPlayer.OSRFunctions.OSRGet("GL_F_Trans","Value1")</f>
        <v>#NAME?</v>
      </c>
      <c r="E16" s="3"/>
      <c r="F16" s="19" t="e">
        <f t="shared" ca="1" si="4"/>
        <v>#NAME?</v>
      </c>
      <c r="G16" s="3"/>
      <c r="H16" s="3" t="e">
        <f ca="1">_xll.OneStop.ReportPlayer.OSRFunctions.OSRGet("GL_F_Trans","Value1")</f>
        <v>#NAME?</v>
      </c>
      <c r="I16" s="3"/>
      <c r="J16" s="19" t="e">
        <f t="shared" ca="1" si="5"/>
        <v>#NAME?</v>
      </c>
      <c r="K16" s="3"/>
      <c r="L16" s="3" t="e">
        <f t="shared" ca="1" si="6"/>
        <v>#NAME?</v>
      </c>
      <c r="M16" s="3"/>
      <c r="N16" s="19" t="e">
        <f t="shared" ca="1" si="7"/>
        <v>#NAME?</v>
      </c>
      <c r="O16" s="11"/>
      <c r="P16" s="3" t="e">
        <f ca="1">_xll.OneStop.ReportPlayer.OSRFunctions.OSRGet("GL_F_Trans","Value1")</f>
        <v>#NAME?</v>
      </c>
      <c r="Q16" s="3"/>
      <c r="R16" s="19" t="e">
        <f t="shared" ca="1" si="8"/>
        <v>#NAME?</v>
      </c>
      <c r="S16" s="3"/>
      <c r="T16" s="3" t="e">
        <f ca="1">_xll.OneStop.ReportPlayer.OSRFunctions.OSRGet("GL_F_Trans","Value1")</f>
        <v>#NAME?</v>
      </c>
      <c r="U16" s="3"/>
      <c r="V16" s="19" t="e">
        <f t="shared" ca="1" si="9"/>
        <v>#NAME?</v>
      </c>
      <c r="W16" s="3"/>
      <c r="X16" s="3" t="e">
        <f t="shared" ca="1" si="10"/>
        <v>#NAME?</v>
      </c>
      <c r="Y16" s="3"/>
      <c r="Z16" s="19" t="e">
        <f t="shared" ca="1" si="11"/>
        <v>#NAME?</v>
      </c>
    </row>
    <row r="17" spans="1:26" x14ac:dyDescent="0.3">
      <c r="A17" s="9"/>
      <c r="B17" s="10"/>
      <c r="C17" s="10"/>
      <c r="D17" s="2"/>
      <c r="E17" s="2"/>
      <c r="F17" s="6"/>
      <c r="G17" s="2"/>
      <c r="H17" s="2"/>
      <c r="I17" s="2"/>
      <c r="J17" s="6"/>
      <c r="K17" s="2"/>
      <c r="L17" s="2"/>
      <c r="M17" s="2"/>
      <c r="N17" s="6"/>
      <c r="O17" s="10"/>
      <c r="P17" s="2"/>
      <c r="Q17" s="2"/>
      <c r="R17" s="6"/>
      <c r="S17" s="2"/>
      <c r="T17" s="2"/>
      <c r="U17" s="2"/>
      <c r="V17" s="6"/>
      <c r="W17" s="2"/>
      <c r="X17" s="2"/>
      <c r="Y17" s="2"/>
      <c r="Z17" s="6"/>
    </row>
    <row r="18" spans="1:26" s="23" customFormat="1" x14ac:dyDescent="0.3">
      <c r="A18" s="10"/>
      <c r="B18" s="26" t="s">
        <v>108</v>
      </c>
      <c r="C18" s="26"/>
      <c r="D18" s="21" t="e">
        <f ca="1">D12-D15</f>
        <v>#NAME?</v>
      </c>
      <c r="E18" s="13"/>
      <c r="F18" s="22" t="e">
        <f ca="1">IF(D$12=0,0,D18/D$12)</f>
        <v>#NAME?</v>
      </c>
      <c r="G18" s="13"/>
      <c r="H18" s="21" t="e">
        <f ca="1">H12-H15</f>
        <v>#NAME?</v>
      </c>
      <c r="I18" s="13"/>
      <c r="J18" s="22" t="e">
        <f ca="1">IF(H$12=0,0,H18/H$12)</f>
        <v>#NAME?</v>
      </c>
      <c r="K18" s="16"/>
      <c r="L18" s="21" t="e">
        <f ca="1">+D18-H18</f>
        <v>#NAME?</v>
      </c>
      <c r="M18" s="16"/>
      <c r="N18" s="22" t="e">
        <f ca="1">IF(H18=0,0,L18/H18)</f>
        <v>#NAME?</v>
      </c>
      <c r="O18" s="25"/>
      <c r="P18" s="21" t="e">
        <f ca="1">P12-P15</f>
        <v>#NAME?</v>
      </c>
      <c r="Q18" s="13"/>
      <c r="R18" s="22" t="e">
        <f ca="1">IF(P$12=0,0,P18/P$12)</f>
        <v>#NAME?</v>
      </c>
      <c r="S18" s="13"/>
      <c r="T18" s="21" t="e">
        <f ca="1">T12-T15</f>
        <v>#NAME?</v>
      </c>
      <c r="U18" s="13"/>
      <c r="V18" s="22" t="e">
        <f ca="1">IF(T$12=0,0,T18/T$12)</f>
        <v>#NAME?</v>
      </c>
      <c r="W18" s="16"/>
      <c r="X18" s="21" t="e">
        <f ca="1">+P18-T18</f>
        <v>#NAME?</v>
      </c>
      <c r="Y18" s="16"/>
      <c r="Z18" s="22" t="e">
        <f ca="1">IF(T18=0,0,X18/T18)</f>
        <v>#NAME?</v>
      </c>
    </row>
    <row r="19" spans="1:26" x14ac:dyDescent="0.3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">
      <c r="A20" s="10"/>
      <c r="B20" s="25" t="s">
        <v>295</v>
      </c>
      <c r="C20" s="10"/>
      <c r="D20" s="20" t="e">
        <f ca="1">SUM(_xll.OneStop.ReportPlayer.OSRFunctions.OSRRef(D22))</f>
        <v>#NAME?</v>
      </c>
      <c r="E20" s="20"/>
      <c r="F20" s="32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2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2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2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2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2" t="e">
        <f t="shared" ref="Z20:Z22" ca="1" si="19">IF(T20=0,0,X20/T20)</f>
        <v>#NAME?</v>
      </c>
    </row>
    <row r="21" spans="1:26" s="27" customFormat="1" outlineLevel="1" collapsed="1" x14ac:dyDescent="0.3">
      <c r="A21" s="28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3">
      <c r="A22" s="29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8" t="e">
        <f ca="1">_xll.OneStop.ReportPlayer.OSRFunctions.OSRGet("GL_F_Trans","Value1")</f>
        <v>#NAME?</v>
      </c>
      <c r="E22" s="3"/>
      <c r="F22" s="7" t="e">
        <f t="shared" ca="1" si="12"/>
        <v>#NAME?</v>
      </c>
      <c r="G22" s="3"/>
      <c r="H22" s="8" t="e">
        <f ca="1">_xll.OneStop.ReportPlayer.OSRFunctions.OSRGet("GL_F_Trans","Value1")</f>
        <v>#NAME?</v>
      </c>
      <c r="I22" s="3"/>
      <c r="J22" s="7" t="e">
        <f t="shared" ca="1" si="13"/>
        <v>#NAME?</v>
      </c>
      <c r="K22" s="3"/>
      <c r="L22" s="8" t="e">
        <f t="shared" ca="1" si="14"/>
        <v>#NAME?</v>
      </c>
      <c r="M22" s="3"/>
      <c r="N22" s="7" t="e">
        <f t="shared" ca="1" si="15"/>
        <v>#NAME?</v>
      </c>
      <c r="O22" s="11"/>
      <c r="P22" s="8" t="e">
        <f ca="1">_xll.OneStop.ReportPlayer.OSRFunctions.OSRGet("GL_F_Trans","Value1")</f>
        <v>#NAME?</v>
      </c>
      <c r="Q22" s="3"/>
      <c r="R22" s="7" t="e">
        <f t="shared" ca="1" si="16"/>
        <v>#NAME?</v>
      </c>
      <c r="S22" s="3"/>
      <c r="T22" s="8" t="e">
        <f ca="1">_xll.OneStop.ReportPlayer.OSRFunctions.OSRGet("GL_F_Trans","Value1")</f>
        <v>#NAME?</v>
      </c>
      <c r="U22" s="3"/>
      <c r="V22" s="7" t="e">
        <f t="shared" ca="1" si="17"/>
        <v>#NAME?</v>
      </c>
      <c r="W22" s="3"/>
      <c r="X22" s="8" t="e">
        <f t="shared" ca="1" si="18"/>
        <v>#NAME?</v>
      </c>
      <c r="Y22" s="3"/>
      <c r="Z22" s="7" t="e">
        <f t="shared" ca="1" si="19"/>
        <v>#NAME?</v>
      </c>
    </row>
    <row r="23" spans="1:26" s="62" customFormat="1" x14ac:dyDescent="0.3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3">
      <c r="A24" s="10"/>
      <c r="B24" s="25" t="s">
        <v>293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3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3" t="e">
        <f ca="1">-_xll.OneStop.ReportPlayer.OSRFunctions.OSRGet("GL_F_Trans","Value1")</f>
        <v>#NAME?</v>
      </c>
      <c r="E25" s="3"/>
      <c r="F25" s="19" t="e">
        <f t="shared" ca="1" si="20"/>
        <v>#NAME?</v>
      </c>
      <c r="G25" s="3"/>
      <c r="H25" s="3" t="e">
        <f ca="1">_xll.OneStop.ReportPlayer.OSRFunctions.OSRGet("GL_F_Trans","Value1")</f>
        <v>#NAME?</v>
      </c>
      <c r="I25" s="3"/>
      <c r="J25" s="19" t="e">
        <f t="shared" ca="1" si="21"/>
        <v>#NAME?</v>
      </c>
      <c r="K25" s="3"/>
      <c r="L25" s="3" t="e">
        <f t="shared" ca="1" si="22"/>
        <v>#NAME?</v>
      </c>
      <c r="M25" s="3"/>
      <c r="N25" s="19" t="e">
        <f t="shared" ca="1" si="23"/>
        <v>#NAME?</v>
      </c>
      <c r="O25" s="11"/>
      <c r="P25" s="3" t="e">
        <f ca="1">-_xll.OneStop.ReportPlayer.OSRFunctions.OSRGet("GL_F_Trans","Value1")</f>
        <v>#NAME?</v>
      </c>
      <c r="Q25" s="3"/>
      <c r="R25" s="19" t="e">
        <f t="shared" ca="1" si="24"/>
        <v>#NAME?</v>
      </c>
      <c r="S25" s="3"/>
      <c r="T25" s="3" t="e">
        <f ca="1">_xll.OneStop.ReportPlayer.OSRFunctions.OSRGet("GL_F_Trans","Value1")</f>
        <v>#NAME?</v>
      </c>
      <c r="U25" s="3"/>
      <c r="V25" s="19" t="e">
        <f t="shared" ca="1" si="25"/>
        <v>#NAME?</v>
      </c>
      <c r="W25" s="3"/>
      <c r="X25" s="3" t="e">
        <f t="shared" ca="1" si="26"/>
        <v>#NAME?</v>
      </c>
      <c r="Y25" s="3"/>
      <c r="Z25" s="19" t="e">
        <f t="shared" ca="1" si="27"/>
        <v>#NAME?</v>
      </c>
    </row>
    <row r="26" spans="1:26" x14ac:dyDescent="0.3">
      <c r="A26" s="9"/>
      <c r="B26" s="10"/>
      <c r="C26" s="10"/>
      <c r="D26" s="2"/>
      <c r="E26" s="2"/>
      <c r="F26" s="6"/>
      <c r="G26" s="2"/>
      <c r="H26" s="2"/>
      <c r="I26" s="2"/>
      <c r="J26" s="6"/>
      <c r="K26" s="2"/>
      <c r="L26" s="2"/>
      <c r="M26" s="2"/>
      <c r="N26" s="6"/>
      <c r="O26" s="10"/>
      <c r="P26" s="2"/>
      <c r="Q26" s="2"/>
      <c r="R26" s="6"/>
      <c r="S26" s="2"/>
      <c r="T26" s="2"/>
      <c r="U26" s="2"/>
      <c r="V26" s="6"/>
      <c r="W26" s="2"/>
      <c r="X26" s="2"/>
      <c r="Y26" s="2"/>
      <c r="Z26" s="6"/>
    </row>
    <row r="27" spans="1:26" s="23" customFormat="1" x14ac:dyDescent="0.3">
      <c r="A27" s="10"/>
      <c r="B27" s="26" t="s">
        <v>277</v>
      </c>
      <c r="C27" s="26"/>
      <c r="D27" s="21" t="e">
        <f ca="1">+D18-D20+D24</f>
        <v>#NAME?</v>
      </c>
      <c r="E27" s="13"/>
      <c r="F27" s="22" t="e">
        <f ca="1">IF(D$12=0,0,D27/D$12)</f>
        <v>#NAME?</v>
      </c>
      <c r="G27" s="13"/>
      <c r="H27" s="21" t="e">
        <f ca="1">+H18-H20+H24</f>
        <v>#NAME?</v>
      </c>
      <c r="I27" s="13"/>
      <c r="J27" s="22" t="e">
        <f ca="1">IF(H$12=0,0,H27/H$12)</f>
        <v>#NAME?</v>
      </c>
      <c r="K27" s="16"/>
      <c r="L27" s="21" t="e">
        <f ca="1">+D27-H27</f>
        <v>#NAME?</v>
      </c>
      <c r="M27" s="16"/>
      <c r="N27" s="22" t="e">
        <f ca="1">IF(H27=0,0,L27/H27)</f>
        <v>#NAME?</v>
      </c>
      <c r="O27" s="25"/>
      <c r="P27" s="21" t="e">
        <f ca="1">+P18-P20+P24</f>
        <v>#NAME?</v>
      </c>
      <c r="Q27" s="13"/>
      <c r="R27" s="22" t="e">
        <f ca="1">IF(P$12=0,0,P27/P$12)</f>
        <v>#NAME?</v>
      </c>
      <c r="S27" s="13"/>
      <c r="T27" s="21" t="e">
        <f ca="1">+T18-T20+T24</f>
        <v>#NAME?</v>
      </c>
      <c r="U27" s="13"/>
      <c r="V27" s="22" t="e">
        <f ca="1">IF(T$12=0,0,T27/T$12)</f>
        <v>#NAME?</v>
      </c>
      <c r="W27" s="16"/>
      <c r="X27" s="21" t="e">
        <f ca="1">+P27-T27</f>
        <v>#NAME?</v>
      </c>
      <c r="Y27" s="16"/>
      <c r="Z27" s="22" t="e">
        <f ca="1">IF(T27=0,0,X27/T27)</f>
        <v>#NAME?</v>
      </c>
    </row>
    <row r="28" spans="1:26" x14ac:dyDescent="0.3">
      <c r="A28" s="9"/>
      <c r="B28" s="10"/>
      <c r="C28" s="9"/>
      <c r="D28" s="2"/>
      <c r="E28" s="2"/>
      <c r="F28" s="6"/>
      <c r="G28" s="2"/>
      <c r="H28" s="2"/>
      <c r="I28" s="2"/>
      <c r="J28" s="6"/>
      <c r="K28" s="2"/>
      <c r="L28" s="2"/>
      <c r="M28" s="2"/>
      <c r="N28" s="6"/>
      <c r="P28" s="2"/>
      <c r="Q28" s="2"/>
      <c r="R28" s="6"/>
      <c r="S28" s="2"/>
      <c r="T28" s="2"/>
      <c r="U28" s="2"/>
      <c r="V28" s="6"/>
      <c r="W28" s="2"/>
      <c r="X28" s="2"/>
      <c r="Y28" s="2"/>
      <c r="Z28" s="6"/>
    </row>
    <row r="29" spans="1:26" s="23" customFormat="1" x14ac:dyDescent="0.3">
      <c r="A29" s="52"/>
      <c r="B29" s="10" t="s">
        <v>128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3">
      <c r="A30" s="9"/>
      <c r="B30" s="10"/>
      <c r="C30" s="10"/>
      <c r="D30" s="2"/>
      <c r="E30" s="2"/>
      <c r="F30" s="6"/>
      <c r="G30" s="2"/>
      <c r="H30" s="2"/>
      <c r="I30" s="2"/>
      <c r="J30" s="6"/>
      <c r="K30" s="2"/>
      <c r="L30" s="2"/>
      <c r="M30" s="2"/>
      <c r="N30" s="6"/>
      <c r="O30" s="10"/>
      <c r="P30" s="2"/>
      <c r="Q30" s="2"/>
      <c r="R30" s="6"/>
      <c r="S30" s="2"/>
      <c r="T30" s="2"/>
      <c r="U30" s="2"/>
      <c r="V30" s="6"/>
      <c r="W30" s="2"/>
      <c r="X30" s="2"/>
      <c r="Y30" s="2"/>
      <c r="Z30" s="6"/>
    </row>
    <row r="31" spans="1:26" s="23" customFormat="1" ht="15" thickBot="1" x14ac:dyDescent="0.35">
      <c r="A31" s="10"/>
      <c r="B31" s="26" t="s">
        <v>126</v>
      </c>
      <c r="C31" s="26"/>
      <c r="D31" s="35" t="e">
        <f ca="1">+D27-D29</f>
        <v>#NAME?</v>
      </c>
      <c r="E31" s="13"/>
      <c r="F31" s="30" t="e">
        <f ca="1">IF(D$12=0,0,D31/D$12)</f>
        <v>#NAME?</v>
      </c>
      <c r="G31" s="13"/>
      <c r="H31" s="35" t="e">
        <f ca="1">+H27-H29</f>
        <v>#NAME?</v>
      </c>
      <c r="I31" s="13"/>
      <c r="J31" s="30" t="e">
        <f ca="1">IF(H$12=0,0,H31/H$12)</f>
        <v>#NAME?</v>
      </c>
      <c r="K31" s="16"/>
      <c r="L31" s="35" t="e">
        <f ca="1">D31-H31</f>
        <v>#NAME?</v>
      </c>
      <c r="M31" s="16"/>
      <c r="N31" s="30" t="e">
        <f ca="1">IF(H31=0,0,L31/H31)</f>
        <v>#NAME?</v>
      </c>
      <c r="O31" s="25"/>
      <c r="P31" s="35" t="e">
        <f ca="1">+P27-P29</f>
        <v>#NAME?</v>
      </c>
      <c r="Q31" s="13"/>
      <c r="R31" s="30" t="e">
        <f ca="1">IF(P$12=0,0,P31/P$12)</f>
        <v>#NAME?</v>
      </c>
      <c r="S31" s="13"/>
      <c r="T31" s="35" t="e">
        <f ca="1">+T27-T29</f>
        <v>#NAME?</v>
      </c>
      <c r="U31" s="13"/>
      <c r="V31" s="30" t="e">
        <f ca="1">IF(T$12=0,0,T31/T$12)</f>
        <v>#NAME?</v>
      </c>
      <c r="W31" s="16"/>
      <c r="X31" s="35" t="e">
        <f ca="1">P31-T31</f>
        <v>#NAME?</v>
      </c>
      <c r="Y31" s="16"/>
      <c r="Z31" s="30" t="e">
        <f ca="1">IF(T31=0,0,X31/T31)</f>
        <v>#NAME?</v>
      </c>
    </row>
    <row r="32" spans="1:26" ht="15" thickTop="1" x14ac:dyDescent="0.3">
      <c r="A32" s="9"/>
      <c r="B32" s="9"/>
      <c r="C32" s="9"/>
      <c r="D32" s="2"/>
      <c r="E32" s="2"/>
      <c r="F32" s="6"/>
      <c r="G32" s="2"/>
      <c r="H32" s="2"/>
      <c r="I32" s="2"/>
      <c r="J32" s="6"/>
      <c r="K32" s="2"/>
      <c r="L32" s="2"/>
      <c r="M32" s="2"/>
      <c r="N32" s="6"/>
      <c r="P32" s="2"/>
      <c r="Q32" s="2"/>
      <c r="R32" s="6"/>
      <c r="S32" s="2"/>
      <c r="T32" s="2"/>
      <c r="U32" s="2"/>
      <c r="V32" s="6"/>
      <c r="W32" s="2"/>
      <c r="X32" s="2"/>
      <c r="Y32" s="2"/>
      <c r="Z32" s="6"/>
    </row>
    <row r="33" spans="1:26" s="23" customFormat="1" x14ac:dyDescent="0.3">
      <c r="A33" s="52"/>
      <c r="B33" s="10" t="s">
        <v>184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3">
      <c r="A34" s="52"/>
      <c r="B34" s="10" t="s">
        <v>82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3">
      <c r="A35" s="9"/>
      <c r="B35" s="9"/>
      <c r="C35" s="9"/>
      <c r="D35" s="2"/>
      <c r="E35" s="2"/>
      <c r="F35" s="6"/>
      <c r="G35" s="2"/>
      <c r="H35" s="2"/>
      <c r="I35" s="2"/>
      <c r="J35" s="6"/>
      <c r="K35" s="2"/>
      <c r="L35" s="2"/>
      <c r="M35" s="2"/>
      <c r="N35" s="6"/>
      <c r="P35" s="2"/>
      <c r="Q35" s="2"/>
      <c r="R35" s="6"/>
      <c r="S35" s="2"/>
      <c r="T35" s="2"/>
      <c r="U35" s="2"/>
      <c r="V35" s="6"/>
      <c r="W35" s="2"/>
      <c r="X35" s="2"/>
      <c r="Y35" s="2"/>
      <c r="Z35" s="6"/>
    </row>
    <row r="36" spans="1:26" s="23" customFormat="1" ht="15" thickBot="1" x14ac:dyDescent="0.35">
      <c r="A36" s="10"/>
      <c r="B36" s="26" t="s">
        <v>294</v>
      </c>
      <c r="C36" s="26"/>
      <c r="D36" s="33" t="e">
        <f ca="1">SUM(D31:D35)</f>
        <v>#NAME?</v>
      </c>
      <c r="E36" s="13"/>
      <c r="F36" s="31" t="e">
        <f ca="1">IF(D$12=0,0,D36/D$12)</f>
        <v>#NAME?</v>
      </c>
      <c r="G36" s="13"/>
      <c r="H36" s="33" t="e">
        <f ca="1">SUM(H31:H35)</f>
        <v>#NAME?</v>
      </c>
      <c r="I36" s="13"/>
      <c r="J36" s="31" t="e">
        <f ca="1">IF(H$12=0,0,H36/H$12)</f>
        <v>#NAME?</v>
      </c>
      <c r="K36" s="16"/>
      <c r="L36" s="33" t="e">
        <f ca="1">+D36-H36</f>
        <v>#NAME?</v>
      </c>
      <c r="M36" s="16"/>
      <c r="N36" s="31" t="e">
        <f ca="1">IF(H36=0,0,L36/H36)</f>
        <v>#NAME?</v>
      </c>
      <c r="O36" s="25"/>
      <c r="P36" s="33" t="e">
        <f ca="1">SUM(P31:P35)</f>
        <v>#NAME?</v>
      </c>
      <c r="Q36" s="13"/>
      <c r="R36" s="31" t="e">
        <f ca="1">IF(P$12=0,0,P36/P$12)</f>
        <v>#NAME?</v>
      </c>
      <c r="S36" s="13"/>
      <c r="T36" s="33" t="e">
        <f ca="1">SUM(T31:T35)</f>
        <v>#NAME?</v>
      </c>
      <c r="U36" s="13"/>
      <c r="V36" s="31" t="e">
        <f ca="1">IF(T$12=0,0,T36/T$12)</f>
        <v>#NAME?</v>
      </c>
      <c r="W36" s="16"/>
      <c r="X36" s="33" t="e">
        <f ca="1">+P36-T36</f>
        <v>#NAME?</v>
      </c>
      <c r="Y36" s="16"/>
      <c r="Z36" s="31" t="e">
        <f ca="1">IF(T36=0,0,X36/T36)</f>
        <v>#NAME?</v>
      </c>
    </row>
    <row r="37" spans="1:26" ht="15" thickTop="1" x14ac:dyDescent="0.3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3">
      <c r="A38" s="9"/>
      <c r="B38" s="54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3">
      <c r="A39" s="9"/>
      <c r="B39" s="59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3">
      <c r="A40" s="9"/>
      <c r="B40" s="55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3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50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7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50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7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7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7" customWidth="1" outlineLevel="1"/>
  </cols>
  <sheetData>
    <row r="2" spans="1:26" x14ac:dyDescent="0.3">
      <c r="D2" s="57" t="s">
        <v>23</v>
      </c>
    </row>
    <row r="3" spans="1:26" x14ac:dyDescent="0.3">
      <c r="D3" s="57" t="s">
        <v>237</v>
      </c>
      <c r="E3" s="17"/>
      <c r="F3" s="51"/>
      <c r="G3" s="17"/>
      <c r="H3" s="17"/>
      <c r="I3" s="17"/>
      <c r="J3" s="39"/>
      <c r="K3" s="17"/>
      <c r="L3" s="17"/>
      <c r="M3" s="17"/>
      <c r="N3" s="51"/>
      <c r="O3" s="61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3">
      <c r="D4" s="57" t="e">
        <f ca="1">CONCATENATE("Period ",RIGHT(_xll.OneStop.ReportPlayer.OSRFunctions.OSRGet("Period","PeriodId"),2),", ",_xll.OneStop.ReportPlayer.OSRFunctions.OSRGet("Period","Year"))</f>
        <v>#NAME?</v>
      </c>
      <c r="E4" s="17"/>
      <c r="F4" s="51"/>
      <c r="G4" s="17"/>
      <c r="H4" s="17"/>
      <c r="I4" s="17"/>
      <c r="J4" s="39"/>
      <c r="K4" s="17"/>
      <c r="L4" s="17"/>
      <c r="M4" s="17"/>
      <c r="N4" s="51"/>
      <c r="O4" s="61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3">
      <c r="A5" s="23"/>
      <c r="D5" s="65" t="e">
        <f ca="1">_xll.OneStop.ReportPlayer.OSRFunctions.OSRGet("Period","PeriodEnd")</f>
        <v>#NAME?</v>
      </c>
      <c r="E5" s="17"/>
      <c r="F5" s="51"/>
      <c r="G5" s="17"/>
      <c r="H5" s="17"/>
      <c r="I5" s="17"/>
      <c r="J5" s="39"/>
      <c r="K5" s="17"/>
      <c r="L5" s="17"/>
      <c r="M5" s="17"/>
      <c r="N5" s="51"/>
      <c r="O5" s="61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3">
      <c r="A6" s="23"/>
      <c r="B6" s="47"/>
      <c r="C6" s="47"/>
      <c r="D6" s="23" t="s">
        <v>183</v>
      </c>
      <c r="E6" s="17"/>
      <c r="F6" s="51"/>
      <c r="G6" s="17"/>
      <c r="H6" s="17"/>
      <c r="I6" s="17"/>
      <c r="J6" s="39"/>
      <c r="K6" s="17"/>
      <c r="L6" s="17"/>
      <c r="M6" s="17"/>
      <c r="N6" s="51"/>
      <c r="O6" s="60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3">
      <c r="B7" s="63"/>
    </row>
    <row r="8" spans="1:26" x14ac:dyDescent="0.3">
      <c r="B8" s="63"/>
    </row>
    <row r="9" spans="1:26" x14ac:dyDescent="0.3">
      <c r="B9" s="9"/>
      <c r="C9" s="9"/>
      <c r="D9" s="15" t="s">
        <v>292</v>
      </c>
      <c r="E9" s="15"/>
      <c r="F9" s="38"/>
      <c r="G9" s="15"/>
      <c r="H9" s="15"/>
      <c r="I9" s="15"/>
      <c r="J9" s="49"/>
      <c r="K9" s="15"/>
      <c r="L9" s="15"/>
      <c r="M9" s="15"/>
      <c r="N9" s="38"/>
      <c r="P9" s="15" t="s">
        <v>39</v>
      </c>
      <c r="Q9" s="15"/>
      <c r="R9" s="38"/>
      <c r="S9" s="15"/>
      <c r="T9" s="15"/>
      <c r="U9" s="15"/>
      <c r="V9" s="49"/>
      <c r="W9" s="15"/>
      <c r="X9" s="15"/>
      <c r="Y9" s="15"/>
      <c r="Z9" s="38"/>
    </row>
    <row r="10" spans="1:26" x14ac:dyDescent="0.3">
      <c r="A10" s="10"/>
      <c r="B10" s="53"/>
      <c r="C10" s="10"/>
      <c r="D10" s="42" t="s">
        <v>57</v>
      </c>
      <c r="E10" s="34"/>
      <c r="F10" s="40" t="s">
        <v>40</v>
      </c>
      <c r="G10" s="34"/>
      <c r="H10" s="45" t="s">
        <v>238</v>
      </c>
      <c r="I10" s="34"/>
      <c r="J10" s="48" t="s">
        <v>58</v>
      </c>
      <c r="K10" s="10"/>
      <c r="L10" s="42" t="s">
        <v>127</v>
      </c>
      <c r="M10" s="10"/>
      <c r="N10" s="40" t="s">
        <v>258</v>
      </c>
      <c r="O10" s="10"/>
      <c r="P10" s="56" t="s">
        <v>57</v>
      </c>
      <c r="Q10" s="34"/>
      <c r="R10" s="40" t="s">
        <v>40</v>
      </c>
      <c r="S10" s="34"/>
      <c r="T10" s="45" t="s">
        <v>238</v>
      </c>
      <c r="U10" s="34"/>
      <c r="V10" s="48" t="s">
        <v>58</v>
      </c>
      <c r="W10" s="10"/>
      <c r="X10" s="42" t="s">
        <v>127</v>
      </c>
      <c r="Y10" s="10"/>
      <c r="Z10" s="40" t="s">
        <v>258</v>
      </c>
    </row>
    <row r="11" spans="1:26" ht="15.6" x14ac:dyDescent="0.3">
      <c r="A11" s="9"/>
      <c r="B11" s="58"/>
      <c r="C11" s="9"/>
      <c r="D11" s="9"/>
      <c r="E11" s="9"/>
      <c r="F11" s="6"/>
      <c r="G11" s="9"/>
      <c r="H11" s="9"/>
      <c r="I11" s="9"/>
      <c r="J11" s="46"/>
      <c r="K11" s="9"/>
      <c r="L11" s="9"/>
      <c r="M11" s="9"/>
      <c r="N11" s="6"/>
      <c r="P11" s="9"/>
      <c r="Q11" s="9"/>
      <c r="R11" s="6"/>
      <c r="S11" s="9"/>
      <c r="T11" s="9"/>
      <c r="U11" s="9"/>
      <c r="V11" s="46"/>
      <c r="W11" s="9"/>
      <c r="X11" s="9"/>
      <c r="Y11" s="9"/>
      <c r="Z11" s="6"/>
    </row>
    <row r="12" spans="1:26" s="23" customFormat="1" collapsed="1" x14ac:dyDescent="0.3">
      <c r="A12" s="10"/>
      <c r="B12" s="25" t="s">
        <v>140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3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3" t="e">
        <f ca="1">-_xll.OneStop.ReportPlayer.OSRFunctions.OSRGet("GL_F_Trans","Value1")</f>
        <v>#NAME?</v>
      </c>
      <c r="E13" s="3"/>
      <c r="F13" s="19"/>
      <c r="G13" s="3"/>
      <c r="H13" s="3" t="e">
        <f ca="1">_xll.OneStop.ReportPlayer.OSRFunctions.OSRGet("GL_F_Trans","Value1")</f>
        <v>#NAME?</v>
      </c>
      <c r="I13" s="3"/>
      <c r="J13" s="19"/>
      <c r="K13" s="3"/>
      <c r="L13" s="3" t="e">
        <f t="shared" ca="1" si="0"/>
        <v>#NAME?</v>
      </c>
      <c r="M13" s="3"/>
      <c r="N13" s="19" t="e">
        <f t="shared" ca="1" si="1"/>
        <v>#NAME?</v>
      </c>
      <c r="O13" s="11"/>
      <c r="P13" s="3" t="e">
        <f ca="1">-_xll.OneStop.ReportPlayer.OSRFunctions.OSRGet("GL_F_Trans","Value1")</f>
        <v>#NAME?</v>
      </c>
      <c r="Q13" s="3"/>
      <c r="R13" s="19"/>
      <c r="S13" s="3"/>
      <c r="T13" s="3" t="e">
        <f ca="1">_xll.OneStop.ReportPlayer.OSRFunctions.OSRGet("GL_F_Trans","Value1")</f>
        <v>#NAME?</v>
      </c>
      <c r="U13" s="3"/>
      <c r="V13" s="19"/>
      <c r="W13" s="3"/>
      <c r="X13" s="3" t="e">
        <f t="shared" ca="1" si="2"/>
        <v>#NAME?</v>
      </c>
      <c r="Y13" s="3"/>
      <c r="Z13" s="19" t="e">
        <f t="shared" ca="1" si="3"/>
        <v>#NAME?</v>
      </c>
    </row>
    <row r="14" spans="1:26" x14ac:dyDescent="0.3">
      <c r="A14" s="9"/>
      <c r="B14" s="10"/>
      <c r="C14" s="9"/>
      <c r="D14" s="2"/>
      <c r="E14" s="2"/>
      <c r="F14" s="6"/>
      <c r="G14" s="2"/>
      <c r="H14" s="2"/>
      <c r="I14" s="2"/>
      <c r="J14" s="6"/>
      <c r="K14" s="2"/>
      <c r="L14" s="2"/>
      <c r="M14" s="2"/>
      <c r="N14" s="6"/>
      <c r="P14" s="2"/>
      <c r="Q14" s="2"/>
      <c r="R14" s="6"/>
      <c r="S14" s="2"/>
      <c r="T14" s="2"/>
      <c r="U14" s="2"/>
      <c r="V14" s="6"/>
      <c r="W14" s="2"/>
      <c r="X14" s="2"/>
      <c r="Y14" s="2"/>
      <c r="Z14" s="6"/>
    </row>
    <row r="15" spans="1:26" s="23" customFormat="1" collapsed="1" x14ac:dyDescent="0.3">
      <c r="A15" s="10"/>
      <c r="B15" s="25" t="s">
        <v>257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3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3" t="e">
        <f ca="1">_xll.OneStop.ReportPlayer.OSRFunctions.OSRGet("GL_F_Trans","Value1")</f>
        <v>#NAME?</v>
      </c>
      <c r="E16" s="3"/>
      <c r="F16" s="19" t="e">
        <f t="shared" ca="1" si="4"/>
        <v>#NAME?</v>
      </c>
      <c r="G16" s="3"/>
      <c r="H16" s="3" t="e">
        <f ca="1">_xll.OneStop.ReportPlayer.OSRFunctions.OSRGet("GL_F_Trans","Value1")</f>
        <v>#NAME?</v>
      </c>
      <c r="I16" s="3"/>
      <c r="J16" s="19" t="e">
        <f t="shared" ca="1" si="5"/>
        <v>#NAME?</v>
      </c>
      <c r="K16" s="3"/>
      <c r="L16" s="3" t="e">
        <f t="shared" ca="1" si="6"/>
        <v>#NAME?</v>
      </c>
      <c r="M16" s="3"/>
      <c r="N16" s="19" t="e">
        <f t="shared" ca="1" si="7"/>
        <v>#NAME?</v>
      </c>
      <c r="O16" s="11"/>
      <c r="P16" s="3" t="e">
        <f ca="1">_xll.OneStop.ReportPlayer.OSRFunctions.OSRGet("GL_F_Trans","Value1")</f>
        <v>#NAME?</v>
      </c>
      <c r="Q16" s="3"/>
      <c r="R16" s="19" t="e">
        <f t="shared" ca="1" si="8"/>
        <v>#NAME?</v>
      </c>
      <c r="S16" s="3"/>
      <c r="T16" s="3" t="e">
        <f ca="1">_xll.OneStop.ReportPlayer.OSRFunctions.OSRGet("GL_F_Trans","Value1")</f>
        <v>#NAME?</v>
      </c>
      <c r="U16" s="3"/>
      <c r="V16" s="19" t="e">
        <f t="shared" ca="1" si="9"/>
        <v>#NAME?</v>
      </c>
      <c r="W16" s="3"/>
      <c r="X16" s="3" t="e">
        <f t="shared" ca="1" si="10"/>
        <v>#NAME?</v>
      </c>
      <c r="Y16" s="3"/>
      <c r="Z16" s="19" t="e">
        <f t="shared" ca="1" si="11"/>
        <v>#NAME?</v>
      </c>
    </row>
    <row r="17" spans="1:26" x14ac:dyDescent="0.3">
      <c r="A17" s="9"/>
      <c r="B17" s="10"/>
      <c r="C17" s="10"/>
      <c r="D17" s="2"/>
      <c r="E17" s="2"/>
      <c r="F17" s="6"/>
      <c r="G17" s="2"/>
      <c r="H17" s="2"/>
      <c r="I17" s="2"/>
      <c r="J17" s="6"/>
      <c r="K17" s="2"/>
      <c r="L17" s="2"/>
      <c r="M17" s="2"/>
      <c r="N17" s="6"/>
      <c r="O17" s="10"/>
      <c r="P17" s="2"/>
      <c r="Q17" s="2"/>
      <c r="R17" s="6"/>
      <c r="S17" s="2"/>
      <c r="T17" s="2"/>
      <c r="U17" s="2"/>
      <c r="V17" s="6"/>
      <c r="W17" s="2"/>
      <c r="X17" s="2"/>
      <c r="Y17" s="2"/>
      <c r="Z17" s="6"/>
    </row>
    <row r="18" spans="1:26" s="23" customFormat="1" x14ac:dyDescent="0.3">
      <c r="A18" s="10"/>
      <c r="B18" s="26" t="s">
        <v>108</v>
      </c>
      <c r="C18" s="26"/>
      <c r="D18" s="21" t="e">
        <f ca="1">D12-D15</f>
        <v>#NAME?</v>
      </c>
      <c r="E18" s="13"/>
      <c r="F18" s="22" t="e">
        <f ca="1">IF(D$12=0,0,D18/D$12)</f>
        <v>#NAME?</v>
      </c>
      <c r="G18" s="13"/>
      <c r="H18" s="21" t="e">
        <f ca="1">H12-H15</f>
        <v>#NAME?</v>
      </c>
      <c r="I18" s="13"/>
      <c r="J18" s="22" t="e">
        <f ca="1">IF(H$12=0,0,H18/H$12)</f>
        <v>#NAME?</v>
      </c>
      <c r="K18" s="16"/>
      <c r="L18" s="21" t="e">
        <f ca="1">+D18-H18</f>
        <v>#NAME?</v>
      </c>
      <c r="M18" s="16"/>
      <c r="N18" s="22" t="e">
        <f ca="1">IF(H18=0,0,L18/H18)</f>
        <v>#NAME?</v>
      </c>
      <c r="O18" s="25"/>
      <c r="P18" s="21" t="e">
        <f ca="1">P12-P15</f>
        <v>#NAME?</v>
      </c>
      <c r="Q18" s="13"/>
      <c r="R18" s="22" t="e">
        <f ca="1">IF(P$12=0,0,P18/P$12)</f>
        <v>#NAME?</v>
      </c>
      <c r="S18" s="13"/>
      <c r="T18" s="21" t="e">
        <f ca="1">T12-T15</f>
        <v>#NAME?</v>
      </c>
      <c r="U18" s="13"/>
      <c r="V18" s="22" t="e">
        <f ca="1">IF(T$12=0,0,T18/T$12)</f>
        <v>#NAME?</v>
      </c>
      <c r="W18" s="16"/>
      <c r="X18" s="21" t="e">
        <f ca="1">+P18-T18</f>
        <v>#NAME?</v>
      </c>
      <c r="Y18" s="16"/>
      <c r="Z18" s="22" t="e">
        <f ca="1">IF(T18=0,0,X18/T18)</f>
        <v>#NAME?</v>
      </c>
    </row>
    <row r="19" spans="1:26" x14ac:dyDescent="0.3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">
      <c r="A20" s="10"/>
      <c r="B20" s="25" t="s">
        <v>295</v>
      </c>
      <c r="C20" s="10"/>
      <c r="D20" s="20" t="e">
        <f ca="1">SUM(_xll.OneStop.ReportPlayer.OSRFunctions.OSRRef(D22))</f>
        <v>#NAME?</v>
      </c>
      <c r="E20" s="20"/>
      <c r="F20" s="32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2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2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2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2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2" t="e">
        <f t="shared" ref="Z20:Z22" ca="1" si="19">IF(T20=0,0,X20/T20)</f>
        <v>#NAME?</v>
      </c>
    </row>
    <row r="21" spans="1:26" s="27" customFormat="1" outlineLevel="1" collapsed="1" x14ac:dyDescent="0.3">
      <c r="A21" s="28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3">
      <c r="A22" s="29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8" t="e">
        <f ca="1">_xll.OneStop.ReportPlayer.OSRFunctions.OSRGet("GL_F_Trans","Value1")</f>
        <v>#NAME?</v>
      </c>
      <c r="E22" s="3"/>
      <c r="F22" s="7" t="e">
        <f t="shared" ca="1" si="12"/>
        <v>#NAME?</v>
      </c>
      <c r="G22" s="3"/>
      <c r="H22" s="8" t="e">
        <f ca="1">_xll.OneStop.ReportPlayer.OSRFunctions.OSRGet("GL_F_Trans","Value1")</f>
        <v>#NAME?</v>
      </c>
      <c r="I22" s="3"/>
      <c r="J22" s="7" t="e">
        <f t="shared" ca="1" si="13"/>
        <v>#NAME?</v>
      </c>
      <c r="K22" s="3"/>
      <c r="L22" s="8" t="e">
        <f t="shared" ca="1" si="14"/>
        <v>#NAME?</v>
      </c>
      <c r="M22" s="3"/>
      <c r="N22" s="7" t="e">
        <f t="shared" ca="1" si="15"/>
        <v>#NAME?</v>
      </c>
      <c r="O22" s="11"/>
      <c r="P22" s="8" t="e">
        <f ca="1">_xll.OneStop.ReportPlayer.OSRFunctions.OSRGet("GL_F_Trans","Value1")</f>
        <v>#NAME?</v>
      </c>
      <c r="Q22" s="3"/>
      <c r="R22" s="7" t="e">
        <f t="shared" ca="1" si="16"/>
        <v>#NAME?</v>
      </c>
      <c r="S22" s="3"/>
      <c r="T22" s="8" t="e">
        <f ca="1">_xll.OneStop.ReportPlayer.OSRFunctions.OSRGet("GL_F_Trans","Value1")</f>
        <v>#NAME?</v>
      </c>
      <c r="U22" s="3"/>
      <c r="V22" s="7" t="e">
        <f t="shared" ca="1" si="17"/>
        <v>#NAME?</v>
      </c>
      <c r="W22" s="3"/>
      <c r="X22" s="8" t="e">
        <f t="shared" ca="1" si="18"/>
        <v>#NAME?</v>
      </c>
      <c r="Y22" s="3"/>
      <c r="Z22" s="7" t="e">
        <f t="shared" ca="1" si="19"/>
        <v>#NAME?</v>
      </c>
    </row>
    <row r="23" spans="1:26" s="62" customFormat="1" x14ac:dyDescent="0.3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3">
      <c r="A24" s="10"/>
      <c r="B24" s="25" t="s">
        <v>293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3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3" t="e">
        <f ca="1">-_xll.OneStop.ReportPlayer.OSRFunctions.OSRGet("GL_F_Trans","Value1")</f>
        <v>#NAME?</v>
      </c>
      <c r="E25" s="3"/>
      <c r="F25" s="19" t="e">
        <f t="shared" ca="1" si="20"/>
        <v>#NAME?</v>
      </c>
      <c r="G25" s="3"/>
      <c r="H25" s="3" t="e">
        <f ca="1">_xll.OneStop.ReportPlayer.OSRFunctions.OSRGet("GL_F_Trans","Value1")</f>
        <v>#NAME?</v>
      </c>
      <c r="I25" s="3"/>
      <c r="J25" s="19" t="e">
        <f t="shared" ca="1" si="21"/>
        <v>#NAME?</v>
      </c>
      <c r="K25" s="3"/>
      <c r="L25" s="3" t="e">
        <f t="shared" ca="1" si="22"/>
        <v>#NAME?</v>
      </c>
      <c r="M25" s="3"/>
      <c r="N25" s="19" t="e">
        <f t="shared" ca="1" si="23"/>
        <v>#NAME?</v>
      </c>
      <c r="O25" s="11"/>
      <c r="P25" s="3" t="e">
        <f ca="1">-_xll.OneStop.ReportPlayer.OSRFunctions.OSRGet("GL_F_Trans","Value1")</f>
        <v>#NAME?</v>
      </c>
      <c r="Q25" s="3"/>
      <c r="R25" s="19" t="e">
        <f t="shared" ca="1" si="24"/>
        <v>#NAME?</v>
      </c>
      <c r="S25" s="3"/>
      <c r="T25" s="3" t="e">
        <f ca="1">_xll.OneStop.ReportPlayer.OSRFunctions.OSRGet("GL_F_Trans","Value1")</f>
        <v>#NAME?</v>
      </c>
      <c r="U25" s="3"/>
      <c r="V25" s="19" t="e">
        <f t="shared" ca="1" si="25"/>
        <v>#NAME?</v>
      </c>
      <c r="W25" s="3"/>
      <c r="X25" s="3" t="e">
        <f t="shared" ca="1" si="26"/>
        <v>#NAME?</v>
      </c>
      <c r="Y25" s="3"/>
      <c r="Z25" s="19" t="e">
        <f t="shared" ca="1" si="27"/>
        <v>#NAME?</v>
      </c>
    </row>
    <row r="26" spans="1:26" x14ac:dyDescent="0.3">
      <c r="A26" s="9"/>
      <c r="B26" s="10"/>
      <c r="C26" s="10"/>
      <c r="D26" s="2"/>
      <c r="E26" s="2"/>
      <c r="F26" s="6"/>
      <c r="G26" s="2"/>
      <c r="H26" s="2"/>
      <c r="I26" s="2"/>
      <c r="J26" s="6"/>
      <c r="K26" s="2"/>
      <c r="L26" s="2"/>
      <c r="M26" s="2"/>
      <c r="N26" s="6"/>
      <c r="O26" s="10"/>
      <c r="P26" s="2"/>
      <c r="Q26" s="2"/>
      <c r="R26" s="6"/>
      <c r="S26" s="2"/>
      <c r="T26" s="2"/>
      <c r="U26" s="2"/>
      <c r="V26" s="6"/>
      <c r="W26" s="2"/>
      <c r="X26" s="2"/>
      <c r="Y26" s="2"/>
      <c r="Z26" s="6"/>
    </row>
    <row r="27" spans="1:26" s="23" customFormat="1" x14ac:dyDescent="0.3">
      <c r="A27" s="10"/>
      <c r="B27" s="26" t="s">
        <v>277</v>
      </c>
      <c r="C27" s="26"/>
      <c r="D27" s="21" t="e">
        <f ca="1">+D18-D20+D24</f>
        <v>#NAME?</v>
      </c>
      <c r="E27" s="13"/>
      <c r="F27" s="22" t="e">
        <f ca="1">IF(D$12=0,0,D27/D$12)</f>
        <v>#NAME?</v>
      </c>
      <c r="G27" s="13"/>
      <c r="H27" s="21" t="e">
        <f ca="1">+H18-H20+H24</f>
        <v>#NAME?</v>
      </c>
      <c r="I27" s="13"/>
      <c r="J27" s="22" t="e">
        <f ca="1">IF(H$12=0,0,H27/H$12)</f>
        <v>#NAME?</v>
      </c>
      <c r="K27" s="16"/>
      <c r="L27" s="21" t="e">
        <f ca="1">+D27-H27</f>
        <v>#NAME?</v>
      </c>
      <c r="M27" s="16"/>
      <c r="N27" s="22" t="e">
        <f ca="1">IF(H27=0,0,L27/H27)</f>
        <v>#NAME?</v>
      </c>
      <c r="O27" s="25"/>
      <c r="P27" s="21" t="e">
        <f ca="1">+P18-P20+P24</f>
        <v>#NAME?</v>
      </c>
      <c r="Q27" s="13"/>
      <c r="R27" s="22" t="e">
        <f ca="1">IF(P$12=0,0,P27/P$12)</f>
        <v>#NAME?</v>
      </c>
      <c r="S27" s="13"/>
      <c r="T27" s="21" t="e">
        <f ca="1">+T18-T20+T24</f>
        <v>#NAME?</v>
      </c>
      <c r="U27" s="13"/>
      <c r="V27" s="22" t="e">
        <f ca="1">IF(T$12=0,0,T27/T$12)</f>
        <v>#NAME?</v>
      </c>
      <c r="W27" s="16"/>
      <c r="X27" s="21" t="e">
        <f ca="1">+P27-T27</f>
        <v>#NAME?</v>
      </c>
      <c r="Y27" s="16"/>
      <c r="Z27" s="22" t="e">
        <f ca="1">IF(T27=0,0,X27/T27)</f>
        <v>#NAME?</v>
      </c>
    </row>
    <row r="28" spans="1:26" x14ac:dyDescent="0.3">
      <c r="A28" s="9"/>
      <c r="B28" s="10"/>
      <c r="C28" s="9"/>
      <c r="D28" s="2"/>
      <c r="E28" s="2"/>
      <c r="F28" s="6"/>
      <c r="G28" s="2"/>
      <c r="H28" s="2"/>
      <c r="I28" s="2"/>
      <c r="J28" s="6"/>
      <c r="K28" s="2"/>
      <c r="L28" s="2"/>
      <c r="M28" s="2"/>
      <c r="N28" s="6"/>
      <c r="P28" s="2"/>
      <c r="Q28" s="2"/>
      <c r="R28" s="6"/>
      <c r="S28" s="2"/>
      <c r="T28" s="2"/>
      <c r="U28" s="2"/>
      <c r="V28" s="6"/>
      <c r="W28" s="2"/>
      <c r="X28" s="2"/>
      <c r="Y28" s="2"/>
      <c r="Z28" s="6"/>
    </row>
    <row r="29" spans="1:26" s="23" customFormat="1" x14ac:dyDescent="0.3">
      <c r="A29" s="52"/>
      <c r="B29" s="10" t="s">
        <v>128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3">
      <c r="A30" s="9"/>
      <c r="B30" s="10"/>
      <c r="C30" s="10"/>
      <c r="D30" s="2"/>
      <c r="E30" s="2"/>
      <c r="F30" s="6"/>
      <c r="G30" s="2"/>
      <c r="H30" s="2"/>
      <c r="I30" s="2"/>
      <c r="J30" s="6"/>
      <c r="K30" s="2"/>
      <c r="L30" s="2"/>
      <c r="M30" s="2"/>
      <c r="N30" s="6"/>
      <c r="O30" s="10"/>
      <c r="P30" s="2"/>
      <c r="Q30" s="2"/>
      <c r="R30" s="6"/>
      <c r="S30" s="2"/>
      <c r="T30" s="2"/>
      <c r="U30" s="2"/>
      <c r="V30" s="6"/>
      <c r="W30" s="2"/>
      <c r="X30" s="2"/>
      <c r="Y30" s="2"/>
      <c r="Z30" s="6"/>
    </row>
    <row r="31" spans="1:26" s="23" customFormat="1" ht="15" thickBot="1" x14ac:dyDescent="0.35">
      <c r="A31" s="10"/>
      <c r="B31" s="26" t="s">
        <v>126</v>
      </c>
      <c r="C31" s="26"/>
      <c r="D31" s="35" t="e">
        <f ca="1">+D27-D29</f>
        <v>#NAME?</v>
      </c>
      <c r="E31" s="13"/>
      <c r="F31" s="30" t="e">
        <f ca="1">IF(D$12=0,0,D31/D$12)</f>
        <v>#NAME?</v>
      </c>
      <c r="G31" s="13"/>
      <c r="H31" s="35" t="e">
        <f ca="1">+H27-H29</f>
        <v>#NAME?</v>
      </c>
      <c r="I31" s="13"/>
      <c r="J31" s="30" t="e">
        <f ca="1">IF(H$12=0,0,H31/H$12)</f>
        <v>#NAME?</v>
      </c>
      <c r="K31" s="16"/>
      <c r="L31" s="35" t="e">
        <f ca="1">D31-H31</f>
        <v>#NAME?</v>
      </c>
      <c r="M31" s="16"/>
      <c r="N31" s="30" t="e">
        <f ca="1">IF(H31=0,0,L31/H31)</f>
        <v>#NAME?</v>
      </c>
      <c r="O31" s="25"/>
      <c r="P31" s="35" t="e">
        <f ca="1">+P27-P29</f>
        <v>#NAME?</v>
      </c>
      <c r="Q31" s="13"/>
      <c r="R31" s="30" t="e">
        <f ca="1">IF(P$12=0,0,P31/P$12)</f>
        <v>#NAME?</v>
      </c>
      <c r="S31" s="13"/>
      <c r="T31" s="35" t="e">
        <f ca="1">+T27-T29</f>
        <v>#NAME?</v>
      </c>
      <c r="U31" s="13"/>
      <c r="V31" s="30" t="e">
        <f ca="1">IF(T$12=0,0,T31/T$12)</f>
        <v>#NAME?</v>
      </c>
      <c r="W31" s="16"/>
      <c r="X31" s="35" t="e">
        <f ca="1">P31-T31</f>
        <v>#NAME?</v>
      </c>
      <c r="Y31" s="16"/>
      <c r="Z31" s="30" t="e">
        <f ca="1">IF(T31=0,0,X31/T31)</f>
        <v>#NAME?</v>
      </c>
    </row>
    <row r="32" spans="1:26" ht="15" thickTop="1" x14ac:dyDescent="0.3">
      <c r="A32" s="9"/>
      <c r="B32" s="9"/>
      <c r="C32" s="9"/>
      <c r="D32" s="2"/>
      <c r="E32" s="2"/>
      <c r="F32" s="6"/>
      <c r="G32" s="2"/>
      <c r="H32" s="2"/>
      <c r="I32" s="2"/>
      <c r="J32" s="6"/>
      <c r="K32" s="2"/>
      <c r="L32" s="2"/>
      <c r="M32" s="2"/>
      <c r="N32" s="6"/>
      <c r="P32" s="2"/>
      <c r="Q32" s="2"/>
      <c r="R32" s="6"/>
      <c r="S32" s="2"/>
      <c r="T32" s="2"/>
      <c r="U32" s="2"/>
      <c r="V32" s="6"/>
      <c r="W32" s="2"/>
      <c r="X32" s="2"/>
      <c r="Y32" s="2"/>
      <c r="Z32" s="6"/>
    </row>
    <row r="33" spans="1:26" s="23" customFormat="1" x14ac:dyDescent="0.3">
      <c r="A33" s="52"/>
      <c r="B33" s="10" t="s">
        <v>184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3">
      <c r="A34" s="52"/>
      <c r="B34" s="10" t="s">
        <v>82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3">
      <c r="A35" s="9"/>
      <c r="B35" s="9"/>
      <c r="C35" s="9"/>
      <c r="D35" s="2"/>
      <c r="E35" s="2"/>
      <c r="F35" s="6"/>
      <c r="G35" s="2"/>
      <c r="H35" s="2"/>
      <c r="I35" s="2"/>
      <c r="J35" s="6"/>
      <c r="K35" s="2"/>
      <c r="L35" s="2"/>
      <c r="M35" s="2"/>
      <c r="N35" s="6"/>
      <c r="P35" s="2"/>
      <c r="Q35" s="2"/>
      <c r="R35" s="6"/>
      <c r="S35" s="2"/>
      <c r="T35" s="2"/>
      <c r="U35" s="2"/>
      <c r="V35" s="6"/>
      <c r="W35" s="2"/>
      <c r="X35" s="2"/>
      <c r="Y35" s="2"/>
      <c r="Z35" s="6"/>
    </row>
    <row r="36" spans="1:26" s="23" customFormat="1" ht="15" thickBot="1" x14ac:dyDescent="0.35">
      <c r="A36" s="10"/>
      <c r="B36" s="26" t="s">
        <v>294</v>
      </c>
      <c r="C36" s="26"/>
      <c r="D36" s="33" t="e">
        <f ca="1">SUM(D31:D35)</f>
        <v>#NAME?</v>
      </c>
      <c r="E36" s="13"/>
      <c r="F36" s="31" t="e">
        <f ca="1">IF(D$12=0,0,D36/D$12)</f>
        <v>#NAME?</v>
      </c>
      <c r="G36" s="13"/>
      <c r="H36" s="33" t="e">
        <f ca="1">SUM(H31:H35)</f>
        <v>#NAME?</v>
      </c>
      <c r="I36" s="13"/>
      <c r="J36" s="31" t="e">
        <f ca="1">IF(H$12=0,0,H36/H$12)</f>
        <v>#NAME?</v>
      </c>
      <c r="K36" s="16"/>
      <c r="L36" s="33" t="e">
        <f ca="1">+D36-H36</f>
        <v>#NAME?</v>
      </c>
      <c r="M36" s="16"/>
      <c r="N36" s="31" t="e">
        <f ca="1">IF(H36=0,0,L36/H36)</f>
        <v>#NAME?</v>
      </c>
      <c r="O36" s="25"/>
      <c r="P36" s="33" t="e">
        <f ca="1">SUM(P31:P35)</f>
        <v>#NAME?</v>
      </c>
      <c r="Q36" s="13"/>
      <c r="R36" s="31" t="e">
        <f ca="1">IF(P$12=0,0,P36/P$12)</f>
        <v>#NAME?</v>
      </c>
      <c r="S36" s="13"/>
      <c r="T36" s="33" t="e">
        <f ca="1">SUM(T31:T35)</f>
        <v>#NAME?</v>
      </c>
      <c r="U36" s="13"/>
      <c r="V36" s="31" t="e">
        <f ca="1">IF(T$12=0,0,T36/T$12)</f>
        <v>#NAME?</v>
      </c>
      <c r="W36" s="16"/>
      <c r="X36" s="33" t="e">
        <f ca="1">+P36-T36</f>
        <v>#NAME?</v>
      </c>
      <c r="Y36" s="16"/>
      <c r="Z36" s="31" t="e">
        <f ca="1">IF(T36=0,0,X36/T36)</f>
        <v>#NAME?</v>
      </c>
    </row>
    <row r="37" spans="1:26" ht="15" thickTop="1" x14ac:dyDescent="0.3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3">
      <c r="A38" s="9"/>
      <c r="B38" s="54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3">
      <c r="A39" s="9"/>
      <c r="B39" s="59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3">
      <c r="A40" s="9"/>
      <c r="B40" s="55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3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50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7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50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7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7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7" customWidth="1" outlineLevel="1"/>
  </cols>
  <sheetData>
    <row r="2" spans="1:26" x14ac:dyDescent="0.3">
      <c r="D2" s="57" t="s">
        <v>23</v>
      </c>
    </row>
    <row r="3" spans="1:26" x14ac:dyDescent="0.3">
      <c r="D3" s="57" t="s">
        <v>237</v>
      </c>
      <c r="E3" s="17"/>
      <c r="F3" s="51"/>
      <c r="G3" s="17"/>
      <c r="H3" s="17"/>
      <c r="I3" s="17"/>
      <c r="J3" s="39"/>
      <c r="K3" s="17"/>
      <c r="L3" s="17"/>
      <c r="M3" s="17"/>
      <c r="N3" s="51"/>
      <c r="O3" s="61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3">
      <c r="D4" s="57" t="e">
        <f ca="1">CONCATENATE("Period ",RIGHT(_xll.OneStop.ReportPlayer.OSRFunctions.OSRGet("Period","PeriodId"),2),", ",_xll.OneStop.ReportPlayer.OSRFunctions.OSRGet("Period","Year"))</f>
        <v>#NAME?</v>
      </c>
      <c r="E4" s="17"/>
      <c r="F4" s="51"/>
      <c r="G4" s="17"/>
      <c r="H4" s="17"/>
      <c r="I4" s="17"/>
      <c r="J4" s="39"/>
      <c r="K4" s="17"/>
      <c r="L4" s="17"/>
      <c r="M4" s="17"/>
      <c r="N4" s="51"/>
      <c r="O4" s="61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3">
      <c r="A5" s="23"/>
      <c r="D5" s="65" t="e">
        <f ca="1">_xll.OneStop.ReportPlayer.OSRFunctions.OSRGet("Period","PeriodEnd")</f>
        <v>#NAME?</v>
      </c>
      <c r="E5" s="17"/>
      <c r="F5" s="51"/>
      <c r="G5" s="17"/>
      <c r="H5" s="17"/>
      <c r="I5" s="17"/>
      <c r="J5" s="39"/>
      <c r="K5" s="17"/>
      <c r="L5" s="17"/>
      <c r="M5" s="17"/>
      <c r="N5" s="51"/>
      <c r="O5" s="61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3">
      <c r="A6" s="23"/>
      <c r="B6" s="47"/>
      <c r="C6" s="47"/>
      <c r="D6" s="23" t="s">
        <v>183</v>
      </c>
      <c r="E6" s="17"/>
      <c r="F6" s="51"/>
      <c r="G6" s="17"/>
      <c r="H6" s="17"/>
      <c r="I6" s="17"/>
      <c r="J6" s="39"/>
      <c r="K6" s="17"/>
      <c r="L6" s="17"/>
      <c r="M6" s="17"/>
      <c r="N6" s="51"/>
      <c r="O6" s="60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3">
      <c r="B7" s="63"/>
    </row>
    <row r="8" spans="1:26" x14ac:dyDescent="0.3">
      <c r="B8" s="63"/>
    </row>
    <row r="9" spans="1:26" x14ac:dyDescent="0.3">
      <c r="B9" s="9"/>
      <c r="C9" s="9"/>
      <c r="D9" s="15" t="s">
        <v>292</v>
      </c>
      <c r="E9" s="15"/>
      <c r="F9" s="38"/>
      <c r="G9" s="15"/>
      <c r="H9" s="15"/>
      <c r="I9" s="15"/>
      <c r="J9" s="49"/>
      <c r="K9" s="15"/>
      <c r="L9" s="15"/>
      <c r="M9" s="15"/>
      <c r="N9" s="38"/>
      <c r="P9" s="15" t="s">
        <v>39</v>
      </c>
      <c r="Q9" s="15"/>
      <c r="R9" s="38"/>
      <c r="S9" s="15"/>
      <c r="T9" s="15"/>
      <c r="U9" s="15"/>
      <c r="V9" s="49"/>
      <c r="W9" s="15"/>
      <c r="X9" s="15"/>
      <c r="Y9" s="15"/>
      <c r="Z9" s="38"/>
    </row>
    <row r="10" spans="1:26" x14ac:dyDescent="0.3">
      <c r="A10" s="10"/>
      <c r="B10" s="53"/>
      <c r="C10" s="10"/>
      <c r="D10" s="42" t="s">
        <v>57</v>
      </c>
      <c r="E10" s="34"/>
      <c r="F10" s="40" t="s">
        <v>40</v>
      </c>
      <c r="G10" s="34"/>
      <c r="H10" s="45" t="s">
        <v>238</v>
      </c>
      <c r="I10" s="34"/>
      <c r="J10" s="48" t="s">
        <v>58</v>
      </c>
      <c r="K10" s="10"/>
      <c r="L10" s="42" t="s">
        <v>127</v>
      </c>
      <c r="M10" s="10"/>
      <c r="N10" s="40" t="s">
        <v>258</v>
      </c>
      <c r="O10" s="10"/>
      <c r="P10" s="56" t="s">
        <v>57</v>
      </c>
      <c r="Q10" s="34"/>
      <c r="R10" s="40" t="s">
        <v>40</v>
      </c>
      <c r="S10" s="34"/>
      <c r="T10" s="45" t="s">
        <v>238</v>
      </c>
      <c r="U10" s="34"/>
      <c r="V10" s="48" t="s">
        <v>58</v>
      </c>
      <c r="W10" s="10"/>
      <c r="X10" s="42" t="s">
        <v>127</v>
      </c>
      <c r="Y10" s="10"/>
      <c r="Z10" s="40" t="s">
        <v>258</v>
      </c>
    </row>
    <row r="11" spans="1:26" ht="15.6" x14ac:dyDescent="0.3">
      <c r="A11" s="9"/>
      <c r="B11" s="58"/>
      <c r="C11" s="9"/>
      <c r="D11" s="9"/>
      <c r="E11" s="9"/>
      <c r="F11" s="6"/>
      <c r="G11" s="9"/>
      <c r="H11" s="9"/>
      <c r="I11" s="9"/>
      <c r="J11" s="46"/>
      <c r="K11" s="9"/>
      <c r="L11" s="9"/>
      <c r="M11" s="9"/>
      <c r="N11" s="6"/>
      <c r="P11" s="9"/>
      <c r="Q11" s="9"/>
      <c r="R11" s="6"/>
      <c r="S11" s="9"/>
      <c r="T11" s="9"/>
      <c r="U11" s="9"/>
      <c r="V11" s="46"/>
      <c r="W11" s="9"/>
      <c r="X11" s="9"/>
      <c r="Y11" s="9"/>
      <c r="Z11" s="6"/>
    </row>
    <row r="12" spans="1:26" s="23" customFormat="1" collapsed="1" x14ac:dyDescent="0.3">
      <c r="A12" s="10"/>
      <c r="B12" s="25" t="s">
        <v>140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3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3" t="e">
        <f ca="1">-_xll.OneStop.ReportPlayer.OSRFunctions.OSRGet("GL_F_Trans","Value1")</f>
        <v>#NAME?</v>
      </c>
      <c r="E13" s="3"/>
      <c r="F13" s="19"/>
      <c r="G13" s="3"/>
      <c r="H13" s="3" t="e">
        <f ca="1">_xll.OneStop.ReportPlayer.OSRFunctions.OSRGet("GL_F_Trans","Value1")</f>
        <v>#NAME?</v>
      </c>
      <c r="I13" s="3"/>
      <c r="J13" s="19"/>
      <c r="K13" s="3"/>
      <c r="L13" s="3" t="e">
        <f t="shared" ca="1" si="0"/>
        <v>#NAME?</v>
      </c>
      <c r="M13" s="3"/>
      <c r="N13" s="19" t="e">
        <f t="shared" ca="1" si="1"/>
        <v>#NAME?</v>
      </c>
      <c r="O13" s="11"/>
      <c r="P13" s="3" t="e">
        <f ca="1">-_xll.OneStop.ReportPlayer.OSRFunctions.OSRGet("GL_F_Trans","Value1")</f>
        <v>#NAME?</v>
      </c>
      <c r="Q13" s="3"/>
      <c r="R13" s="19"/>
      <c r="S13" s="3"/>
      <c r="T13" s="3" t="e">
        <f ca="1">_xll.OneStop.ReportPlayer.OSRFunctions.OSRGet("GL_F_Trans","Value1")</f>
        <v>#NAME?</v>
      </c>
      <c r="U13" s="3"/>
      <c r="V13" s="19"/>
      <c r="W13" s="3"/>
      <c r="X13" s="3" t="e">
        <f t="shared" ca="1" si="2"/>
        <v>#NAME?</v>
      </c>
      <c r="Y13" s="3"/>
      <c r="Z13" s="19" t="e">
        <f t="shared" ca="1" si="3"/>
        <v>#NAME?</v>
      </c>
    </row>
    <row r="14" spans="1:26" x14ac:dyDescent="0.3">
      <c r="A14" s="9"/>
      <c r="B14" s="10"/>
      <c r="C14" s="9"/>
      <c r="D14" s="2"/>
      <c r="E14" s="2"/>
      <c r="F14" s="6"/>
      <c r="G14" s="2"/>
      <c r="H14" s="2"/>
      <c r="I14" s="2"/>
      <c r="J14" s="6"/>
      <c r="K14" s="2"/>
      <c r="L14" s="2"/>
      <c r="M14" s="2"/>
      <c r="N14" s="6"/>
      <c r="P14" s="2"/>
      <c r="Q14" s="2"/>
      <c r="R14" s="6"/>
      <c r="S14" s="2"/>
      <c r="T14" s="2"/>
      <c r="U14" s="2"/>
      <c r="V14" s="6"/>
      <c r="W14" s="2"/>
      <c r="X14" s="2"/>
      <c r="Y14" s="2"/>
      <c r="Z14" s="6"/>
    </row>
    <row r="15" spans="1:26" s="23" customFormat="1" collapsed="1" x14ac:dyDescent="0.3">
      <c r="A15" s="10"/>
      <c r="B15" s="25" t="s">
        <v>257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3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3" t="e">
        <f ca="1">_xll.OneStop.ReportPlayer.OSRFunctions.OSRGet("GL_F_Trans","Value1")</f>
        <v>#NAME?</v>
      </c>
      <c r="E16" s="3"/>
      <c r="F16" s="19" t="e">
        <f t="shared" ca="1" si="4"/>
        <v>#NAME?</v>
      </c>
      <c r="G16" s="3"/>
      <c r="H16" s="3" t="e">
        <f ca="1">_xll.OneStop.ReportPlayer.OSRFunctions.OSRGet("GL_F_Trans","Value1")</f>
        <v>#NAME?</v>
      </c>
      <c r="I16" s="3"/>
      <c r="J16" s="19" t="e">
        <f t="shared" ca="1" si="5"/>
        <v>#NAME?</v>
      </c>
      <c r="K16" s="3"/>
      <c r="L16" s="3" t="e">
        <f t="shared" ca="1" si="6"/>
        <v>#NAME?</v>
      </c>
      <c r="M16" s="3"/>
      <c r="N16" s="19" t="e">
        <f t="shared" ca="1" si="7"/>
        <v>#NAME?</v>
      </c>
      <c r="O16" s="11"/>
      <c r="P16" s="3" t="e">
        <f ca="1">_xll.OneStop.ReportPlayer.OSRFunctions.OSRGet("GL_F_Trans","Value1")</f>
        <v>#NAME?</v>
      </c>
      <c r="Q16" s="3"/>
      <c r="R16" s="19" t="e">
        <f t="shared" ca="1" si="8"/>
        <v>#NAME?</v>
      </c>
      <c r="S16" s="3"/>
      <c r="T16" s="3" t="e">
        <f ca="1">_xll.OneStop.ReportPlayer.OSRFunctions.OSRGet("GL_F_Trans","Value1")</f>
        <v>#NAME?</v>
      </c>
      <c r="U16" s="3"/>
      <c r="V16" s="19" t="e">
        <f t="shared" ca="1" si="9"/>
        <v>#NAME?</v>
      </c>
      <c r="W16" s="3"/>
      <c r="X16" s="3" t="e">
        <f t="shared" ca="1" si="10"/>
        <v>#NAME?</v>
      </c>
      <c r="Y16" s="3"/>
      <c r="Z16" s="19" t="e">
        <f t="shared" ca="1" si="11"/>
        <v>#NAME?</v>
      </c>
    </row>
    <row r="17" spans="1:26" x14ac:dyDescent="0.3">
      <c r="A17" s="9"/>
      <c r="B17" s="10"/>
      <c r="C17" s="10"/>
      <c r="D17" s="2"/>
      <c r="E17" s="2"/>
      <c r="F17" s="6"/>
      <c r="G17" s="2"/>
      <c r="H17" s="2"/>
      <c r="I17" s="2"/>
      <c r="J17" s="6"/>
      <c r="K17" s="2"/>
      <c r="L17" s="2"/>
      <c r="M17" s="2"/>
      <c r="N17" s="6"/>
      <c r="O17" s="10"/>
      <c r="P17" s="2"/>
      <c r="Q17" s="2"/>
      <c r="R17" s="6"/>
      <c r="S17" s="2"/>
      <c r="T17" s="2"/>
      <c r="U17" s="2"/>
      <c r="V17" s="6"/>
      <c r="W17" s="2"/>
      <c r="X17" s="2"/>
      <c r="Y17" s="2"/>
      <c r="Z17" s="6"/>
    </row>
    <row r="18" spans="1:26" s="23" customFormat="1" x14ac:dyDescent="0.3">
      <c r="A18" s="10"/>
      <c r="B18" s="26" t="s">
        <v>108</v>
      </c>
      <c r="C18" s="26"/>
      <c r="D18" s="21" t="e">
        <f ca="1">D12-D15</f>
        <v>#NAME?</v>
      </c>
      <c r="E18" s="13"/>
      <c r="F18" s="22" t="e">
        <f ca="1">IF(D$12=0,0,D18/D$12)</f>
        <v>#NAME?</v>
      </c>
      <c r="G18" s="13"/>
      <c r="H18" s="21" t="e">
        <f ca="1">H12-H15</f>
        <v>#NAME?</v>
      </c>
      <c r="I18" s="13"/>
      <c r="J18" s="22" t="e">
        <f ca="1">IF(H$12=0,0,H18/H$12)</f>
        <v>#NAME?</v>
      </c>
      <c r="K18" s="16"/>
      <c r="L18" s="21" t="e">
        <f ca="1">+D18-H18</f>
        <v>#NAME?</v>
      </c>
      <c r="M18" s="16"/>
      <c r="N18" s="22" t="e">
        <f ca="1">IF(H18=0,0,L18/H18)</f>
        <v>#NAME?</v>
      </c>
      <c r="O18" s="25"/>
      <c r="P18" s="21" t="e">
        <f ca="1">P12-P15</f>
        <v>#NAME?</v>
      </c>
      <c r="Q18" s="13"/>
      <c r="R18" s="22" t="e">
        <f ca="1">IF(P$12=0,0,P18/P$12)</f>
        <v>#NAME?</v>
      </c>
      <c r="S18" s="13"/>
      <c r="T18" s="21" t="e">
        <f ca="1">T12-T15</f>
        <v>#NAME?</v>
      </c>
      <c r="U18" s="13"/>
      <c r="V18" s="22" t="e">
        <f ca="1">IF(T$12=0,0,T18/T$12)</f>
        <v>#NAME?</v>
      </c>
      <c r="W18" s="16"/>
      <c r="X18" s="21" t="e">
        <f ca="1">+P18-T18</f>
        <v>#NAME?</v>
      </c>
      <c r="Y18" s="16"/>
      <c r="Z18" s="22" t="e">
        <f ca="1">IF(T18=0,0,X18/T18)</f>
        <v>#NAME?</v>
      </c>
    </row>
    <row r="19" spans="1:26" x14ac:dyDescent="0.3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">
      <c r="A20" s="10"/>
      <c r="B20" s="25" t="s">
        <v>295</v>
      </c>
      <c r="C20" s="10"/>
      <c r="D20" s="20" t="e">
        <f ca="1">SUM(_xll.OneStop.ReportPlayer.OSRFunctions.OSRRef(D22))</f>
        <v>#NAME?</v>
      </c>
      <c r="E20" s="20"/>
      <c r="F20" s="32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2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2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2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2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2" t="e">
        <f t="shared" ref="Z20:Z22" ca="1" si="19">IF(T20=0,0,X20/T20)</f>
        <v>#NAME?</v>
      </c>
    </row>
    <row r="21" spans="1:26" s="27" customFormat="1" outlineLevel="1" collapsed="1" x14ac:dyDescent="0.3">
      <c r="A21" s="28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3">
      <c r="A22" s="29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8" t="e">
        <f ca="1">_xll.OneStop.ReportPlayer.OSRFunctions.OSRGet("GL_F_Trans","Value1")</f>
        <v>#NAME?</v>
      </c>
      <c r="E22" s="3"/>
      <c r="F22" s="7" t="e">
        <f t="shared" ca="1" si="12"/>
        <v>#NAME?</v>
      </c>
      <c r="G22" s="3"/>
      <c r="H22" s="8" t="e">
        <f ca="1">_xll.OneStop.ReportPlayer.OSRFunctions.OSRGet("GL_F_Trans","Value1")</f>
        <v>#NAME?</v>
      </c>
      <c r="I22" s="3"/>
      <c r="J22" s="7" t="e">
        <f t="shared" ca="1" si="13"/>
        <v>#NAME?</v>
      </c>
      <c r="K22" s="3"/>
      <c r="L22" s="8" t="e">
        <f t="shared" ca="1" si="14"/>
        <v>#NAME?</v>
      </c>
      <c r="M22" s="3"/>
      <c r="N22" s="7" t="e">
        <f t="shared" ca="1" si="15"/>
        <v>#NAME?</v>
      </c>
      <c r="O22" s="11"/>
      <c r="P22" s="8" t="e">
        <f ca="1">_xll.OneStop.ReportPlayer.OSRFunctions.OSRGet("GL_F_Trans","Value1")</f>
        <v>#NAME?</v>
      </c>
      <c r="Q22" s="3"/>
      <c r="R22" s="7" t="e">
        <f t="shared" ca="1" si="16"/>
        <v>#NAME?</v>
      </c>
      <c r="S22" s="3"/>
      <c r="T22" s="8" t="e">
        <f ca="1">_xll.OneStop.ReportPlayer.OSRFunctions.OSRGet("GL_F_Trans","Value1")</f>
        <v>#NAME?</v>
      </c>
      <c r="U22" s="3"/>
      <c r="V22" s="7" t="e">
        <f t="shared" ca="1" si="17"/>
        <v>#NAME?</v>
      </c>
      <c r="W22" s="3"/>
      <c r="X22" s="8" t="e">
        <f t="shared" ca="1" si="18"/>
        <v>#NAME?</v>
      </c>
      <c r="Y22" s="3"/>
      <c r="Z22" s="7" t="e">
        <f t="shared" ca="1" si="19"/>
        <v>#NAME?</v>
      </c>
    </row>
    <row r="23" spans="1:26" s="62" customFormat="1" x14ac:dyDescent="0.3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3">
      <c r="A24" s="10"/>
      <c r="B24" s="25" t="s">
        <v>293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3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3" t="e">
        <f ca="1">-_xll.OneStop.ReportPlayer.OSRFunctions.OSRGet("GL_F_Trans","Value1")</f>
        <v>#NAME?</v>
      </c>
      <c r="E25" s="3"/>
      <c r="F25" s="19" t="e">
        <f t="shared" ca="1" si="20"/>
        <v>#NAME?</v>
      </c>
      <c r="G25" s="3"/>
      <c r="H25" s="3" t="e">
        <f ca="1">_xll.OneStop.ReportPlayer.OSRFunctions.OSRGet("GL_F_Trans","Value1")</f>
        <v>#NAME?</v>
      </c>
      <c r="I25" s="3"/>
      <c r="J25" s="19" t="e">
        <f t="shared" ca="1" si="21"/>
        <v>#NAME?</v>
      </c>
      <c r="K25" s="3"/>
      <c r="L25" s="3" t="e">
        <f t="shared" ca="1" si="22"/>
        <v>#NAME?</v>
      </c>
      <c r="M25" s="3"/>
      <c r="N25" s="19" t="e">
        <f t="shared" ca="1" si="23"/>
        <v>#NAME?</v>
      </c>
      <c r="O25" s="11"/>
      <c r="P25" s="3" t="e">
        <f ca="1">-_xll.OneStop.ReportPlayer.OSRFunctions.OSRGet("GL_F_Trans","Value1")</f>
        <v>#NAME?</v>
      </c>
      <c r="Q25" s="3"/>
      <c r="R25" s="19" t="e">
        <f t="shared" ca="1" si="24"/>
        <v>#NAME?</v>
      </c>
      <c r="S25" s="3"/>
      <c r="T25" s="3" t="e">
        <f ca="1">_xll.OneStop.ReportPlayer.OSRFunctions.OSRGet("GL_F_Trans","Value1")</f>
        <v>#NAME?</v>
      </c>
      <c r="U25" s="3"/>
      <c r="V25" s="19" t="e">
        <f t="shared" ca="1" si="25"/>
        <v>#NAME?</v>
      </c>
      <c r="W25" s="3"/>
      <c r="X25" s="3" t="e">
        <f t="shared" ca="1" si="26"/>
        <v>#NAME?</v>
      </c>
      <c r="Y25" s="3"/>
      <c r="Z25" s="19" t="e">
        <f t="shared" ca="1" si="27"/>
        <v>#NAME?</v>
      </c>
    </row>
    <row r="26" spans="1:26" x14ac:dyDescent="0.3">
      <c r="A26" s="9"/>
      <c r="B26" s="10"/>
      <c r="C26" s="10"/>
      <c r="D26" s="2"/>
      <c r="E26" s="2"/>
      <c r="F26" s="6"/>
      <c r="G26" s="2"/>
      <c r="H26" s="2"/>
      <c r="I26" s="2"/>
      <c r="J26" s="6"/>
      <c r="K26" s="2"/>
      <c r="L26" s="2"/>
      <c r="M26" s="2"/>
      <c r="N26" s="6"/>
      <c r="O26" s="10"/>
      <c r="P26" s="2"/>
      <c r="Q26" s="2"/>
      <c r="R26" s="6"/>
      <c r="S26" s="2"/>
      <c r="T26" s="2"/>
      <c r="U26" s="2"/>
      <c r="V26" s="6"/>
      <c r="W26" s="2"/>
      <c r="X26" s="2"/>
      <c r="Y26" s="2"/>
      <c r="Z26" s="6"/>
    </row>
    <row r="27" spans="1:26" s="23" customFormat="1" x14ac:dyDescent="0.3">
      <c r="A27" s="10"/>
      <c r="B27" s="26" t="s">
        <v>277</v>
      </c>
      <c r="C27" s="26"/>
      <c r="D27" s="21" t="e">
        <f ca="1">+D18-D20+D24</f>
        <v>#NAME?</v>
      </c>
      <c r="E27" s="13"/>
      <c r="F27" s="22" t="e">
        <f ca="1">IF(D$12=0,0,D27/D$12)</f>
        <v>#NAME?</v>
      </c>
      <c r="G27" s="13"/>
      <c r="H27" s="21" t="e">
        <f ca="1">+H18-H20+H24</f>
        <v>#NAME?</v>
      </c>
      <c r="I27" s="13"/>
      <c r="J27" s="22" t="e">
        <f ca="1">IF(H$12=0,0,H27/H$12)</f>
        <v>#NAME?</v>
      </c>
      <c r="K27" s="16"/>
      <c r="L27" s="21" t="e">
        <f ca="1">+D27-H27</f>
        <v>#NAME?</v>
      </c>
      <c r="M27" s="16"/>
      <c r="N27" s="22" t="e">
        <f ca="1">IF(H27=0,0,L27/H27)</f>
        <v>#NAME?</v>
      </c>
      <c r="O27" s="25"/>
      <c r="P27" s="21" t="e">
        <f ca="1">+P18-P20+P24</f>
        <v>#NAME?</v>
      </c>
      <c r="Q27" s="13"/>
      <c r="R27" s="22" t="e">
        <f ca="1">IF(P$12=0,0,P27/P$12)</f>
        <v>#NAME?</v>
      </c>
      <c r="S27" s="13"/>
      <c r="T27" s="21" t="e">
        <f ca="1">+T18-T20+T24</f>
        <v>#NAME?</v>
      </c>
      <c r="U27" s="13"/>
      <c r="V27" s="22" t="e">
        <f ca="1">IF(T$12=0,0,T27/T$12)</f>
        <v>#NAME?</v>
      </c>
      <c r="W27" s="16"/>
      <c r="X27" s="21" t="e">
        <f ca="1">+P27-T27</f>
        <v>#NAME?</v>
      </c>
      <c r="Y27" s="16"/>
      <c r="Z27" s="22" t="e">
        <f ca="1">IF(T27=0,0,X27/T27)</f>
        <v>#NAME?</v>
      </c>
    </row>
    <row r="28" spans="1:26" x14ac:dyDescent="0.3">
      <c r="A28" s="9"/>
      <c r="B28" s="10"/>
      <c r="C28" s="9"/>
      <c r="D28" s="2"/>
      <c r="E28" s="2"/>
      <c r="F28" s="6"/>
      <c r="G28" s="2"/>
      <c r="H28" s="2"/>
      <c r="I28" s="2"/>
      <c r="J28" s="6"/>
      <c r="K28" s="2"/>
      <c r="L28" s="2"/>
      <c r="M28" s="2"/>
      <c r="N28" s="6"/>
      <c r="P28" s="2"/>
      <c r="Q28" s="2"/>
      <c r="R28" s="6"/>
      <c r="S28" s="2"/>
      <c r="T28" s="2"/>
      <c r="U28" s="2"/>
      <c r="V28" s="6"/>
      <c r="W28" s="2"/>
      <c r="X28" s="2"/>
      <c r="Y28" s="2"/>
      <c r="Z28" s="6"/>
    </row>
    <row r="29" spans="1:26" s="23" customFormat="1" x14ac:dyDescent="0.3">
      <c r="A29" s="52"/>
      <c r="B29" s="10" t="s">
        <v>128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3">
      <c r="A30" s="9"/>
      <c r="B30" s="10"/>
      <c r="C30" s="10"/>
      <c r="D30" s="2"/>
      <c r="E30" s="2"/>
      <c r="F30" s="6"/>
      <c r="G30" s="2"/>
      <c r="H30" s="2"/>
      <c r="I30" s="2"/>
      <c r="J30" s="6"/>
      <c r="K30" s="2"/>
      <c r="L30" s="2"/>
      <c r="M30" s="2"/>
      <c r="N30" s="6"/>
      <c r="O30" s="10"/>
      <c r="P30" s="2"/>
      <c r="Q30" s="2"/>
      <c r="R30" s="6"/>
      <c r="S30" s="2"/>
      <c r="T30" s="2"/>
      <c r="U30" s="2"/>
      <c r="V30" s="6"/>
      <c r="W30" s="2"/>
      <c r="X30" s="2"/>
      <c r="Y30" s="2"/>
      <c r="Z30" s="6"/>
    </row>
    <row r="31" spans="1:26" s="23" customFormat="1" ht="15" thickBot="1" x14ac:dyDescent="0.35">
      <c r="A31" s="10"/>
      <c r="B31" s="26" t="s">
        <v>126</v>
      </c>
      <c r="C31" s="26"/>
      <c r="D31" s="35" t="e">
        <f ca="1">+D27-D29</f>
        <v>#NAME?</v>
      </c>
      <c r="E31" s="13"/>
      <c r="F31" s="30" t="e">
        <f ca="1">IF(D$12=0,0,D31/D$12)</f>
        <v>#NAME?</v>
      </c>
      <c r="G31" s="13"/>
      <c r="H31" s="35" t="e">
        <f ca="1">+H27-H29</f>
        <v>#NAME?</v>
      </c>
      <c r="I31" s="13"/>
      <c r="J31" s="30" t="e">
        <f ca="1">IF(H$12=0,0,H31/H$12)</f>
        <v>#NAME?</v>
      </c>
      <c r="K31" s="16"/>
      <c r="L31" s="35" t="e">
        <f ca="1">D31-H31</f>
        <v>#NAME?</v>
      </c>
      <c r="M31" s="16"/>
      <c r="N31" s="30" t="e">
        <f ca="1">IF(H31=0,0,L31/H31)</f>
        <v>#NAME?</v>
      </c>
      <c r="O31" s="25"/>
      <c r="P31" s="35" t="e">
        <f ca="1">+P27-P29</f>
        <v>#NAME?</v>
      </c>
      <c r="Q31" s="13"/>
      <c r="R31" s="30" t="e">
        <f ca="1">IF(P$12=0,0,P31/P$12)</f>
        <v>#NAME?</v>
      </c>
      <c r="S31" s="13"/>
      <c r="T31" s="35" t="e">
        <f ca="1">+T27-T29</f>
        <v>#NAME?</v>
      </c>
      <c r="U31" s="13"/>
      <c r="V31" s="30" t="e">
        <f ca="1">IF(T$12=0,0,T31/T$12)</f>
        <v>#NAME?</v>
      </c>
      <c r="W31" s="16"/>
      <c r="X31" s="35" t="e">
        <f ca="1">P31-T31</f>
        <v>#NAME?</v>
      </c>
      <c r="Y31" s="16"/>
      <c r="Z31" s="30" t="e">
        <f ca="1">IF(T31=0,0,X31/T31)</f>
        <v>#NAME?</v>
      </c>
    </row>
    <row r="32" spans="1:26" ht="15" thickTop="1" x14ac:dyDescent="0.3">
      <c r="A32" s="9"/>
      <c r="B32" s="9"/>
      <c r="C32" s="9"/>
      <c r="D32" s="2"/>
      <c r="E32" s="2"/>
      <c r="F32" s="6"/>
      <c r="G32" s="2"/>
      <c r="H32" s="2"/>
      <c r="I32" s="2"/>
      <c r="J32" s="6"/>
      <c r="K32" s="2"/>
      <c r="L32" s="2"/>
      <c r="M32" s="2"/>
      <c r="N32" s="6"/>
      <c r="P32" s="2"/>
      <c r="Q32" s="2"/>
      <c r="R32" s="6"/>
      <c r="S32" s="2"/>
      <c r="T32" s="2"/>
      <c r="U32" s="2"/>
      <c r="V32" s="6"/>
      <c r="W32" s="2"/>
      <c r="X32" s="2"/>
      <c r="Y32" s="2"/>
      <c r="Z32" s="6"/>
    </row>
    <row r="33" spans="1:26" s="23" customFormat="1" x14ac:dyDescent="0.3">
      <c r="A33" s="52"/>
      <c r="B33" s="10" t="s">
        <v>184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3">
      <c r="A34" s="52"/>
      <c r="B34" s="10" t="s">
        <v>82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3">
      <c r="A35" s="9"/>
      <c r="B35" s="9"/>
      <c r="C35" s="9"/>
      <c r="D35" s="2"/>
      <c r="E35" s="2"/>
      <c r="F35" s="6"/>
      <c r="G35" s="2"/>
      <c r="H35" s="2"/>
      <c r="I35" s="2"/>
      <c r="J35" s="6"/>
      <c r="K35" s="2"/>
      <c r="L35" s="2"/>
      <c r="M35" s="2"/>
      <c r="N35" s="6"/>
      <c r="P35" s="2"/>
      <c r="Q35" s="2"/>
      <c r="R35" s="6"/>
      <c r="S35" s="2"/>
      <c r="T35" s="2"/>
      <c r="U35" s="2"/>
      <c r="V35" s="6"/>
      <c r="W35" s="2"/>
      <c r="X35" s="2"/>
      <c r="Y35" s="2"/>
      <c r="Z35" s="6"/>
    </row>
    <row r="36" spans="1:26" s="23" customFormat="1" ht="15" thickBot="1" x14ac:dyDescent="0.35">
      <c r="A36" s="10"/>
      <c r="B36" s="26" t="s">
        <v>294</v>
      </c>
      <c r="C36" s="26"/>
      <c r="D36" s="33" t="e">
        <f ca="1">SUM(D31:D35)</f>
        <v>#NAME?</v>
      </c>
      <c r="E36" s="13"/>
      <c r="F36" s="31" t="e">
        <f ca="1">IF(D$12=0,0,D36/D$12)</f>
        <v>#NAME?</v>
      </c>
      <c r="G36" s="13"/>
      <c r="H36" s="33" t="e">
        <f ca="1">SUM(H31:H35)</f>
        <v>#NAME?</v>
      </c>
      <c r="I36" s="13"/>
      <c r="J36" s="31" t="e">
        <f ca="1">IF(H$12=0,0,H36/H$12)</f>
        <v>#NAME?</v>
      </c>
      <c r="K36" s="16"/>
      <c r="L36" s="33" t="e">
        <f ca="1">+D36-H36</f>
        <v>#NAME?</v>
      </c>
      <c r="M36" s="16"/>
      <c r="N36" s="31" t="e">
        <f ca="1">IF(H36=0,0,L36/H36)</f>
        <v>#NAME?</v>
      </c>
      <c r="O36" s="25"/>
      <c r="P36" s="33" t="e">
        <f ca="1">SUM(P31:P35)</f>
        <v>#NAME?</v>
      </c>
      <c r="Q36" s="13"/>
      <c r="R36" s="31" t="e">
        <f ca="1">IF(P$12=0,0,P36/P$12)</f>
        <v>#NAME?</v>
      </c>
      <c r="S36" s="13"/>
      <c r="T36" s="33" t="e">
        <f ca="1">SUM(T31:T35)</f>
        <v>#NAME?</v>
      </c>
      <c r="U36" s="13"/>
      <c r="V36" s="31" t="e">
        <f ca="1">IF(T$12=0,0,T36/T$12)</f>
        <v>#NAME?</v>
      </c>
      <c r="W36" s="16"/>
      <c r="X36" s="33" t="e">
        <f ca="1">+P36-T36</f>
        <v>#NAME?</v>
      </c>
      <c r="Y36" s="16"/>
      <c r="Z36" s="31" t="e">
        <f ca="1">IF(T36=0,0,X36/T36)</f>
        <v>#NAME?</v>
      </c>
    </row>
    <row r="37" spans="1:26" ht="15" thickTop="1" x14ac:dyDescent="0.3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3">
      <c r="A38" s="9"/>
      <c r="B38" s="54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3">
      <c r="A39" s="9"/>
      <c r="B39" s="59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3">
      <c r="A40" s="9"/>
      <c r="B40" s="55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3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50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7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50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7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7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7" customWidth="1" outlineLevel="1"/>
  </cols>
  <sheetData>
    <row r="2" spans="1:26" x14ac:dyDescent="0.3">
      <c r="D2" s="57" t="s">
        <v>23</v>
      </c>
    </row>
    <row r="3" spans="1:26" x14ac:dyDescent="0.3">
      <c r="D3" s="57" t="s">
        <v>237</v>
      </c>
      <c r="E3" s="17"/>
      <c r="F3" s="51"/>
      <c r="G3" s="17"/>
      <c r="H3" s="17"/>
      <c r="I3" s="17"/>
      <c r="J3" s="39"/>
      <c r="K3" s="17"/>
      <c r="L3" s="17"/>
      <c r="M3" s="17"/>
      <c r="N3" s="51"/>
      <c r="O3" s="61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3">
      <c r="D4" s="57" t="e">
        <f ca="1">CONCATENATE("Period ",RIGHT(_xll.OneStop.ReportPlayer.OSRFunctions.OSRGet("Period","PeriodId"),2),", ",_xll.OneStop.ReportPlayer.OSRFunctions.OSRGet("Period","Year"))</f>
        <v>#NAME?</v>
      </c>
      <c r="E4" s="17"/>
      <c r="F4" s="51"/>
      <c r="G4" s="17"/>
      <c r="H4" s="17"/>
      <c r="I4" s="17"/>
      <c r="J4" s="39"/>
      <c r="K4" s="17"/>
      <c r="L4" s="17"/>
      <c r="M4" s="17"/>
      <c r="N4" s="51"/>
      <c r="O4" s="61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3">
      <c r="A5" s="23"/>
      <c r="D5" s="65" t="e">
        <f ca="1">_xll.OneStop.ReportPlayer.OSRFunctions.OSRGet("Period","PeriodEnd")</f>
        <v>#NAME?</v>
      </c>
      <c r="E5" s="17"/>
      <c r="F5" s="51"/>
      <c r="G5" s="17"/>
      <c r="H5" s="17"/>
      <c r="I5" s="17"/>
      <c r="J5" s="39"/>
      <c r="K5" s="17"/>
      <c r="L5" s="17"/>
      <c r="M5" s="17"/>
      <c r="N5" s="51"/>
      <c r="O5" s="61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3">
      <c r="A6" s="23"/>
      <c r="B6" s="47"/>
      <c r="C6" s="47"/>
      <c r="D6" s="23" t="s">
        <v>105</v>
      </c>
      <c r="E6" s="17"/>
      <c r="F6" s="51"/>
      <c r="G6" s="17"/>
      <c r="H6" s="17"/>
      <c r="I6" s="17"/>
      <c r="J6" s="39"/>
      <c r="K6" s="17"/>
      <c r="L6" s="17"/>
      <c r="M6" s="17"/>
      <c r="N6" s="51"/>
      <c r="O6" s="60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3">
      <c r="B7" s="63"/>
    </row>
    <row r="8" spans="1:26" x14ac:dyDescent="0.3">
      <c r="B8" s="63"/>
    </row>
    <row r="9" spans="1:26" x14ac:dyDescent="0.3">
      <c r="B9" s="9"/>
      <c r="C9" s="9"/>
      <c r="D9" s="15" t="s">
        <v>292</v>
      </c>
      <c r="E9" s="15"/>
      <c r="F9" s="38"/>
      <c r="G9" s="15"/>
      <c r="H9" s="15"/>
      <c r="I9" s="15"/>
      <c r="J9" s="49"/>
      <c r="K9" s="15"/>
      <c r="L9" s="15"/>
      <c r="M9" s="15"/>
      <c r="N9" s="38"/>
      <c r="P9" s="15" t="s">
        <v>39</v>
      </c>
      <c r="Q9" s="15"/>
      <c r="R9" s="38"/>
      <c r="S9" s="15"/>
      <c r="T9" s="15"/>
      <c r="U9" s="15"/>
      <c r="V9" s="49"/>
      <c r="W9" s="15"/>
      <c r="X9" s="15"/>
      <c r="Y9" s="15"/>
      <c r="Z9" s="38"/>
    </row>
    <row r="10" spans="1:26" x14ac:dyDescent="0.3">
      <c r="A10" s="10"/>
      <c r="B10" s="53"/>
      <c r="C10" s="10"/>
      <c r="D10" s="42" t="s">
        <v>57</v>
      </c>
      <c r="E10" s="34"/>
      <c r="F10" s="40" t="s">
        <v>40</v>
      </c>
      <c r="G10" s="34"/>
      <c r="H10" s="45" t="s">
        <v>238</v>
      </c>
      <c r="I10" s="34"/>
      <c r="J10" s="48" t="s">
        <v>58</v>
      </c>
      <c r="K10" s="10"/>
      <c r="L10" s="42" t="s">
        <v>127</v>
      </c>
      <c r="M10" s="10"/>
      <c r="N10" s="40" t="s">
        <v>258</v>
      </c>
      <c r="O10" s="10"/>
      <c r="P10" s="56" t="s">
        <v>57</v>
      </c>
      <c r="Q10" s="34"/>
      <c r="R10" s="40" t="s">
        <v>40</v>
      </c>
      <c r="S10" s="34"/>
      <c r="T10" s="45" t="s">
        <v>238</v>
      </c>
      <c r="U10" s="34"/>
      <c r="V10" s="48" t="s">
        <v>58</v>
      </c>
      <c r="W10" s="10"/>
      <c r="X10" s="42" t="s">
        <v>127</v>
      </c>
      <c r="Y10" s="10"/>
      <c r="Z10" s="40" t="s">
        <v>258</v>
      </c>
    </row>
    <row r="11" spans="1:26" ht="15.6" x14ac:dyDescent="0.3">
      <c r="A11" s="9"/>
      <c r="B11" s="58"/>
      <c r="C11" s="9"/>
      <c r="D11" s="9"/>
      <c r="E11" s="9"/>
      <c r="F11" s="6"/>
      <c r="G11" s="9"/>
      <c r="H11" s="9"/>
      <c r="I11" s="9"/>
      <c r="J11" s="46"/>
      <c r="K11" s="9"/>
      <c r="L11" s="9"/>
      <c r="M11" s="9"/>
      <c r="N11" s="6"/>
      <c r="P11" s="9"/>
      <c r="Q11" s="9"/>
      <c r="R11" s="6"/>
      <c r="S11" s="9"/>
      <c r="T11" s="9"/>
      <c r="U11" s="9"/>
      <c r="V11" s="46"/>
      <c r="W11" s="9"/>
      <c r="X11" s="9"/>
      <c r="Y11" s="9"/>
      <c r="Z11" s="6"/>
    </row>
    <row r="12" spans="1:26" s="23" customFormat="1" collapsed="1" x14ac:dyDescent="0.3">
      <c r="A12" s="10"/>
      <c r="B12" s="25" t="s">
        <v>140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3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3" t="e">
        <f ca="1">-_xll.OneStop.ReportPlayer.OSRFunctions.OSRGet("GL_F_Trans","Value1")</f>
        <v>#NAME?</v>
      </c>
      <c r="E13" s="3"/>
      <c r="F13" s="19"/>
      <c r="G13" s="3"/>
      <c r="H13" s="3" t="e">
        <f ca="1">_xll.OneStop.ReportPlayer.OSRFunctions.OSRGet("GL_F_Trans","Value1")</f>
        <v>#NAME?</v>
      </c>
      <c r="I13" s="3"/>
      <c r="J13" s="19"/>
      <c r="K13" s="3"/>
      <c r="L13" s="3" t="e">
        <f t="shared" ca="1" si="0"/>
        <v>#NAME?</v>
      </c>
      <c r="M13" s="3"/>
      <c r="N13" s="19" t="e">
        <f t="shared" ca="1" si="1"/>
        <v>#NAME?</v>
      </c>
      <c r="O13" s="11"/>
      <c r="P13" s="3" t="e">
        <f ca="1">-_xll.OneStop.ReportPlayer.OSRFunctions.OSRGet("GL_F_Trans","Value1")</f>
        <v>#NAME?</v>
      </c>
      <c r="Q13" s="3"/>
      <c r="R13" s="19"/>
      <c r="S13" s="3"/>
      <c r="T13" s="3" t="e">
        <f ca="1">_xll.OneStop.ReportPlayer.OSRFunctions.OSRGet("GL_F_Trans","Value1")</f>
        <v>#NAME?</v>
      </c>
      <c r="U13" s="3"/>
      <c r="V13" s="19"/>
      <c r="W13" s="3"/>
      <c r="X13" s="3" t="e">
        <f t="shared" ca="1" si="2"/>
        <v>#NAME?</v>
      </c>
      <c r="Y13" s="3"/>
      <c r="Z13" s="19" t="e">
        <f t="shared" ca="1" si="3"/>
        <v>#NAME?</v>
      </c>
    </row>
    <row r="14" spans="1:26" x14ac:dyDescent="0.3">
      <c r="A14" s="9"/>
      <c r="B14" s="10"/>
      <c r="C14" s="9"/>
      <c r="D14" s="2"/>
      <c r="E14" s="2"/>
      <c r="F14" s="6"/>
      <c r="G14" s="2"/>
      <c r="H14" s="2"/>
      <c r="I14" s="2"/>
      <c r="J14" s="6"/>
      <c r="K14" s="2"/>
      <c r="L14" s="2"/>
      <c r="M14" s="2"/>
      <c r="N14" s="6"/>
      <c r="P14" s="2"/>
      <c r="Q14" s="2"/>
      <c r="R14" s="6"/>
      <c r="S14" s="2"/>
      <c r="T14" s="2"/>
      <c r="U14" s="2"/>
      <c r="V14" s="6"/>
      <c r="W14" s="2"/>
      <c r="X14" s="2"/>
      <c r="Y14" s="2"/>
      <c r="Z14" s="6"/>
    </row>
    <row r="15" spans="1:26" s="23" customFormat="1" collapsed="1" x14ac:dyDescent="0.3">
      <c r="A15" s="10"/>
      <c r="B15" s="25" t="s">
        <v>257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3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3" t="e">
        <f ca="1">_xll.OneStop.ReportPlayer.OSRFunctions.OSRGet("GL_F_Trans","Value1")</f>
        <v>#NAME?</v>
      </c>
      <c r="E16" s="3"/>
      <c r="F16" s="19" t="e">
        <f t="shared" ca="1" si="4"/>
        <v>#NAME?</v>
      </c>
      <c r="G16" s="3"/>
      <c r="H16" s="3" t="e">
        <f ca="1">_xll.OneStop.ReportPlayer.OSRFunctions.OSRGet("GL_F_Trans","Value1")</f>
        <v>#NAME?</v>
      </c>
      <c r="I16" s="3"/>
      <c r="J16" s="19" t="e">
        <f t="shared" ca="1" si="5"/>
        <v>#NAME?</v>
      </c>
      <c r="K16" s="3"/>
      <c r="L16" s="3" t="e">
        <f t="shared" ca="1" si="6"/>
        <v>#NAME?</v>
      </c>
      <c r="M16" s="3"/>
      <c r="N16" s="19" t="e">
        <f t="shared" ca="1" si="7"/>
        <v>#NAME?</v>
      </c>
      <c r="O16" s="11"/>
      <c r="P16" s="3" t="e">
        <f ca="1">_xll.OneStop.ReportPlayer.OSRFunctions.OSRGet("GL_F_Trans","Value1")</f>
        <v>#NAME?</v>
      </c>
      <c r="Q16" s="3"/>
      <c r="R16" s="19" t="e">
        <f t="shared" ca="1" si="8"/>
        <v>#NAME?</v>
      </c>
      <c r="S16" s="3"/>
      <c r="T16" s="3" t="e">
        <f ca="1">_xll.OneStop.ReportPlayer.OSRFunctions.OSRGet("GL_F_Trans","Value1")</f>
        <v>#NAME?</v>
      </c>
      <c r="U16" s="3"/>
      <c r="V16" s="19" t="e">
        <f t="shared" ca="1" si="9"/>
        <v>#NAME?</v>
      </c>
      <c r="W16" s="3"/>
      <c r="X16" s="3" t="e">
        <f t="shared" ca="1" si="10"/>
        <v>#NAME?</v>
      </c>
      <c r="Y16" s="3"/>
      <c r="Z16" s="19" t="e">
        <f t="shared" ca="1" si="11"/>
        <v>#NAME?</v>
      </c>
    </row>
    <row r="17" spans="1:26" x14ac:dyDescent="0.3">
      <c r="A17" s="9"/>
      <c r="B17" s="10"/>
      <c r="C17" s="10"/>
      <c r="D17" s="2"/>
      <c r="E17" s="2"/>
      <c r="F17" s="6"/>
      <c r="G17" s="2"/>
      <c r="H17" s="2"/>
      <c r="I17" s="2"/>
      <c r="J17" s="6"/>
      <c r="K17" s="2"/>
      <c r="L17" s="2"/>
      <c r="M17" s="2"/>
      <c r="N17" s="6"/>
      <c r="O17" s="10"/>
      <c r="P17" s="2"/>
      <c r="Q17" s="2"/>
      <c r="R17" s="6"/>
      <c r="S17" s="2"/>
      <c r="T17" s="2"/>
      <c r="U17" s="2"/>
      <c r="V17" s="6"/>
      <c r="W17" s="2"/>
      <c r="X17" s="2"/>
      <c r="Y17" s="2"/>
      <c r="Z17" s="6"/>
    </row>
    <row r="18" spans="1:26" s="23" customFormat="1" x14ac:dyDescent="0.3">
      <c r="A18" s="10"/>
      <c r="B18" s="26" t="s">
        <v>108</v>
      </c>
      <c r="C18" s="26"/>
      <c r="D18" s="21" t="e">
        <f ca="1">D12-D15</f>
        <v>#NAME?</v>
      </c>
      <c r="E18" s="13"/>
      <c r="F18" s="22" t="e">
        <f ca="1">IF(D$12=0,0,D18/D$12)</f>
        <v>#NAME?</v>
      </c>
      <c r="G18" s="13"/>
      <c r="H18" s="21" t="e">
        <f ca="1">H12-H15</f>
        <v>#NAME?</v>
      </c>
      <c r="I18" s="13"/>
      <c r="J18" s="22" t="e">
        <f ca="1">IF(H$12=0,0,H18/H$12)</f>
        <v>#NAME?</v>
      </c>
      <c r="K18" s="16"/>
      <c r="L18" s="21" t="e">
        <f ca="1">+D18-H18</f>
        <v>#NAME?</v>
      </c>
      <c r="M18" s="16"/>
      <c r="N18" s="22" t="e">
        <f ca="1">IF(H18=0,0,L18/H18)</f>
        <v>#NAME?</v>
      </c>
      <c r="O18" s="25"/>
      <c r="P18" s="21" t="e">
        <f ca="1">P12-P15</f>
        <v>#NAME?</v>
      </c>
      <c r="Q18" s="13"/>
      <c r="R18" s="22" t="e">
        <f ca="1">IF(P$12=0,0,P18/P$12)</f>
        <v>#NAME?</v>
      </c>
      <c r="S18" s="13"/>
      <c r="T18" s="21" t="e">
        <f ca="1">T12-T15</f>
        <v>#NAME?</v>
      </c>
      <c r="U18" s="13"/>
      <c r="V18" s="22" t="e">
        <f ca="1">IF(T$12=0,0,T18/T$12)</f>
        <v>#NAME?</v>
      </c>
      <c r="W18" s="16"/>
      <c r="X18" s="21" t="e">
        <f ca="1">+P18-T18</f>
        <v>#NAME?</v>
      </c>
      <c r="Y18" s="16"/>
      <c r="Z18" s="22" t="e">
        <f ca="1">IF(T18=0,0,X18/T18)</f>
        <v>#NAME?</v>
      </c>
    </row>
    <row r="19" spans="1:26" x14ac:dyDescent="0.3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">
      <c r="A20" s="10"/>
      <c r="B20" s="25" t="s">
        <v>295</v>
      </c>
      <c r="C20" s="10"/>
      <c r="D20" s="20" t="e">
        <f ca="1">SUM(_xll.OneStop.ReportPlayer.OSRFunctions.OSRRef(D22))</f>
        <v>#NAME?</v>
      </c>
      <c r="E20" s="20"/>
      <c r="F20" s="32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2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2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2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2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2" t="e">
        <f t="shared" ref="Z20:Z22" ca="1" si="19">IF(T20=0,0,X20/T20)</f>
        <v>#NAME?</v>
      </c>
    </row>
    <row r="21" spans="1:26" s="27" customFormat="1" outlineLevel="1" collapsed="1" x14ac:dyDescent="0.3">
      <c r="A21" s="28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3">
      <c r="A22" s="29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8" t="e">
        <f ca="1">_xll.OneStop.ReportPlayer.OSRFunctions.OSRGet("GL_F_Trans","Value1")</f>
        <v>#NAME?</v>
      </c>
      <c r="E22" s="3"/>
      <c r="F22" s="7" t="e">
        <f t="shared" ca="1" si="12"/>
        <v>#NAME?</v>
      </c>
      <c r="G22" s="3"/>
      <c r="H22" s="8" t="e">
        <f ca="1">_xll.OneStop.ReportPlayer.OSRFunctions.OSRGet("GL_F_Trans","Value1")</f>
        <v>#NAME?</v>
      </c>
      <c r="I22" s="3"/>
      <c r="J22" s="7" t="e">
        <f t="shared" ca="1" si="13"/>
        <v>#NAME?</v>
      </c>
      <c r="K22" s="3"/>
      <c r="L22" s="8" t="e">
        <f t="shared" ca="1" si="14"/>
        <v>#NAME?</v>
      </c>
      <c r="M22" s="3"/>
      <c r="N22" s="7" t="e">
        <f t="shared" ca="1" si="15"/>
        <v>#NAME?</v>
      </c>
      <c r="O22" s="11"/>
      <c r="P22" s="8" t="e">
        <f ca="1">_xll.OneStop.ReportPlayer.OSRFunctions.OSRGet("GL_F_Trans","Value1")</f>
        <v>#NAME?</v>
      </c>
      <c r="Q22" s="3"/>
      <c r="R22" s="7" t="e">
        <f t="shared" ca="1" si="16"/>
        <v>#NAME?</v>
      </c>
      <c r="S22" s="3"/>
      <c r="T22" s="8" t="e">
        <f ca="1">_xll.OneStop.ReportPlayer.OSRFunctions.OSRGet("GL_F_Trans","Value1")</f>
        <v>#NAME?</v>
      </c>
      <c r="U22" s="3"/>
      <c r="V22" s="7" t="e">
        <f t="shared" ca="1" si="17"/>
        <v>#NAME?</v>
      </c>
      <c r="W22" s="3"/>
      <c r="X22" s="8" t="e">
        <f t="shared" ca="1" si="18"/>
        <v>#NAME?</v>
      </c>
      <c r="Y22" s="3"/>
      <c r="Z22" s="7" t="e">
        <f t="shared" ca="1" si="19"/>
        <v>#NAME?</v>
      </c>
    </row>
    <row r="23" spans="1:26" s="62" customFormat="1" x14ac:dyDescent="0.3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3">
      <c r="A24" s="10"/>
      <c r="B24" s="25" t="s">
        <v>293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3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3" t="e">
        <f ca="1">-_xll.OneStop.ReportPlayer.OSRFunctions.OSRGet("GL_F_Trans","Value1")</f>
        <v>#NAME?</v>
      </c>
      <c r="E25" s="3"/>
      <c r="F25" s="19" t="e">
        <f t="shared" ca="1" si="20"/>
        <v>#NAME?</v>
      </c>
      <c r="G25" s="3"/>
      <c r="H25" s="3" t="e">
        <f ca="1">_xll.OneStop.ReportPlayer.OSRFunctions.OSRGet("GL_F_Trans","Value1")</f>
        <v>#NAME?</v>
      </c>
      <c r="I25" s="3"/>
      <c r="J25" s="19" t="e">
        <f t="shared" ca="1" si="21"/>
        <v>#NAME?</v>
      </c>
      <c r="K25" s="3"/>
      <c r="L25" s="3" t="e">
        <f t="shared" ca="1" si="22"/>
        <v>#NAME?</v>
      </c>
      <c r="M25" s="3"/>
      <c r="N25" s="19" t="e">
        <f t="shared" ca="1" si="23"/>
        <v>#NAME?</v>
      </c>
      <c r="O25" s="11"/>
      <c r="P25" s="3" t="e">
        <f ca="1">-_xll.OneStop.ReportPlayer.OSRFunctions.OSRGet("GL_F_Trans","Value1")</f>
        <v>#NAME?</v>
      </c>
      <c r="Q25" s="3"/>
      <c r="R25" s="19" t="e">
        <f t="shared" ca="1" si="24"/>
        <v>#NAME?</v>
      </c>
      <c r="S25" s="3"/>
      <c r="T25" s="3" t="e">
        <f ca="1">_xll.OneStop.ReportPlayer.OSRFunctions.OSRGet("GL_F_Trans","Value1")</f>
        <v>#NAME?</v>
      </c>
      <c r="U25" s="3"/>
      <c r="V25" s="19" t="e">
        <f t="shared" ca="1" si="25"/>
        <v>#NAME?</v>
      </c>
      <c r="W25" s="3"/>
      <c r="X25" s="3" t="e">
        <f t="shared" ca="1" si="26"/>
        <v>#NAME?</v>
      </c>
      <c r="Y25" s="3"/>
      <c r="Z25" s="19" t="e">
        <f t="shared" ca="1" si="27"/>
        <v>#NAME?</v>
      </c>
    </row>
    <row r="26" spans="1:26" x14ac:dyDescent="0.3">
      <c r="A26" s="9"/>
      <c r="B26" s="10"/>
      <c r="C26" s="10"/>
      <c r="D26" s="2"/>
      <c r="E26" s="2"/>
      <c r="F26" s="6"/>
      <c r="G26" s="2"/>
      <c r="H26" s="2"/>
      <c r="I26" s="2"/>
      <c r="J26" s="6"/>
      <c r="K26" s="2"/>
      <c r="L26" s="2"/>
      <c r="M26" s="2"/>
      <c r="N26" s="6"/>
      <c r="O26" s="10"/>
      <c r="P26" s="2"/>
      <c r="Q26" s="2"/>
      <c r="R26" s="6"/>
      <c r="S26" s="2"/>
      <c r="T26" s="2"/>
      <c r="U26" s="2"/>
      <c r="V26" s="6"/>
      <c r="W26" s="2"/>
      <c r="X26" s="2"/>
      <c r="Y26" s="2"/>
      <c r="Z26" s="6"/>
    </row>
    <row r="27" spans="1:26" s="23" customFormat="1" x14ac:dyDescent="0.3">
      <c r="A27" s="10"/>
      <c r="B27" s="26" t="s">
        <v>277</v>
      </c>
      <c r="C27" s="26"/>
      <c r="D27" s="21" t="e">
        <f ca="1">+D18-D20+D24</f>
        <v>#NAME?</v>
      </c>
      <c r="E27" s="13"/>
      <c r="F27" s="22" t="e">
        <f ca="1">IF(D$12=0,0,D27/D$12)</f>
        <v>#NAME?</v>
      </c>
      <c r="G27" s="13"/>
      <c r="H27" s="21" t="e">
        <f ca="1">+H18-H20+H24</f>
        <v>#NAME?</v>
      </c>
      <c r="I27" s="13"/>
      <c r="J27" s="22" t="e">
        <f ca="1">IF(H$12=0,0,H27/H$12)</f>
        <v>#NAME?</v>
      </c>
      <c r="K27" s="16"/>
      <c r="L27" s="21" t="e">
        <f ca="1">+D27-H27</f>
        <v>#NAME?</v>
      </c>
      <c r="M27" s="16"/>
      <c r="N27" s="22" t="e">
        <f ca="1">IF(H27=0,0,L27/H27)</f>
        <v>#NAME?</v>
      </c>
      <c r="O27" s="25"/>
      <c r="P27" s="21" t="e">
        <f ca="1">+P18-P20+P24</f>
        <v>#NAME?</v>
      </c>
      <c r="Q27" s="13"/>
      <c r="R27" s="22" t="e">
        <f ca="1">IF(P$12=0,0,P27/P$12)</f>
        <v>#NAME?</v>
      </c>
      <c r="S27" s="13"/>
      <c r="T27" s="21" t="e">
        <f ca="1">+T18-T20+T24</f>
        <v>#NAME?</v>
      </c>
      <c r="U27" s="13"/>
      <c r="V27" s="22" t="e">
        <f ca="1">IF(T$12=0,0,T27/T$12)</f>
        <v>#NAME?</v>
      </c>
      <c r="W27" s="16"/>
      <c r="X27" s="21" t="e">
        <f ca="1">+P27-T27</f>
        <v>#NAME?</v>
      </c>
      <c r="Y27" s="16"/>
      <c r="Z27" s="22" t="e">
        <f ca="1">IF(T27=0,0,X27/T27)</f>
        <v>#NAME?</v>
      </c>
    </row>
    <row r="28" spans="1:26" x14ac:dyDescent="0.3">
      <c r="A28" s="9"/>
      <c r="B28" s="10"/>
      <c r="C28" s="9"/>
      <c r="D28" s="2"/>
      <c r="E28" s="2"/>
      <c r="F28" s="6"/>
      <c r="G28" s="2"/>
      <c r="H28" s="2"/>
      <c r="I28" s="2"/>
      <c r="J28" s="6"/>
      <c r="K28" s="2"/>
      <c r="L28" s="2"/>
      <c r="M28" s="2"/>
      <c r="N28" s="6"/>
      <c r="P28" s="2"/>
      <c r="Q28" s="2"/>
      <c r="R28" s="6"/>
      <c r="S28" s="2"/>
      <c r="T28" s="2"/>
      <c r="U28" s="2"/>
      <c r="V28" s="6"/>
      <c r="W28" s="2"/>
      <c r="X28" s="2"/>
      <c r="Y28" s="2"/>
      <c r="Z28" s="6"/>
    </row>
    <row r="29" spans="1:26" s="23" customFormat="1" x14ac:dyDescent="0.3">
      <c r="A29" s="52"/>
      <c r="B29" s="10" t="s">
        <v>128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3">
      <c r="A30" s="9"/>
      <c r="B30" s="10"/>
      <c r="C30" s="10"/>
      <c r="D30" s="2"/>
      <c r="E30" s="2"/>
      <c r="F30" s="6"/>
      <c r="G30" s="2"/>
      <c r="H30" s="2"/>
      <c r="I30" s="2"/>
      <c r="J30" s="6"/>
      <c r="K30" s="2"/>
      <c r="L30" s="2"/>
      <c r="M30" s="2"/>
      <c r="N30" s="6"/>
      <c r="O30" s="10"/>
      <c r="P30" s="2"/>
      <c r="Q30" s="2"/>
      <c r="R30" s="6"/>
      <c r="S30" s="2"/>
      <c r="T30" s="2"/>
      <c r="U30" s="2"/>
      <c r="V30" s="6"/>
      <c r="W30" s="2"/>
      <c r="X30" s="2"/>
      <c r="Y30" s="2"/>
      <c r="Z30" s="6"/>
    </row>
    <row r="31" spans="1:26" s="23" customFormat="1" ht="15" thickBot="1" x14ac:dyDescent="0.35">
      <c r="A31" s="10"/>
      <c r="B31" s="26" t="s">
        <v>126</v>
      </c>
      <c r="C31" s="26"/>
      <c r="D31" s="35" t="e">
        <f ca="1">+D27-D29</f>
        <v>#NAME?</v>
      </c>
      <c r="E31" s="13"/>
      <c r="F31" s="30" t="e">
        <f ca="1">IF(D$12=0,0,D31/D$12)</f>
        <v>#NAME?</v>
      </c>
      <c r="G31" s="13"/>
      <c r="H31" s="35" t="e">
        <f ca="1">+H27-H29</f>
        <v>#NAME?</v>
      </c>
      <c r="I31" s="13"/>
      <c r="J31" s="30" t="e">
        <f ca="1">IF(H$12=0,0,H31/H$12)</f>
        <v>#NAME?</v>
      </c>
      <c r="K31" s="16"/>
      <c r="L31" s="35" t="e">
        <f ca="1">D31-H31</f>
        <v>#NAME?</v>
      </c>
      <c r="M31" s="16"/>
      <c r="N31" s="30" t="e">
        <f ca="1">IF(H31=0,0,L31/H31)</f>
        <v>#NAME?</v>
      </c>
      <c r="O31" s="25"/>
      <c r="P31" s="35" t="e">
        <f ca="1">+P27-P29</f>
        <v>#NAME?</v>
      </c>
      <c r="Q31" s="13"/>
      <c r="R31" s="30" t="e">
        <f ca="1">IF(P$12=0,0,P31/P$12)</f>
        <v>#NAME?</v>
      </c>
      <c r="S31" s="13"/>
      <c r="T31" s="35" t="e">
        <f ca="1">+T27-T29</f>
        <v>#NAME?</v>
      </c>
      <c r="U31" s="13"/>
      <c r="V31" s="30" t="e">
        <f ca="1">IF(T$12=0,0,T31/T$12)</f>
        <v>#NAME?</v>
      </c>
      <c r="W31" s="16"/>
      <c r="X31" s="35" t="e">
        <f ca="1">P31-T31</f>
        <v>#NAME?</v>
      </c>
      <c r="Y31" s="16"/>
      <c r="Z31" s="30" t="e">
        <f ca="1">IF(T31=0,0,X31/T31)</f>
        <v>#NAME?</v>
      </c>
    </row>
    <row r="32" spans="1:26" ht="15" thickTop="1" x14ac:dyDescent="0.3">
      <c r="A32" s="9"/>
      <c r="B32" s="9"/>
      <c r="C32" s="9"/>
      <c r="D32" s="2"/>
      <c r="E32" s="2"/>
      <c r="F32" s="6"/>
      <c r="G32" s="2"/>
      <c r="H32" s="2"/>
      <c r="I32" s="2"/>
      <c r="J32" s="6"/>
      <c r="K32" s="2"/>
      <c r="L32" s="2"/>
      <c r="M32" s="2"/>
      <c r="N32" s="6"/>
      <c r="P32" s="2"/>
      <c r="Q32" s="2"/>
      <c r="R32" s="6"/>
      <c r="S32" s="2"/>
      <c r="T32" s="2"/>
      <c r="U32" s="2"/>
      <c r="V32" s="6"/>
      <c r="W32" s="2"/>
      <c r="X32" s="2"/>
      <c r="Y32" s="2"/>
      <c r="Z32" s="6"/>
    </row>
    <row r="33" spans="1:26" s="23" customFormat="1" x14ac:dyDescent="0.3">
      <c r="A33" s="52"/>
      <c r="B33" s="10" t="s">
        <v>184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3">
      <c r="A34" s="52"/>
      <c r="B34" s="10" t="s">
        <v>82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3">
      <c r="A35" s="9"/>
      <c r="B35" s="9"/>
      <c r="C35" s="9"/>
      <c r="D35" s="2"/>
      <c r="E35" s="2"/>
      <c r="F35" s="6"/>
      <c r="G35" s="2"/>
      <c r="H35" s="2"/>
      <c r="I35" s="2"/>
      <c r="J35" s="6"/>
      <c r="K35" s="2"/>
      <c r="L35" s="2"/>
      <c r="M35" s="2"/>
      <c r="N35" s="6"/>
      <c r="P35" s="2"/>
      <c r="Q35" s="2"/>
      <c r="R35" s="6"/>
      <c r="S35" s="2"/>
      <c r="T35" s="2"/>
      <c r="U35" s="2"/>
      <c r="V35" s="6"/>
      <c r="W35" s="2"/>
      <c r="X35" s="2"/>
      <c r="Y35" s="2"/>
      <c r="Z35" s="6"/>
    </row>
    <row r="36" spans="1:26" s="23" customFormat="1" ht="15" thickBot="1" x14ac:dyDescent="0.35">
      <c r="A36" s="10"/>
      <c r="B36" s="26" t="s">
        <v>294</v>
      </c>
      <c r="C36" s="26"/>
      <c r="D36" s="33" t="e">
        <f ca="1">SUM(D31:D35)</f>
        <v>#NAME?</v>
      </c>
      <c r="E36" s="13"/>
      <c r="F36" s="31" t="e">
        <f ca="1">IF(D$12=0,0,D36/D$12)</f>
        <v>#NAME?</v>
      </c>
      <c r="G36" s="13"/>
      <c r="H36" s="33" t="e">
        <f ca="1">SUM(H31:H35)</f>
        <v>#NAME?</v>
      </c>
      <c r="I36" s="13"/>
      <c r="J36" s="31" t="e">
        <f ca="1">IF(H$12=0,0,H36/H$12)</f>
        <v>#NAME?</v>
      </c>
      <c r="K36" s="16"/>
      <c r="L36" s="33" t="e">
        <f ca="1">+D36-H36</f>
        <v>#NAME?</v>
      </c>
      <c r="M36" s="16"/>
      <c r="N36" s="31" t="e">
        <f ca="1">IF(H36=0,0,L36/H36)</f>
        <v>#NAME?</v>
      </c>
      <c r="O36" s="25"/>
      <c r="P36" s="33" t="e">
        <f ca="1">SUM(P31:P35)</f>
        <v>#NAME?</v>
      </c>
      <c r="Q36" s="13"/>
      <c r="R36" s="31" t="e">
        <f ca="1">IF(P$12=0,0,P36/P$12)</f>
        <v>#NAME?</v>
      </c>
      <c r="S36" s="13"/>
      <c r="T36" s="33" t="e">
        <f ca="1">SUM(T31:T35)</f>
        <v>#NAME?</v>
      </c>
      <c r="U36" s="13"/>
      <c r="V36" s="31" t="e">
        <f ca="1">IF(T$12=0,0,T36/T$12)</f>
        <v>#NAME?</v>
      </c>
      <c r="W36" s="16"/>
      <c r="X36" s="33" t="e">
        <f ca="1">+P36-T36</f>
        <v>#NAME?</v>
      </c>
      <c r="Y36" s="16"/>
      <c r="Z36" s="31" t="e">
        <f ca="1">IF(T36=0,0,X36/T36)</f>
        <v>#NAME?</v>
      </c>
    </row>
    <row r="37" spans="1:26" ht="15" thickTop="1" x14ac:dyDescent="0.3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3">
      <c r="A38" s="9"/>
      <c r="B38" s="54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3">
      <c r="A39" s="9"/>
      <c r="B39" s="59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3">
      <c r="A40" s="9"/>
      <c r="B40" s="55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3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50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7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50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7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7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7" customWidth="1" outlineLevel="1"/>
  </cols>
  <sheetData>
    <row r="2" spans="1:26" x14ac:dyDescent="0.3">
      <c r="D2" s="57" t="s">
        <v>23</v>
      </c>
    </row>
    <row r="3" spans="1:26" x14ac:dyDescent="0.3">
      <c r="D3" s="57" t="s">
        <v>237</v>
      </c>
      <c r="E3" s="17"/>
      <c r="F3" s="51"/>
      <c r="G3" s="17"/>
      <c r="H3" s="17"/>
      <c r="I3" s="17"/>
      <c r="J3" s="39"/>
      <c r="K3" s="17"/>
      <c r="L3" s="17"/>
      <c r="M3" s="17"/>
      <c r="N3" s="51"/>
      <c r="O3" s="61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3">
      <c r="D4" s="57" t="e">
        <f ca="1">CONCATENATE("Period ",RIGHT(_xll.OneStop.ReportPlayer.OSRFunctions.OSRGet("Period","PeriodId"),2),", ",_xll.OneStop.ReportPlayer.OSRFunctions.OSRGet("Period","Year"))</f>
        <v>#NAME?</v>
      </c>
      <c r="E4" s="17"/>
      <c r="F4" s="51"/>
      <c r="G4" s="17"/>
      <c r="H4" s="17"/>
      <c r="I4" s="17"/>
      <c r="J4" s="39"/>
      <c r="K4" s="17"/>
      <c r="L4" s="17"/>
      <c r="M4" s="17"/>
      <c r="N4" s="51"/>
      <c r="O4" s="61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3">
      <c r="A5" s="23"/>
      <c r="D5" s="65" t="e">
        <f ca="1">_xll.OneStop.ReportPlayer.OSRFunctions.OSRGet("Period","PeriodEnd")</f>
        <v>#NAME?</v>
      </c>
      <c r="E5" s="17"/>
      <c r="F5" s="51"/>
      <c r="G5" s="17"/>
      <c r="H5" s="17"/>
      <c r="I5" s="17"/>
      <c r="J5" s="39"/>
      <c r="K5" s="17"/>
      <c r="L5" s="17"/>
      <c r="M5" s="17"/>
      <c r="N5" s="51"/>
      <c r="O5" s="61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3">
      <c r="A6" s="23"/>
      <c r="B6" s="47"/>
      <c r="C6" s="47"/>
      <c r="D6" s="23" t="s">
        <v>105</v>
      </c>
      <c r="E6" s="17"/>
      <c r="F6" s="51"/>
      <c r="G6" s="17"/>
      <c r="H6" s="17"/>
      <c r="I6" s="17"/>
      <c r="J6" s="39"/>
      <c r="K6" s="17"/>
      <c r="L6" s="17"/>
      <c r="M6" s="17"/>
      <c r="N6" s="51"/>
      <c r="O6" s="60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3">
      <c r="B7" s="63"/>
    </row>
    <row r="8" spans="1:26" x14ac:dyDescent="0.3">
      <c r="B8" s="63"/>
    </row>
    <row r="9" spans="1:26" x14ac:dyDescent="0.3">
      <c r="B9" s="9"/>
      <c r="C9" s="9"/>
      <c r="D9" s="15" t="s">
        <v>292</v>
      </c>
      <c r="E9" s="15"/>
      <c r="F9" s="38"/>
      <c r="G9" s="15"/>
      <c r="H9" s="15"/>
      <c r="I9" s="15"/>
      <c r="J9" s="49"/>
      <c r="K9" s="15"/>
      <c r="L9" s="15"/>
      <c r="M9" s="15"/>
      <c r="N9" s="38"/>
      <c r="P9" s="15" t="s">
        <v>39</v>
      </c>
      <c r="Q9" s="15"/>
      <c r="R9" s="38"/>
      <c r="S9" s="15"/>
      <c r="T9" s="15"/>
      <c r="U9" s="15"/>
      <c r="V9" s="49"/>
      <c r="W9" s="15"/>
      <c r="X9" s="15"/>
      <c r="Y9" s="15"/>
      <c r="Z9" s="38"/>
    </row>
    <row r="10" spans="1:26" x14ac:dyDescent="0.3">
      <c r="A10" s="10"/>
      <c r="B10" s="53"/>
      <c r="C10" s="10"/>
      <c r="D10" s="42" t="s">
        <v>57</v>
      </c>
      <c r="E10" s="34"/>
      <c r="F10" s="40" t="s">
        <v>40</v>
      </c>
      <c r="G10" s="34"/>
      <c r="H10" s="45" t="s">
        <v>238</v>
      </c>
      <c r="I10" s="34"/>
      <c r="J10" s="48" t="s">
        <v>58</v>
      </c>
      <c r="K10" s="10"/>
      <c r="L10" s="42" t="s">
        <v>127</v>
      </c>
      <c r="M10" s="10"/>
      <c r="N10" s="40" t="s">
        <v>258</v>
      </c>
      <c r="O10" s="10"/>
      <c r="P10" s="56" t="s">
        <v>57</v>
      </c>
      <c r="Q10" s="34"/>
      <c r="R10" s="40" t="s">
        <v>40</v>
      </c>
      <c r="S10" s="34"/>
      <c r="T10" s="45" t="s">
        <v>238</v>
      </c>
      <c r="U10" s="34"/>
      <c r="V10" s="48" t="s">
        <v>58</v>
      </c>
      <c r="W10" s="10"/>
      <c r="X10" s="42" t="s">
        <v>127</v>
      </c>
      <c r="Y10" s="10"/>
      <c r="Z10" s="40" t="s">
        <v>258</v>
      </c>
    </row>
    <row r="11" spans="1:26" ht="15.6" x14ac:dyDescent="0.3">
      <c r="A11" s="9"/>
      <c r="B11" s="58"/>
      <c r="C11" s="9"/>
      <c r="D11" s="9"/>
      <c r="E11" s="9"/>
      <c r="F11" s="6"/>
      <c r="G11" s="9"/>
      <c r="H11" s="9"/>
      <c r="I11" s="9"/>
      <c r="J11" s="46"/>
      <c r="K11" s="9"/>
      <c r="L11" s="9"/>
      <c r="M11" s="9"/>
      <c r="N11" s="6"/>
      <c r="P11" s="9"/>
      <c r="Q11" s="9"/>
      <c r="R11" s="6"/>
      <c r="S11" s="9"/>
      <c r="T11" s="9"/>
      <c r="U11" s="9"/>
      <c r="V11" s="46"/>
      <c r="W11" s="9"/>
      <c r="X11" s="9"/>
      <c r="Y11" s="9"/>
      <c r="Z11" s="6"/>
    </row>
    <row r="12" spans="1:26" s="23" customFormat="1" collapsed="1" x14ac:dyDescent="0.3">
      <c r="A12" s="10"/>
      <c r="B12" s="25" t="s">
        <v>140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3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3" t="e">
        <f ca="1">-_xll.OneStop.ReportPlayer.OSRFunctions.OSRGet("GL_F_Trans","Value1")</f>
        <v>#NAME?</v>
      </c>
      <c r="E13" s="3"/>
      <c r="F13" s="19"/>
      <c r="G13" s="3"/>
      <c r="H13" s="3" t="e">
        <f ca="1">_xll.OneStop.ReportPlayer.OSRFunctions.OSRGet("GL_F_Trans","Value1")</f>
        <v>#NAME?</v>
      </c>
      <c r="I13" s="3"/>
      <c r="J13" s="19"/>
      <c r="K13" s="3"/>
      <c r="L13" s="3" t="e">
        <f t="shared" ca="1" si="0"/>
        <v>#NAME?</v>
      </c>
      <c r="M13" s="3"/>
      <c r="N13" s="19" t="e">
        <f t="shared" ca="1" si="1"/>
        <v>#NAME?</v>
      </c>
      <c r="O13" s="11"/>
      <c r="P13" s="3" t="e">
        <f ca="1">-_xll.OneStop.ReportPlayer.OSRFunctions.OSRGet("GL_F_Trans","Value1")</f>
        <v>#NAME?</v>
      </c>
      <c r="Q13" s="3"/>
      <c r="R13" s="19"/>
      <c r="S13" s="3"/>
      <c r="T13" s="3" t="e">
        <f ca="1">_xll.OneStop.ReportPlayer.OSRFunctions.OSRGet("GL_F_Trans","Value1")</f>
        <v>#NAME?</v>
      </c>
      <c r="U13" s="3"/>
      <c r="V13" s="19"/>
      <c r="W13" s="3"/>
      <c r="X13" s="3" t="e">
        <f t="shared" ca="1" si="2"/>
        <v>#NAME?</v>
      </c>
      <c r="Y13" s="3"/>
      <c r="Z13" s="19" t="e">
        <f t="shared" ca="1" si="3"/>
        <v>#NAME?</v>
      </c>
    </row>
    <row r="14" spans="1:26" x14ac:dyDescent="0.3">
      <c r="A14" s="9"/>
      <c r="B14" s="10"/>
      <c r="C14" s="9"/>
      <c r="D14" s="2"/>
      <c r="E14" s="2"/>
      <c r="F14" s="6"/>
      <c r="G14" s="2"/>
      <c r="H14" s="2"/>
      <c r="I14" s="2"/>
      <c r="J14" s="6"/>
      <c r="K14" s="2"/>
      <c r="L14" s="2"/>
      <c r="M14" s="2"/>
      <c r="N14" s="6"/>
      <c r="P14" s="2"/>
      <c r="Q14" s="2"/>
      <c r="R14" s="6"/>
      <c r="S14" s="2"/>
      <c r="T14" s="2"/>
      <c r="U14" s="2"/>
      <c r="V14" s="6"/>
      <c r="W14" s="2"/>
      <c r="X14" s="2"/>
      <c r="Y14" s="2"/>
      <c r="Z14" s="6"/>
    </row>
    <row r="15" spans="1:26" s="23" customFormat="1" collapsed="1" x14ac:dyDescent="0.3">
      <c r="A15" s="10"/>
      <c r="B15" s="25" t="s">
        <v>257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3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3" t="e">
        <f ca="1">_xll.OneStop.ReportPlayer.OSRFunctions.OSRGet("GL_F_Trans","Value1")</f>
        <v>#NAME?</v>
      </c>
      <c r="E16" s="3"/>
      <c r="F16" s="19" t="e">
        <f t="shared" ca="1" si="4"/>
        <v>#NAME?</v>
      </c>
      <c r="G16" s="3"/>
      <c r="H16" s="3" t="e">
        <f ca="1">_xll.OneStop.ReportPlayer.OSRFunctions.OSRGet("GL_F_Trans","Value1")</f>
        <v>#NAME?</v>
      </c>
      <c r="I16" s="3"/>
      <c r="J16" s="19" t="e">
        <f t="shared" ca="1" si="5"/>
        <v>#NAME?</v>
      </c>
      <c r="K16" s="3"/>
      <c r="L16" s="3" t="e">
        <f t="shared" ca="1" si="6"/>
        <v>#NAME?</v>
      </c>
      <c r="M16" s="3"/>
      <c r="N16" s="19" t="e">
        <f t="shared" ca="1" si="7"/>
        <v>#NAME?</v>
      </c>
      <c r="O16" s="11"/>
      <c r="P16" s="3" t="e">
        <f ca="1">_xll.OneStop.ReportPlayer.OSRFunctions.OSRGet("GL_F_Trans","Value1")</f>
        <v>#NAME?</v>
      </c>
      <c r="Q16" s="3"/>
      <c r="R16" s="19" t="e">
        <f t="shared" ca="1" si="8"/>
        <v>#NAME?</v>
      </c>
      <c r="S16" s="3"/>
      <c r="T16" s="3" t="e">
        <f ca="1">_xll.OneStop.ReportPlayer.OSRFunctions.OSRGet("GL_F_Trans","Value1")</f>
        <v>#NAME?</v>
      </c>
      <c r="U16" s="3"/>
      <c r="V16" s="19" t="e">
        <f t="shared" ca="1" si="9"/>
        <v>#NAME?</v>
      </c>
      <c r="W16" s="3"/>
      <c r="X16" s="3" t="e">
        <f t="shared" ca="1" si="10"/>
        <v>#NAME?</v>
      </c>
      <c r="Y16" s="3"/>
      <c r="Z16" s="19" t="e">
        <f t="shared" ca="1" si="11"/>
        <v>#NAME?</v>
      </c>
    </row>
    <row r="17" spans="1:26" x14ac:dyDescent="0.3">
      <c r="A17" s="9"/>
      <c r="B17" s="10"/>
      <c r="C17" s="10"/>
      <c r="D17" s="2"/>
      <c r="E17" s="2"/>
      <c r="F17" s="6"/>
      <c r="G17" s="2"/>
      <c r="H17" s="2"/>
      <c r="I17" s="2"/>
      <c r="J17" s="6"/>
      <c r="K17" s="2"/>
      <c r="L17" s="2"/>
      <c r="M17" s="2"/>
      <c r="N17" s="6"/>
      <c r="O17" s="10"/>
      <c r="P17" s="2"/>
      <c r="Q17" s="2"/>
      <c r="R17" s="6"/>
      <c r="S17" s="2"/>
      <c r="T17" s="2"/>
      <c r="U17" s="2"/>
      <c r="V17" s="6"/>
      <c r="W17" s="2"/>
      <c r="X17" s="2"/>
      <c r="Y17" s="2"/>
      <c r="Z17" s="6"/>
    </row>
    <row r="18" spans="1:26" s="23" customFormat="1" x14ac:dyDescent="0.3">
      <c r="A18" s="10"/>
      <c r="B18" s="26" t="s">
        <v>108</v>
      </c>
      <c r="C18" s="26"/>
      <c r="D18" s="21" t="e">
        <f ca="1">D12-D15</f>
        <v>#NAME?</v>
      </c>
      <c r="E18" s="13"/>
      <c r="F18" s="22" t="e">
        <f ca="1">IF(D$12=0,0,D18/D$12)</f>
        <v>#NAME?</v>
      </c>
      <c r="G18" s="13"/>
      <c r="H18" s="21" t="e">
        <f ca="1">H12-H15</f>
        <v>#NAME?</v>
      </c>
      <c r="I18" s="13"/>
      <c r="J18" s="22" t="e">
        <f ca="1">IF(H$12=0,0,H18/H$12)</f>
        <v>#NAME?</v>
      </c>
      <c r="K18" s="16"/>
      <c r="L18" s="21" t="e">
        <f ca="1">+D18-H18</f>
        <v>#NAME?</v>
      </c>
      <c r="M18" s="16"/>
      <c r="N18" s="22" t="e">
        <f ca="1">IF(H18=0,0,L18/H18)</f>
        <v>#NAME?</v>
      </c>
      <c r="O18" s="25"/>
      <c r="P18" s="21" t="e">
        <f ca="1">P12-P15</f>
        <v>#NAME?</v>
      </c>
      <c r="Q18" s="13"/>
      <c r="R18" s="22" t="e">
        <f ca="1">IF(P$12=0,0,P18/P$12)</f>
        <v>#NAME?</v>
      </c>
      <c r="S18" s="13"/>
      <c r="T18" s="21" t="e">
        <f ca="1">T12-T15</f>
        <v>#NAME?</v>
      </c>
      <c r="U18" s="13"/>
      <c r="V18" s="22" t="e">
        <f ca="1">IF(T$12=0,0,T18/T$12)</f>
        <v>#NAME?</v>
      </c>
      <c r="W18" s="16"/>
      <c r="X18" s="21" t="e">
        <f ca="1">+P18-T18</f>
        <v>#NAME?</v>
      </c>
      <c r="Y18" s="16"/>
      <c r="Z18" s="22" t="e">
        <f ca="1">IF(T18=0,0,X18/T18)</f>
        <v>#NAME?</v>
      </c>
    </row>
    <row r="19" spans="1:26" x14ac:dyDescent="0.3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">
      <c r="A20" s="10"/>
      <c r="B20" s="25" t="s">
        <v>295</v>
      </c>
      <c r="C20" s="10"/>
      <c r="D20" s="20" t="e">
        <f ca="1">SUM(_xll.OneStop.ReportPlayer.OSRFunctions.OSRRef(D22))</f>
        <v>#NAME?</v>
      </c>
      <c r="E20" s="20"/>
      <c r="F20" s="32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2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2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2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2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2" t="e">
        <f t="shared" ref="Z20:Z22" ca="1" si="19">IF(T20=0,0,X20/T20)</f>
        <v>#NAME?</v>
      </c>
    </row>
    <row r="21" spans="1:26" s="27" customFormat="1" outlineLevel="1" collapsed="1" x14ac:dyDescent="0.3">
      <c r="A21" s="28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3">
      <c r="A22" s="29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8" t="e">
        <f ca="1">_xll.OneStop.ReportPlayer.OSRFunctions.OSRGet("GL_F_Trans","Value1")</f>
        <v>#NAME?</v>
      </c>
      <c r="E22" s="3"/>
      <c r="F22" s="7" t="e">
        <f t="shared" ca="1" si="12"/>
        <v>#NAME?</v>
      </c>
      <c r="G22" s="3"/>
      <c r="H22" s="8" t="e">
        <f ca="1">_xll.OneStop.ReportPlayer.OSRFunctions.OSRGet("GL_F_Trans","Value1")</f>
        <v>#NAME?</v>
      </c>
      <c r="I22" s="3"/>
      <c r="J22" s="7" t="e">
        <f t="shared" ca="1" si="13"/>
        <v>#NAME?</v>
      </c>
      <c r="K22" s="3"/>
      <c r="L22" s="8" t="e">
        <f t="shared" ca="1" si="14"/>
        <v>#NAME?</v>
      </c>
      <c r="M22" s="3"/>
      <c r="N22" s="7" t="e">
        <f t="shared" ca="1" si="15"/>
        <v>#NAME?</v>
      </c>
      <c r="O22" s="11"/>
      <c r="P22" s="8" t="e">
        <f ca="1">_xll.OneStop.ReportPlayer.OSRFunctions.OSRGet("GL_F_Trans","Value1")</f>
        <v>#NAME?</v>
      </c>
      <c r="Q22" s="3"/>
      <c r="R22" s="7" t="e">
        <f t="shared" ca="1" si="16"/>
        <v>#NAME?</v>
      </c>
      <c r="S22" s="3"/>
      <c r="T22" s="8" t="e">
        <f ca="1">_xll.OneStop.ReportPlayer.OSRFunctions.OSRGet("GL_F_Trans","Value1")</f>
        <v>#NAME?</v>
      </c>
      <c r="U22" s="3"/>
      <c r="V22" s="7" t="e">
        <f t="shared" ca="1" si="17"/>
        <v>#NAME?</v>
      </c>
      <c r="W22" s="3"/>
      <c r="X22" s="8" t="e">
        <f t="shared" ca="1" si="18"/>
        <v>#NAME?</v>
      </c>
      <c r="Y22" s="3"/>
      <c r="Z22" s="7" t="e">
        <f t="shared" ca="1" si="19"/>
        <v>#NAME?</v>
      </c>
    </row>
    <row r="23" spans="1:26" s="62" customFormat="1" x14ac:dyDescent="0.3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3">
      <c r="A24" s="10"/>
      <c r="B24" s="25" t="s">
        <v>293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3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3" t="e">
        <f ca="1">-_xll.OneStop.ReportPlayer.OSRFunctions.OSRGet("GL_F_Trans","Value1")</f>
        <v>#NAME?</v>
      </c>
      <c r="E25" s="3"/>
      <c r="F25" s="19" t="e">
        <f t="shared" ca="1" si="20"/>
        <v>#NAME?</v>
      </c>
      <c r="G25" s="3"/>
      <c r="H25" s="3" t="e">
        <f ca="1">_xll.OneStop.ReportPlayer.OSRFunctions.OSRGet("GL_F_Trans","Value1")</f>
        <v>#NAME?</v>
      </c>
      <c r="I25" s="3"/>
      <c r="J25" s="19" t="e">
        <f t="shared" ca="1" si="21"/>
        <v>#NAME?</v>
      </c>
      <c r="K25" s="3"/>
      <c r="L25" s="3" t="e">
        <f t="shared" ca="1" si="22"/>
        <v>#NAME?</v>
      </c>
      <c r="M25" s="3"/>
      <c r="N25" s="19" t="e">
        <f t="shared" ca="1" si="23"/>
        <v>#NAME?</v>
      </c>
      <c r="O25" s="11"/>
      <c r="P25" s="3" t="e">
        <f ca="1">-_xll.OneStop.ReportPlayer.OSRFunctions.OSRGet("GL_F_Trans","Value1")</f>
        <v>#NAME?</v>
      </c>
      <c r="Q25" s="3"/>
      <c r="R25" s="19" t="e">
        <f t="shared" ca="1" si="24"/>
        <v>#NAME?</v>
      </c>
      <c r="S25" s="3"/>
      <c r="T25" s="3" t="e">
        <f ca="1">_xll.OneStop.ReportPlayer.OSRFunctions.OSRGet("GL_F_Trans","Value1")</f>
        <v>#NAME?</v>
      </c>
      <c r="U25" s="3"/>
      <c r="V25" s="19" t="e">
        <f t="shared" ca="1" si="25"/>
        <v>#NAME?</v>
      </c>
      <c r="W25" s="3"/>
      <c r="X25" s="3" t="e">
        <f t="shared" ca="1" si="26"/>
        <v>#NAME?</v>
      </c>
      <c r="Y25" s="3"/>
      <c r="Z25" s="19" t="e">
        <f t="shared" ca="1" si="27"/>
        <v>#NAME?</v>
      </c>
    </row>
    <row r="26" spans="1:26" x14ac:dyDescent="0.3">
      <c r="A26" s="9"/>
      <c r="B26" s="10"/>
      <c r="C26" s="10"/>
      <c r="D26" s="2"/>
      <c r="E26" s="2"/>
      <c r="F26" s="6"/>
      <c r="G26" s="2"/>
      <c r="H26" s="2"/>
      <c r="I26" s="2"/>
      <c r="J26" s="6"/>
      <c r="K26" s="2"/>
      <c r="L26" s="2"/>
      <c r="M26" s="2"/>
      <c r="N26" s="6"/>
      <c r="O26" s="10"/>
      <c r="P26" s="2"/>
      <c r="Q26" s="2"/>
      <c r="R26" s="6"/>
      <c r="S26" s="2"/>
      <c r="T26" s="2"/>
      <c r="U26" s="2"/>
      <c r="V26" s="6"/>
      <c r="W26" s="2"/>
      <c r="X26" s="2"/>
      <c r="Y26" s="2"/>
      <c r="Z26" s="6"/>
    </row>
    <row r="27" spans="1:26" s="23" customFormat="1" x14ac:dyDescent="0.3">
      <c r="A27" s="10"/>
      <c r="B27" s="26" t="s">
        <v>277</v>
      </c>
      <c r="C27" s="26"/>
      <c r="D27" s="21" t="e">
        <f ca="1">+D18-D20+D24</f>
        <v>#NAME?</v>
      </c>
      <c r="E27" s="13"/>
      <c r="F27" s="22" t="e">
        <f ca="1">IF(D$12=0,0,D27/D$12)</f>
        <v>#NAME?</v>
      </c>
      <c r="G27" s="13"/>
      <c r="H27" s="21" t="e">
        <f ca="1">+H18-H20+H24</f>
        <v>#NAME?</v>
      </c>
      <c r="I27" s="13"/>
      <c r="J27" s="22" t="e">
        <f ca="1">IF(H$12=0,0,H27/H$12)</f>
        <v>#NAME?</v>
      </c>
      <c r="K27" s="16"/>
      <c r="L27" s="21" t="e">
        <f ca="1">+D27-H27</f>
        <v>#NAME?</v>
      </c>
      <c r="M27" s="16"/>
      <c r="N27" s="22" t="e">
        <f ca="1">IF(H27=0,0,L27/H27)</f>
        <v>#NAME?</v>
      </c>
      <c r="O27" s="25"/>
      <c r="P27" s="21" t="e">
        <f ca="1">+P18-P20+P24</f>
        <v>#NAME?</v>
      </c>
      <c r="Q27" s="13"/>
      <c r="R27" s="22" t="e">
        <f ca="1">IF(P$12=0,0,P27/P$12)</f>
        <v>#NAME?</v>
      </c>
      <c r="S27" s="13"/>
      <c r="T27" s="21" t="e">
        <f ca="1">+T18-T20+T24</f>
        <v>#NAME?</v>
      </c>
      <c r="U27" s="13"/>
      <c r="V27" s="22" t="e">
        <f ca="1">IF(T$12=0,0,T27/T$12)</f>
        <v>#NAME?</v>
      </c>
      <c r="W27" s="16"/>
      <c r="X27" s="21" t="e">
        <f ca="1">+P27-T27</f>
        <v>#NAME?</v>
      </c>
      <c r="Y27" s="16"/>
      <c r="Z27" s="22" t="e">
        <f ca="1">IF(T27=0,0,X27/T27)</f>
        <v>#NAME?</v>
      </c>
    </row>
    <row r="28" spans="1:26" x14ac:dyDescent="0.3">
      <c r="A28" s="9"/>
      <c r="B28" s="10"/>
      <c r="C28" s="9"/>
      <c r="D28" s="2"/>
      <c r="E28" s="2"/>
      <c r="F28" s="6"/>
      <c r="G28" s="2"/>
      <c r="H28" s="2"/>
      <c r="I28" s="2"/>
      <c r="J28" s="6"/>
      <c r="K28" s="2"/>
      <c r="L28" s="2"/>
      <c r="M28" s="2"/>
      <c r="N28" s="6"/>
      <c r="P28" s="2"/>
      <c r="Q28" s="2"/>
      <c r="R28" s="6"/>
      <c r="S28" s="2"/>
      <c r="T28" s="2"/>
      <c r="U28" s="2"/>
      <c r="V28" s="6"/>
      <c r="W28" s="2"/>
      <c r="X28" s="2"/>
      <c r="Y28" s="2"/>
      <c r="Z28" s="6"/>
    </row>
    <row r="29" spans="1:26" s="23" customFormat="1" x14ac:dyDescent="0.3">
      <c r="A29" s="52"/>
      <c r="B29" s="10" t="s">
        <v>128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3">
      <c r="A30" s="9"/>
      <c r="B30" s="10"/>
      <c r="C30" s="10"/>
      <c r="D30" s="2"/>
      <c r="E30" s="2"/>
      <c r="F30" s="6"/>
      <c r="G30" s="2"/>
      <c r="H30" s="2"/>
      <c r="I30" s="2"/>
      <c r="J30" s="6"/>
      <c r="K30" s="2"/>
      <c r="L30" s="2"/>
      <c r="M30" s="2"/>
      <c r="N30" s="6"/>
      <c r="O30" s="10"/>
      <c r="P30" s="2"/>
      <c r="Q30" s="2"/>
      <c r="R30" s="6"/>
      <c r="S30" s="2"/>
      <c r="T30" s="2"/>
      <c r="U30" s="2"/>
      <c r="V30" s="6"/>
      <c r="W30" s="2"/>
      <c r="X30" s="2"/>
      <c r="Y30" s="2"/>
      <c r="Z30" s="6"/>
    </row>
    <row r="31" spans="1:26" s="23" customFormat="1" ht="15" thickBot="1" x14ac:dyDescent="0.35">
      <c r="A31" s="10"/>
      <c r="B31" s="26" t="s">
        <v>126</v>
      </c>
      <c r="C31" s="26"/>
      <c r="D31" s="35" t="e">
        <f ca="1">+D27-D29</f>
        <v>#NAME?</v>
      </c>
      <c r="E31" s="13"/>
      <c r="F31" s="30" t="e">
        <f ca="1">IF(D$12=0,0,D31/D$12)</f>
        <v>#NAME?</v>
      </c>
      <c r="G31" s="13"/>
      <c r="H31" s="35" t="e">
        <f ca="1">+H27-H29</f>
        <v>#NAME?</v>
      </c>
      <c r="I31" s="13"/>
      <c r="J31" s="30" t="e">
        <f ca="1">IF(H$12=0,0,H31/H$12)</f>
        <v>#NAME?</v>
      </c>
      <c r="K31" s="16"/>
      <c r="L31" s="35" t="e">
        <f ca="1">D31-H31</f>
        <v>#NAME?</v>
      </c>
      <c r="M31" s="16"/>
      <c r="N31" s="30" t="e">
        <f ca="1">IF(H31=0,0,L31/H31)</f>
        <v>#NAME?</v>
      </c>
      <c r="O31" s="25"/>
      <c r="P31" s="35" t="e">
        <f ca="1">+P27-P29</f>
        <v>#NAME?</v>
      </c>
      <c r="Q31" s="13"/>
      <c r="R31" s="30" t="e">
        <f ca="1">IF(P$12=0,0,P31/P$12)</f>
        <v>#NAME?</v>
      </c>
      <c r="S31" s="13"/>
      <c r="T31" s="35" t="e">
        <f ca="1">+T27-T29</f>
        <v>#NAME?</v>
      </c>
      <c r="U31" s="13"/>
      <c r="V31" s="30" t="e">
        <f ca="1">IF(T$12=0,0,T31/T$12)</f>
        <v>#NAME?</v>
      </c>
      <c r="W31" s="16"/>
      <c r="X31" s="35" t="e">
        <f ca="1">P31-T31</f>
        <v>#NAME?</v>
      </c>
      <c r="Y31" s="16"/>
      <c r="Z31" s="30" t="e">
        <f ca="1">IF(T31=0,0,X31/T31)</f>
        <v>#NAME?</v>
      </c>
    </row>
    <row r="32" spans="1:26" ht="15" thickTop="1" x14ac:dyDescent="0.3">
      <c r="A32" s="9"/>
      <c r="B32" s="9"/>
      <c r="C32" s="9"/>
      <c r="D32" s="2"/>
      <c r="E32" s="2"/>
      <c r="F32" s="6"/>
      <c r="G32" s="2"/>
      <c r="H32" s="2"/>
      <c r="I32" s="2"/>
      <c r="J32" s="6"/>
      <c r="K32" s="2"/>
      <c r="L32" s="2"/>
      <c r="M32" s="2"/>
      <c r="N32" s="6"/>
      <c r="P32" s="2"/>
      <c r="Q32" s="2"/>
      <c r="R32" s="6"/>
      <c r="S32" s="2"/>
      <c r="T32" s="2"/>
      <c r="U32" s="2"/>
      <c r="V32" s="6"/>
      <c r="W32" s="2"/>
      <c r="X32" s="2"/>
      <c r="Y32" s="2"/>
      <c r="Z32" s="6"/>
    </row>
    <row r="33" spans="1:26" s="23" customFormat="1" x14ac:dyDescent="0.3">
      <c r="A33" s="52"/>
      <c r="B33" s="10" t="s">
        <v>184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3">
      <c r="A34" s="52"/>
      <c r="B34" s="10" t="s">
        <v>82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3">
      <c r="A35" s="9"/>
      <c r="B35" s="9"/>
      <c r="C35" s="9"/>
      <c r="D35" s="2"/>
      <c r="E35" s="2"/>
      <c r="F35" s="6"/>
      <c r="G35" s="2"/>
      <c r="H35" s="2"/>
      <c r="I35" s="2"/>
      <c r="J35" s="6"/>
      <c r="K35" s="2"/>
      <c r="L35" s="2"/>
      <c r="M35" s="2"/>
      <c r="N35" s="6"/>
      <c r="P35" s="2"/>
      <c r="Q35" s="2"/>
      <c r="R35" s="6"/>
      <c r="S35" s="2"/>
      <c r="T35" s="2"/>
      <c r="U35" s="2"/>
      <c r="V35" s="6"/>
      <c r="W35" s="2"/>
      <c r="X35" s="2"/>
      <c r="Y35" s="2"/>
      <c r="Z35" s="6"/>
    </row>
    <row r="36" spans="1:26" s="23" customFormat="1" ht="15" thickBot="1" x14ac:dyDescent="0.35">
      <c r="A36" s="10"/>
      <c r="B36" s="26" t="s">
        <v>294</v>
      </c>
      <c r="C36" s="26"/>
      <c r="D36" s="33" t="e">
        <f ca="1">SUM(D31:D35)</f>
        <v>#NAME?</v>
      </c>
      <c r="E36" s="13"/>
      <c r="F36" s="31" t="e">
        <f ca="1">IF(D$12=0,0,D36/D$12)</f>
        <v>#NAME?</v>
      </c>
      <c r="G36" s="13"/>
      <c r="H36" s="33" t="e">
        <f ca="1">SUM(H31:H35)</f>
        <v>#NAME?</v>
      </c>
      <c r="I36" s="13"/>
      <c r="J36" s="31" t="e">
        <f ca="1">IF(H$12=0,0,H36/H$12)</f>
        <v>#NAME?</v>
      </c>
      <c r="K36" s="16"/>
      <c r="L36" s="33" t="e">
        <f ca="1">+D36-H36</f>
        <v>#NAME?</v>
      </c>
      <c r="M36" s="16"/>
      <c r="N36" s="31" t="e">
        <f ca="1">IF(H36=0,0,L36/H36)</f>
        <v>#NAME?</v>
      </c>
      <c r="O36" s="25"/>
      <c r="P36" s="33" t="e">
        <f ca="1">SUM(P31:P35)</f>
        <v>#NAME?</v>
      </c>
      <c r="Q36" s="13"/>
      <c r="R36" s="31" t="e">
        <f ca="1">IF(P$12=0,0,P36/P$12)</f>
        <v>#NAME?</v>
      </c>
      <c r="S36" s="13"/>
      <c r="T36" s="33" t="e">
        <f ca="1">SUM(T31:T35)</f>
        <v>#NAME?</v>
      </c>
      <c r="U36" s="13"/>
      <c r="V36" s="31" t="e">
        <f ca="1">IF(T$12=0,0,T36/T$12)</f>
        <v>#NAME?</v>
      </c>
      <c r="W36" s="16"/>
      <c r="X36" s="33" t="e">
        <f ca="1">+P36-T36</f>
        <v>#NAME?</v>
      </c>
      <c r="Y36" s="16"/>
      <c r="Z36" s="31" t="e">
        <f ca="1">IF(T36=0,0,X36/T36)</f>
        <v>#NAME?</v>
      </c>
    </row>
    <row r="37" spans="1:26" ht="15" thickTop="1" x14ac:dyDescent="0.3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3">
      <c r="A38" s="9"/>
      <c r="B38" s="54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3">
      <c r="A39" s="9"/>
      <c r="B39" s="59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3">
      <c r="A40" s="9"/>
      <c r="B40" s="55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3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50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7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50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7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7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7" customWidth="1" outlineLevel="1"/>
  </cols>
  <sheetData>
    <row r="2" spans="1:26" x14ac:dyDescent="0.3">
      <c r="D2" s="57" t="s">
        <v>23</v>
      </c>
    </row>
    <row r="3" spans="1:26" x14ac:dyDescent="0.3">
      <c r="D3" s="57" t="s">
        <v>237</v>
      </c>
      <c r="E3" s="17"/>
      <c r="F3" s="51"/>
      <c r="G3" s="17"/>
      <c r="H3" s="17"/>
      <c r="I3" s="17"/>
      <c r="J3" s="39"/>
      <c r="K3" s="17"/>
      <c r="L3" s="17"/>
      <c r="M3" s="17"/>
      <c r="N3" s="51"/>
      <c r="O3" s="61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3">
      <c r="D4" s="57" t="e">
        <f ca="1">CONCATENATE("Period ",RIGHT(_xll.OneStop.ReportPlayer.OSRFunctions.OSRGet("Period","PeriodId"),2),", ",_xll.OneStop.ReportPlayer.OSRFunctions.OSRGet("Period","Year"))</f>
        <v>#NAME?</v>
      </c>
      <c r="E4" s="17"/>
      <c r="F4" s="51"/>
      <c r="G4" s="17"/>
      <c r="H4" s="17"/>
      <c r="I4" s="17"/>
      <c r="J4" s="39"/>
      <c r="K4" s="17"/>
      <c r="L4" s="17"/>
      <c r="M4" s="17"/>
      <c r="N4" s="51"/>
      <c r="O4" s="61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3">
      <c r="A5" s="23"/>
      <c r="D5" s="65" t="e">
        <f ca="1">_xll.OneStop.ReportPlayer.OSRFunctions.OSRGet("Period","PeriodEnd")</f>
        <v>#NAME?</v>
      </c>
      <c r="E5" s="17"/>
      <c r="F5" s="51"/>
      <c r="G5" s="17"/>
      <c r="H5" s="17"/>
      <c r="I5" s="17"/>
      <c r="J5" s="39"/>
      <c r="K5" s="17"/>
      <c r="L5" s="17"/>
      <c r="M5" s="17"/>
      <c r="N5" s="51"/>
      <c r="O5" s="61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3">
      <c r="A6" s="23"/>
      <c r="B6" s="47"/>
      <c r="C6" s="47"/>
      <c r="D6" s="23" t="s">
        <v>219</v>
      </c>
      <c r="E6" s="17"/>
      <c r="F6" s="51"/>
      <c r="G6" s="17"/>
      <c r="H6" s="17"/>
      <c r="I6" s="17"/>
      <c r="J6" s="39"/>
      <c r="K6" s="17"/>
      <c r="L6" s="17"/>
      <c r="M6" s="17"/>
      <c r="N6" s="51"/>
      <c r="O6" s="60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3">
      <c r="B7" s="63"/>
    </row>
    <row r="8" spans="1:26" x14ac:dyDescent="0.3">
      <c r="B8" s="63"/>
    </row>
    <row r="9" spans="1:26" x14ac:dyDescent="0.3">
      <c r="B9" s="9"/>
      <c r="C9" s="9"/>
      <c r="D9" s="15" t="s">
        <v>292</v>
      </c>
      <c r="E9" s="15"/>
      <c r="F9" s="38"/>
      <c r="G9" s="15"/>
      <c r="H9" s="15"/>
      <c r="I9" s="15"/>
      <c r="J9" s="49"/>
      <c r="K9" s="15"/>
      <c r="L9" s="15"/>
      <c r="M9" s="15"/>
      <c r="N9" s="38"/>
      <c r="P9" s="15" t="s">
        <v>39</v>
      </c>
      <c r="Q9" s="15"/>
      <c r="R9" s="38"/>
      <c r="S9" s="15"/>
      <c r="T9" s="15"/>
      <c r="U9" s="15"/>
      <c r="V9" s="49"/>
      <c r="W9" s="15"/>
      <c r="X9" s="15"/>
      <c r="Y9" s="15"/>
      <c r="Z9" s="38"/>
    </row>
    <row r="10" spans="1:26" x14ac:dyDescent="0.3">
      <c r="A10" s="10"/>
      <c r="B10" s="53"/>
      <c r="C10" s="10"/>
      <c r="D10" s="42" t="s">
        <v>57</v>
      </c>
      <c r="E10" s="34"/>
      <c r="F10" s="40" t="s">
        <v>40</v>
      </c>
      <c r="G10" s="34"/>
      <c r="H10" s="45" t="s">
        <v>238</v>
      </c>
      <c r="I10" s="34"/>
      <c r="J10" s="48" t="s">
        <v>58</v>
      </c>
      <c r="K10" s="10"/>
      <c r="L10" s="42" t="s">
        <v>127</v>
      </c>
      <c r="M10" s="10"/>
      <c r="N10" s="40" t="s">
        <v>258</v>
      </c>
      <c r="O10" s="10"/>
      <c r="P10" s="56" t="s">
        <v>57</v>
      </c>
      <c r="Q10" s="34"/>
      <c r="R10" s="40" t="s">
        <v>40</v>
      </c>
      <c r="S10" s="34"/>
      <c r="T10" s="45" t="s">
        <v>238</v>
      </c>
      <c r="U10" s="34"/>
      <c r="V10" s="48" t="s">
        <v>58</v>
      </c>
      <c r="W10" s="10"/>
      <c r="X10" s="42" t="s">
        <v>127</v>
      </c>
      <c r="Y10" s="10"/>
      <c r="Z10" s="40" t="s">
        <v>258</v>
      </c>
    </row>
    <row r="11" spans="1:26" ht="15.6" x14ac:dyDescent="0.3">
      <c r="A11" s="9"/>
      <c r="B11" s="58"/>
      <c r="C11" s="9"/>
      <c r="D11" s="9"/>
      <c r="E11" s="9"/>
      <c r="F11" s="6"/>
      <c r="G11" s="9"/>
      <c r="H11" s="9"/>
      <c r="I11" s="9"/>
      <c r="J11" s="46"/>
      <c r="K11" s="9"/>
      <c r="L11" s="9"/>
      <c r="M11" s="9"/>
      <c r="N11" s="6"/>
      <c r="P11" s="9"/>
      <c r="Q11" s="9"/>
      <c r="R11" s="6"/>
      <c r="S11" s="9"/>
      <c r="T11" s="9"/>
      <c r="U11" s="9"/>
      <c r="V11" s="46"/>
      <c r="W11" s="9"/>
      <c r="X11" s="9"/>
      <c r="Y11" s="9"/>
      <c r="Z11" s="6"/>
    </row>
    <row r="12" spans="1:26" s="23" customFormat="1" collapsed="1" x14ac:dyDescent="0.3">
      <c r="A12" s="10"/>
      <c r="B12" s="25" t="s">
        <v>140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3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3" t="e">
        <f ca="1">-_xll.OneStop.ReportPlayer.OSRFunctions.OSRGet("GL_F_Trans","Value1")</f>
        <v>#NAME?</v>
      </c>
      <c r="E13" s="3"/>
      <c r="F13" s="19"/>
      <c r="G13" s="3"/>
      <c r="H13" s="3" t="e">
        <f ca="1">_xll.OneStop.ReportPlayer.OSRFunctions.OSRGet("GL_F_Trans","Value1")</f>
        <v>#NAME?</v>
      </c>
      <c r="I13" s="3"/>
      <c r="J13" s="19"/>
      <c r="K13" s="3"/>
      <c r="L13" s="3" t="e">
        <f t="shared" ca="1" si="0"/>
        <v>#NAME?</v>
      </c>
      <c r="M13" s="3"/>
      <c r="N13" s="19" t="e">
        <f t="shared" ca="1" si="1"/>
        <v>#NAME?</v>
      </c>
      <c r="O13" s="11"/>
      <c r="P13" s="3" t="e">
        <f ca="1">-_xll.OneStop.ReportPlayer.OSRFunctions.OSRGet("GL_F_Trans","Value1")</f>
        <v>#NAME?</v>
      </c>
      <c r="Q13" s="3"/>
      <c r="R13" s="19"/>
      <c r="S13" s="3"/>
      <c r="T13" s="3" t="e">
        <f ca="1">_xll.OneStop.ReportPlayer.OSRFunctions.OSRGet("GL_F_Trans","Value1")</f>
        <v>#NAME?</v>
      </c>
      <c r="U13" s="3"/>
      <c r="V13" s="19"/>
      <c r="W13" s="3"/>
      <c r="X13" s="3" t="e">
        <f t="shared" ca="1" si="2"/>
        <v>#NAME?</v>
      </c>
      <c r="Y13" s="3"/>
      <c r="Z13" s="19" t="e">
        <f t="shared" ca="1" si="3"/>
        <v>#NAME?</v>
      </c>
    </row>
    <row r="14" spans="1:26" x14ac:dyDescent="0.3">
      <c r="A14" s="9"/>
      <c r="B14" s="10"/>
      <c r="C14" s="9"/>
      <c r="D14" s="2"/>
      <c r="E14" s="2"/>
      <c r="F14" s="6"/>
      <c r="G14" s="2"/>
      <c r="H14" s="2"/>
      <c r="I14" s="2"/>
      <c r="J14" s="6"/>
      <c r="K14" s="2"/>
      <c r="L14" s="2"/>
      <c r="M14" s="2"/>
      <c r="N14" s="6"/>
      <c r="P14" s="2"/>
      <c r="Q14" s="2"/>
      <c r="R14" s="6"/>
      <c r="S14" s="2"/>
      <c r="T14" s="2"/>
      <c r="U14" s="2"/>
      <c r="V14" s="6"/>
      <c r="W14" s="2"/>
      <c r="X14" s="2"/>
      <c r="Y14" s="2"/>
      <c r="Z14" s="6"/>
    </row>
    <row r="15" spans="1:26" s="23" customFormat="1" collapsed="1" x14ac:dyDescent="0.3">
      <c r="A15" s="10"/>
      <c r="B15" s="25" t="s">
        <v>257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3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3" t="e">
        <f ca="1">_xll.OneStop.ReportPlayer.OSRFunctions.OSRGet("GL_F_Trans","Value1")</f>
        <v>#NAME?</v>
      </c>
      <c r="E16" s="3"/>
      <c r="F16" s="19" t="e">
        <f t="shared" ca="1" si="4"/>
        <v>#NAME?</v>
      </c>
      <c r="G16" s="3"/>
      <c r="H16" s="3" t="e">
        <f ca="1">_xll.OneStop.ReportPlayer.OSRFunctions.OSRGet("GL_F_Trans","Value1")</f>
        <v>#NAME?</v>
      </c>
      <c r="I16" s="3"/>
      <c r="J16" s="19" t="e">
        <f t="shared" ca="1" si="5"/>
        <v>#NAME?</v>
      </c>
      <c r="K16" s="3"/>
      <c r="L16" s="3" t="e">
        <f t="shared" ca="1" si="6"/>
        <v>#NAME?</v>
      </c>
      <c r="M16" s="3"/>
      <c r="N16" s="19" t="e">
        <f t="shared" ca="1" si="7"/>
        <v>#NAME?</v>
      </c>
      <c r="O16" s="11"/>
      <c r="P16" s="3" t="e">
        <f ca="1">_xll.OneStop.ReportPlayer.OSRFunctions.OSRGet("GL_F_Trans","Value1")</f>
        <v>#NAME?</v>
      </c>
      <c r="Q16" s="3"/>
      <c r="R16" s="19" t="e">
        <f t="shared" ca="1" si="8"/>
        <v>#NAME?</v>
      </c>
      <c r="S16" s="3"/>
      <c r="T16" s="3" t="e">
        <f ca="1">_xll.OneStop.ReportPlayer.OSRFunctions.OSRGet("GL_F_Trans","Value1")</f>
        <v>#NAME?</v>
      </c>
      <c r="U16" s="3"/>
      <c r="V16" s="19" t="e">
        <f t="shared" ca="1" si="9"/>
        <v>#NAME?</v>
      </c>
      <c r="W16" s="3"/>
      <c r="X16" s="3" t="e">
        <f t="shared" ca="1" si="10"/>
        <v>#NAME?</v>
      </c>
      <c r="Y16" s="3"/>
      <c r="Z16" s="19" t="e">
        <f t="shared" ca="1" si="11"/>
        <v>#NAME?</v>
      </c>
    </row>
    <row r="17" spans="1:26" x14ac:dyDescent="0.3">
      <c r="A17" s="9"/>
      <c r="B17" s="10"/>
      <c r="C17" s="10"/>
      <c r="D17" s="2"/>
      <c r="E17" s="2"/>
      <c r="F17" s="6"/>
      <c r="G17" s="2"/>
      <c r="H17" s="2"/>
      <c r="I17" s="2"/>
      <c r="J17" s="6"/>
      <c r="K17" s="2"/>
      <c r="L17" s="2"/>
      <c r="M17" s="2"/>
      <c r="N17" s="6"/>
      <c r="O17" s="10"/>
      <c r="P17" s="2"/>
      <c r="Q17" s="2"/>
      <c r="R17" s="6"/>
      <c r="S17" s="2"/>
      <c r="T17" s="2"/>
      <c r="U17" s="2"/>
      <c r="V17" s="6"/>
      <c r="W17" s="2"/>
      <c r="X17" s="2"/>
      <c r="Y17" s="2"/>
      <c r="Z17" s="6"/>
    </row>
    <row r="18" spans="1:26" s="23" customFormat="1" x14ac:dyDescent="0.3">
      <c r="A18" s="10"/>
      <c r="B18" s="26" t="s">
        <v>108</v>
      </c>
      <c r="C18" s="26"/>
      <c r="D18" s="21" t="e">
        <f ca="1">D12-D15</f>
        <v>#NAME?</v>
      </c>
      <c r="E18" s="13"/>
      <c r="F18" s="22" t="e">
        <f ca="1">IF(D$12=0,0,D18/D$12)</f>
        <v>#NAME?</v>
      </c>
      <c r="G18" s="13"/>
      <c r="H18" s="21" t="e">
        <f ca="1">H12-H15</f>
        <v>#NAME?</v>
      </c>
      <c r="I18" s="13"/>
      <c r="J18" s="22" t="e">
        <f ca="1">IF(H$12=0,0,H18/H$12)</f>
        <v>#NAME?</v>
      </c>
      <c r="K18" s="16"/>
      <c r="L18" s="21" t="e">
        <f ca="1">+D18-H18</f>
        <v>#NAME?</v>
      </c>
      <c r="M18" s="16"/>
      <c r="N18" s="22" t="e">
        <f ca="1">IF(H18=0,0,L18/H18)</f>
        <v>#NAME?</v>
      </c>
      <c r="O18" s="25"/>
      <c r="P18" s="21" t="e">
        <f ca="1">P12-P15</f>
        <v>#NAME?</v>
      </c>
      <c r="Q18" s="13"/>
      <c r="R18" s="22" t="e">
        <f ca="1">IF(P$12=0,0,P18/P$12)</f>
        <v>#NAME?</v>
      </c>
      <c r="S18" s="13"/>
      <c r="T18" s="21" t="e">
        <f ca="1">T12-T15</f>
        <v>#NAME?</v>
      </c>
      <c r="U18" s="13"/>
      <c r="V18" s="22" t="e">
        <f ca="1">IF(T$12=0,0,T18/T$12)</f>
        <v>#NAME?</v>
      </c>
      <c r="W18" s="16"/>
      <c r="X18" s="21" t="e">
        <f ca="1">+P18-T18</f>
        <v>#NAME?</v>
      </c>
      <c r="Y18" s="16"/>
      <c r="Z18" s="22" t="e">
        <f ca="1">IF(T18=0,0,X18/T18)</f>
        <v>#NAME?</v>
      </c>
    </row>
    <row r="19" spans="1:26" x14ac:dyDescent="0.3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">
      <c r="A20" s="10"/>
      <c r="B20" s="25" t="s">
        <v>295</v>
      </c>
      <c r="C20" s="10"/>
      <c r="D20" s="20" t="e">
        <f ca="1">SUM(_xll.OneStop.ReportPlayer.OSRFunctions.OSRRef(D22))</f>
        <v>#NAME?</v>
      </c>
      <c r="E20" s="20"/>
      <c r="F20" s="32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2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2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2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2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2" t="e">
        <f t="shared" ref="Z20:Z22" ca="1" si="19">IF(T20=0,0,X20/T20)</f>
        <v>#NAME?</v>
      </c>
    </row>
    <row r="21" spans="1:26" s="27" customFormat="1" outlineLevel="1" collapsed="1" x14ac:dyDescent="0.3">
      <c r="A21" s="28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3">
      <c r="A22" s="29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8" t="e">
        <f ca="1">_xll.OneStop.ReportPlayer.OSRFunctions.OSRGet("GL_F_Trans","Value1")</f>
        <v>#NAME?</v>
      </c>
      <c r="E22" s="3"/>
      <c r="F22" s="7" t="e">
        <f t="shared" ca="1" si="12"/>
        <v>#NAME?</v>
      </c>
      <c r="G22" s="3"/>
      <c r="H22" s="8" t="e">
        <f ca="1">_xll.OneStop.ReportPlayer.OSRFunctions.OSRGet("GL_F_Trans","Value1")</f>
        <v>#NAME?</v>
      </c>
      <c r="I22" s="3"/>
      <c r="J22" s="7" t="e">
        <f t="shared" ca="1" si="13"/>
        <v>#NAME?</v>
      </c>
      <c r="K22" s="3"/>
      <c r="L22" s="8" t="e">
        <f t="shared" ca="1" si="14"/>
        <v>#NAME?</v>
      </c>
      <c r="M22" s="3"/>
      <c r="N22" s="7" t="e">
        <f t="shared" ca="1" si="15"/>
        <v>#NAME?</v>
      </c>
      <c r="O22" s="11"/>
      <c r="P22" s="8" t="e">
        <f ca="1">_xll.OneStop.ReportPlayer.OSRFunctions.OSRGet("GL_F_Trans","Value1")</f>
        <v>#NAME?</v>
      </c>
      <c r="Q22" s="3"/>
      <c r="R22" s="7" t="e">
        <f t="shared" ca="1" si="16"/>
        <v>#NAME?</v>
      </c>
      <c r="S22" s="3"/>
      <c r="T22" s="8" t="e">
        <f ca="1">_xll.OneStop.ReportPlayer.OSRFunctions.OSRGet("GL_F_Trans","Value1")</f>
        <v>#NAME?</v>
      </c>
      <c r="U22" s="3"/>
      <c r="V22" s="7" t="e">
        <f t="shared" ca="1" si="17"/>
        <v>#NAME?</v>
      </c>
      <c r="W22" s="3"/>
      <c r="X22" s="8" t="e">
        <f t="shared" ca="1" si="18"/>
        <v>#NAME?</v>
      </c>
      <c r="Y22" s="3"/>
      <c r="Z22" s="7" t="e">
        <f t="shared" ca="1" si="19"/>
        <v>#NAME?</v>
      </c>
    </row>
    <row r="23" spans="1:26" s="62" customFormat="1" x14ac:dyDescent="0.3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3">
      <c r="A24" s="10"/>
      <c r="B24" s="25" t="s">
        <v>293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3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3" t="e">
        <f ca="1">-_xll.OneStop.ReportPlayer.OSRFunctions.OSRGet("GL_F_Trans","Value1")</f>
        <v>#NAME?</v>
      </c>
      <c r="E25" s="3"/>
      <c r="F25" s="19" t="e">
        <f t="shared" ca="1" si="20"/>
        <v>#NAME?</v>
      </c>
      <c r="G25" s="3"/>
      <c r="H25" s="3" t="e">
        <f ca="1">_xll.OneStop.ReportPlayer.OSRFunctions.OSRGet("GL_F_Trans","Value1")</f>
        <v>#NAME?</v>
      </c>
      <c r="I25" s="3"/>
      <c r="J25" s="19" t="e">
        <f t="shared" ca="1" si="21"/>
        <v>#NAME?</v>
      </c>
      <c r="K25" s="3"/>
      <c r="L25" s="3" t="e">
        <f t="shared" ca="1" si="22"/>
        <v>#NAME?</v>
      </c>
      <c r="M25" s="3"/>
      <c r="N25" s="19" t="e">
        <f t="shared" ca="1" si="23"/>
        <v>#NAME?</v>
      </c>
      <c r="O25" s="11"/>
      <c r="P25" s="3" t="e">
        <f ca="1">-_xll.OneStop.ReportPlayer.OSRFunctions.OSRGet("GL_F_Trans","Value1")</f>
        <v>#NAME?</v>
      </c>
      <c r="Q25" s="3"/>
      <c r="R25" s="19" t="e">
        <f t="shared" ca="1" si="24"/>
        <v>#NAME?</v>
      </c>
      <c r="S25" s="3"/>
      <c r="T25" s="3" t="e">
        <f ca="1">_xll.OneStop.ReportPlayer.OSRFunctions.OSRGet("GL_F_Trans","Value1")</f>
        <v>#NAME?</v>
      </c>
      <c r="U25" s="3"/>
      <c r="V25" s="19" t="e">
        <f t="shared" ca="1" si="25"/>
        <v>#NAME?</v>
      </c>
      <c r="W25" s="3"/>
      <c r="X25" s="3" t="e">
        <f t="shared" ca="1" si="26"/>
        <v>#NAME?</v>
      </c>
      <c r="Y25" s="3"/>
      <c r="Z25" s="19" t="e">
        <f t="shared" ca="1" si="27"/>
        <v>#NAME?</v>
      </c>
    </row>
    <row r="26" spans="1:26" x14ac:dyDescent="0.3">
      <c r="A26" s="9"/>
      <c r="B26" s="10"/>
      <c r="C26" s="10"/>
      <c r="D26" s="2"/>
      <c r="E26" s="2"/>
      <c r="F26" s="6"/>
      <c r="G26" s="2"/>
      <c r="H26" s="2"/>
      <c r="I26" s="2"/>
      <c r="J26" s="6"/>
      <c r="K26" s="2"/>
      <c r="L26" s="2"/>
      <c r="M26" s="2"/>
      <c r="N26" s="6"/>
      <c r="O26" s="10"/>
      <c r="P26" s="2"/>
      <c r="Q26" s="2"/>
      <c r="R26" s="6"/>
      <c r="S26" s="2"/>
      <c r="T26" s="2"/>
      <c r="U26" s="2"/>
      <c r="V26" s="6"/>
      <c r="W26" s="2"/>
      <c r="X26" s="2"/>
      <c r="Y26" s="2"/>
      <c r="Z26" s="6"/>
    </row>
    <row r="27" spans="1:26" s="23" customFormat="1" x14ac:dyDescent="0.3">
      <c r="A27" s="10"/>
      <c r="B27" s="26" t="s">
        <v>277</v>
      </c>
      <c r="C27" s="26"/>
      <c r="D27" s="21" t="e">
        <f ca="1">+D18-D20+D24</f>
        <v>#NAME?</v>
      </c>
      <c r="E27" s="13"/>
      <c r="F27" s="22" t="e">
        <f ca="1">IF(D$12=0,0,D27/D$12)</f>
        <v>#NAME?</v>
      </c>
      <c r="G27" s="13"/>
      <c r="H27" s="21" t="e">
        <f ca="1">+H18-H20+H24</f>
        <v>#NAME?</v>
      </c>
      <c r="I27" s="13"/>
      <c r="J27" s="22" t="e">
        <f ca="1">IF(H$12=0,0,H27/H$12)</f>
        <v>#NAME?</v>
      </c>
      <c r="K27" s="16"/>
      <c r="L27" s="21" t="e">
        <f ca="1">+D27-H27</f>
        <v>#NAME?</v>
      </c>
      <c r="M27" s="16"/>
      <c r="N27" s="22" t="e">
        <f ca="1">IF(H27=0,0,L27/H27)</f>
        <v>#NAME?</v>
      </c>
      <c r="O27" s="25"/>
      <c r="P27" s="21" t="e">
        <f ca="1">+P18-P20+P24</f>
        <v>#NAME?</v>
      </c>
      <c r="Q27" s="13"/>
      <c r="R27" s="22" t="e">
        <f ca="1">IF(P$12=0,0,P27/P$12)</f>
        <v>#NAME?</v>
      </c>
      <c r="S27" s="13"/>
      <c r="T27" s="21" t="e">
        <f ca="1">+T18-T20+T24</f>
        <v>#NAME?</v>
      </c>
      <c r="U27" s="13"/>
      <c r="V27" s="22" t="e">
        <f ca="1">IF(T$12=0,0,T27/T$12)</f>
        <v>#NAME?</v>
      </c>
      <c r="W27" s="16"/>
      <c r="X27" s="21" t="e">
        <f ca="1">+P27-T27</f>
        <v>#NAME?</v>
      </c>
      <c r="Y27" s="16"/>
      <c r="Z27" s="22" t="e">
        <f ca="1">IF(T27=0,0,X27/T27)</f>
        <v>#NAME?</v>
      </c>
    </row>
    <row r="28" spans="1:26" x14ac:dyDescent="0.3">
      <c r="A28" s="9"/>
      <c r="B28" s="10"/>
      <c r="C28" s="9"/>
      <c r="D28" s="2"/>
      <c r="E28" s="2"/>
      <c r="F28" s="6"/>
      <c r="G28" s="2"/>
      <c r="H28" s="2"/>
      <c r="I28" s="2"/>
      <c r="J28" s="6"/>
      <c r="K28" s="2"/>
      <c r="L28" s="2"/>
      <c r="M28" s="2"/>
      <c r="N28" s="6"/>
      <c r="P28" s="2"/>
      <c r="Q28" s="2"/>
      <c r="R28" s="6"/>
      <c r="S28" s="2"/>
      <c r="T28" s="2"/>
      <c r="U28" s="2"/>
      <c r="V28" s="6"/>
      <c r="W28" s="2"/>
      <c r="X28" s="2"/>
      <c r="Y28" s="2"/>
      <c r="Z28" s="6"/>
    </row>
    <row r="29" spans="1:26" s="23" customFormat="1" x14ac:dyDescent="0.3">
      <c r="A29" s="52"/>
      <c r="B29" s="10" t="s">
        <v>128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3">
      <c r="A30" s="9"/>
      <c r="B30" s="10"/>
      <c r="C30" s="10"/>
      <c r="D30" s="2"/>
      <c r="E30" s="2"/>
      <c r="F30" s="6"/>
      <c r="G30" s="2"/>
      <c r="H30" s="2"/>
      <c r="I30" s="2"/>
      <c r="J30" s="6"/>
      <c r="K30" s="2"/>
      <c r="L30" s="2"/>
      <c r="M30" s="2"/>
      <c r="N30" s="6"/>
      <c r="O30" s="10"/>
      <c r="P30" s="2"/>
      <c r="Q30" s="2"/>
      <c r="R30" s="6"/>
      <c r="S30" s="2"/>
      <c r="T30" s="2"/>
      <c r="U30" s="2"/>
      <c r="V30" s="6"/>
      <c r="W30" s="2"/>
      <c r="X30" s="2"/>
      <c r="Y30" s="2"/>
      <c r="Z30" s="6"/>
    </row>
    <row r="31" spans="1:26" s="23" customFormat="1" ht="15" thickBot="1" x14ac:dyDescent="0.35">
      <c r="A31" s="10"/>
      <c r="B31" s="26" t="s">
        <v>126</v>
      </c>
      <c r="C31" s="26"/>
      <c r="D31" s="35" t="e">
        <f ca="1">+D27-D29</f>
        <v>#NAME?</v>
      </c>
      <c r="E31" s="13"/>
      <c r="F31" s="30" t="e">
        <f ca="1">IF(D$12=0,0,D31/D$12)</f>
        <v>#NAME?</v>
      </c>
      <c r="G31" s="13"/>
      <c r="H31" s="35" t="e">
        <f ca="1">+H27-H29</f>
        <v>#NAME?</v>
      </c>
      <c r="I31" s="13"/>
      <c r="J31" s="30" t="e">
        <f ca="1">IF(H$12=0,0,H31/H$12)</f>
        <v>#NAME?</v>
      </c>
      <c r="K31" s="16"/>
      <c r="L31" s="35" t="e">
        <f ca="1">D31-H31</f>
        <v>#NAME?</v>
      </c>
      <c r="M31" s="16"/>
      <c r="N31" s="30" t="e">
        <f ca="1">IF(H31=0,0,L31/H31)</f>
        <v>#NAME?</v>
      </c>
      <c r="O31" s="25"/>
      <c r="P31" s="35" t="e">
        <f ca="1">+P27-P29</f>
        <v>#NAME?</v>
      </c>
      <c r="Q31" s="13"/>
      <c r="R31" s="30" t="e">
        <f ca="1">IF(P$12=0,0,P31/P$12)</f>
        <v>#NAME?</v>
      </c>
      <c r="S31" s="13"/>
      <c r="T31" s="35" t="e">
        <f ca="1">+T27-T29</f>
        <v>#NAME?</v>
      </c>
      <c r="U31" s="13"/>
      <c r="V31" s="30" t="e">
        <f ca="1">IF(T$12=0,0,T31/T$12)</f>
        <v>#NAME?</v>
      </c>
      <c r="W31" s="16"/>
      <c r="X31" s="35" t="e">
        <f ca="1">P31-T31</f>
        <v>#NAME?</v>
      </c>
      <c r="Y31" s="16"/>
      <c r="Z31" s="30" t="e">
        <f ca="1">IF(T31=0,0,X31/T31)</f>
        <v>#NAME?</v>
      </c>
    </row>
    <row r="32" spans="1:26" ht="15" thickTop="1" x14ac:dyDescent="0.3">
      <c r="A32" s="9"/>
      <c r="B32" s="9"/>
      <c r="C32" s="9"/>
      <c r="D32" s="2"/>
      <c r="E32" s="2"/>
      <c r="F32" s="6"/>
      <c r="G32" s="2"/>
      <c r="H32" s="2"/>
      <c r="I32" s="2"/>
      <c r="J32" s="6"/>
      <c r="K32" s="2"/>
      <c r="L32" s="2"/>
      <c r="M32" s="2"/>
      <c r="N32" s="6"/>
      <c r="P32" s="2"/>
      <c r="Q32" s="2"/>
      <c r="R32" s="6"/>
      <c r="S32" s="2"/>
      <c r="T32" s="2"/>
      <c r="U32" s="2"/>
      <c r="V32" s="6"/>
      <c r="W32" s="2"/>
      <c r="X32" s="2"/>
      <c r="Y32" s="2"/>
      <c r="Z32" s="6"/>
    </row>
    <row r="33" spans="1:26" s="23" customFormat="1" x14ac:dyDescent="0.3">
      <c r="A33" s="52"/>
      <c r="B33" s="10" t="s">
        <v>184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3">
      <c r="A34" s="52"/>
      <c r="B34" s="10" t="s">
        <v>82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3">
      <c r="A35" s="9"/>
      <c r="B35" s="9"/>
      <c r="C35" s="9"/>
      <c r="D35" s="2"/>
      <c r="E35" s="2"/>
      <c r="F35" s="6"/>
      <c r="G35" s="2"/>
      <c r="H35" s="2"/>
      <c r="I35" s="2"/>
      <c r="J35" s="6"/>
      <c r="K35" s="2"/>
      <c r="L35" s="2"/>
      <c r="M35" s="2"/>
      <c r="N35" s="6"/>
      <c r="P35" s="2"/>
      <c r="Q35" s="2"/>
      <c r="R35" s="6"/>
      <c r="S35" s="2"/>
      <c r="T35" s="2"/>
      <c r="U35" s="2"/>
      <c r="V35" s="6"/>
      <c r="W35" s="2"/>
      <c r="X35" s="2"/>
      <c r="Y35" s="2"/>
      <c r="Z35" s="6"/>
    </row>
    <row r="36" spans="1:26" s="23" customFormat="1" ht="15" thickBot="1" x14ac:dyDescent="0.35">
      <c r="A36" s="10"/>
      <c r="B36" s="26" t="s">
        <v>294</v>
      </c>
      <c r="C36" s="26"/>
      <c r="D36" s="33" t="e">
        <f ca="1">SUM(D31:D35)</f>
        <v>#NAME?</v>
      </c>
      <c r="E36" s="13"/>
      <c r="F36" s="31" t="e">
        <f ca="1">IF(D$12=0,0,D36/D$12)</f>
        <v>#NAME?</v>
      </c>
      <c r="G36" s="13"/>
      <c r="H36" s="33" t="e">
        <f ca="1">SUM(H31:H35)</f>
        <v>#NAME?</v>
      </c>
      <c r="I36" s="13"/>
      <c r="J36" s="31" t="e">
        <f ca="1">IF(H$12=0,0,H36/H$12)</f>
        <v>#NAME?</v>
      </c>
      <c r="K36" s="16"/>
      <c r="L36" s="33" t="e">
        <f ca="1">+D36-H36</f>
        <v>#NAME?</v>
      </c>
      <c r="M36" s="16"/>
      <c r="N36" s="31" t="e">
        <f ca="1">IF(H36=0,0,L36/H36)</f>
        <v>#NAME?</v>
      </c>
      <c r="O36" s="25"/>
      <c r="P36" s="33" t="e">
        <f ca="1">SUM(P31:P35)</f>
        <v>#NAME?</v>
      </c>
      <c r="Q36" s="13"/>
      <c r="R36" s="31" t="e">
        <f ca="1">IF(P$12=0,0,P36/P$12)</f>
        <v>#NAME?</v>
      </c>
      <c r="S36" s="13"/>
      <c r="T36" s="33" t="e">
        <f ca="1">SUM(T31:T35)</f>
        <v>#NAME?</v>
      </c>
      <c r="U36" s="13"/>
      <c r="V36" s="31" t="e">
        <f ca="1">IF(T$12=0,0,T36/T$12)</f>
        <v>#NAME?</v>
      </c>
      <c r="W36" s="16"/>
      <c r="X36" s="33" t="e">
        <f ca="1">+P36-T36</f>
        <v>#NAME?</v>
      </c>
      <c r="Y36" s="16"/>
      <c r="Z36" s="31" t="e">
        <f ca="1">IF(T36=0,0,X36/T36)</f>
        <v>#NAME?</v>
      </c>
    </row>
    <row r="37" spans="1:26" ht="15" thickTop="1" x14ac:dyDescent="0.3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3">
      <c r="A38" s="9"/>
      <c r="B38" s="54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3">
      <c r="A39" s="9"/>
      <c r="B39" s="59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3">
      <c r="A40" s="9"/>
      <c r="B40" s="55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3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50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7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50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7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7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7" customWidth="1" outlineLevel="1"/>
  </cols>
  <sheetData>
    <row r="2" spans="1:26" x14ac:dyDescent="0.3">
      <c r="D2" s="57" t="s">
        <v>23</v>
      </c>
    </row>
    <row r="3" spans="1:26" x14ac:dyDescent="0.3">
      <c r="D3" s="57" t="s">
        <v>237</v>
      </c>
      <c r="E3" s="17"/>
      <c r="F3" s="51"/>
      <c r="G3" s="17"/>
      <c r="H3" s="17"/>
      <c r="I3" s="17"/>
      <c r="J3" s="39"/>
      <c r="K3" s="17"/>
      <c r="L3" s="17"/>
      <c r="M3" s="17"/>
      <c r="N3" s="51"/>
      <c r="O3" s="61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3">
      <c r="D4" s="57" t="e">
        <f ca="1">CONCATENATE("Period ",RIGHT(_xll.OneStop.ReportPlayer.OSRFunctions.OSRGet("Period","PeriodId"),2),", ",_xll.OneStop.ReportPlayer.OSRFunctions.OSRGet("Period","Year"))</f>
        <v>#NAME?</v>
      </c>
      <c r="E4" s="17"/>
      <c r="F4" s="51"/>
      <c r="G4" s="17"/>
      <c r="H4" s="17"/>
      <c r="I4" s="17"/>
      <c r="J4" s="39"/>
      <c r="K4" s="17"/>
      <c r="L4" s="17"/>
      <c r="M4" s="17"/>
      <c r="N4" s="51"/>
      <c r="O4" s="61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3">
      <c r="A5" s="23"/>
      <c r="D5" s="65" t="e">
        <f ca="1">_xll.OneStop.ReportPlayer.OSRFunctions.OSRGet("Period","PeriodEnd")</f>
        <v>#NAME?</v>
      </c>
      <c r="E5" s="17"/>
      <c r="F5" s="51"/>
      <c r="G5" s="17"/>
      <c r="H5" s="17"/>
      <c r="I5" s="17"/>
      <c r="J5" s="39"/>
      <c r="K5" s="17"/>
      <c r="L5" s="17"/>
      <c r="M5" s="17"/>
      <c r="N5" s="51"/>
      <c r="O5" s="61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3">
      <c r="A6" s="23"/>
      <c r="B6" s="47"/>
      <c r="C6" s="47"/>
      <c r="D6" s="23" t="s">
        <v>219</v>
      </c>
      <c r="E6" s="17"/>
      <c r="F6" s="51"/>
      <c r="G6" s="17"/>
      <c r="H6" s="17"/>
      <c r="I6" s="17"/>
      <c r="J6" s="39"/>
      <c r="K6" s="17"/>
      <c r="L6" s="17"/>
      <c r="M6" s="17"/>
      <c r="N6" s="51"/>
      <c r="O6" s="60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3">
      <c r="B7" s="63"/>
    </row>
    <row r="8" spans="1:26" x14ac:dyDescent="0.3">
      <c r="B8" s="63"/>
    </row>
    <row r="9" spans="1:26" x14ac:dyDescent="0.3">
      <c r="B9" s="9"/>
      <c r="C9" s="9"/>
      <c r="D9" s="15" t="s">
        <v>292</v>
      </c>
      <c r="E9" s="15"/>
      <c r="F9" s="38"/>
      <c r="G9" s="15"/>
      <c r="H9" s="15"/>
      <c r="I9" s="15"/>
      <c r="J9" s="49"/>
      <c r="K9" s="15"/>
      <c r="L9" s="15"/>
      <c r="M9" s="15"/>
      <c r="N9" s="38"/>
      <c r="P9" s="15" t="s">
        <v>39</v>
      </c>
      <c r="Q9" s="15"/>
      <c r="R9" s="38"/>
      <c r="S9" s="15"/>
      <c r="T9" s="15"/>
      <c r="U9" s="15"/>
      <c r="V9" s="49"/>
      <c r="W9" s="15"/>
      <c r="X9" s="15"/>
      <c r="Y9" s="15"/>
      <c r="Z9" s="38"/>
    </row>
    <row r="10" spans="1:26" x14ac:dyDescent="0.3">
      <c r="A10" s="10"/>
      <c r="B10" s="53"/>
      <c r="C10" s="10"/>
      <c r="D10" s="42" t="s">
        <v>57</v>
      </c>
      <c r="E10" s="34"/>
      <c r="F10" s="40" t="s">
        <v>40</v>
      </c>
      <c r="G10" s="34"/>
      <c r="H10" s="45" t="s">
        <v>238</v>
      </c>
      <c r="I10" s="34"/>
      <c r="J10" s="48" t="s">
        <v>58</v>
      </c>
      <c r="K10" s="10"/>
      <c r="L10" s="42" t="s">
        <v>127</v>
      </c>
      <c r="M10" s="10"/>
      <c r="N10" s="40" t="s">
        <v>258</v>
      </c>
      <c r="O10" s="10"/>
      <c r="P10" s="56" t="s">
        <v>57</v>
      </c>
      <c r="Q10" s="34"/>
      <c r="R10" s="40" t="s">
        <v>40</v>
      </c>
      <c r="S10" s="34"/>
      <c r="T10" s="45" t="s">
        <v>238</v>
      </c>
      <c r="U10" s="34"/>
      <c r="V10" s="48" t="s">
        <v>58</v>
      </c>
      <c r="W10" s="10"/>
      <c r="X10" s="42" t="s">
        <v>127</v>
      </c>
      <c r="Y10" s="10"/>
      <c r="Z10" s="40" t="s">
        <v>258</v>
      </c>
    </row>
    <row r="11" spans="1:26" ht="15.6" x14ac:dyDescent="0.3">
      <c r="A11" s="9"/>
      <c r="B11" s="58"/>
      <c r="C11" s="9"/>
      <c r="D11" s="9"/>
      <c r="E11" s="9"/>
      <c r="F11" s="6"/>
      <c r="G11" s="9"/>
      <c r="H11" s="9"/>
      <c r="I11" s="9"/>
      <c r="J11" s="46"/>
      <c r="K11" s="9"/>
      <c r="L11" s="9"/>
      <c r="M11" s="9"/>
      <c r="N11" s="6"/>
      <c r="P11" s="9"/>
      <c r="Q11" s="9"/>
      <c r="R11" s="6"/>
      <c r="S11" s="9"/>
      <c r="T11" s="9"/>
      <c r="U11" s="9"/>
      <c r="V11" s="46"/>
      <c r="W11" s="9"/>
      <c r="X11" s="9"/>
      <c r="Y11" s="9"/>
      <c r="Z11" s="6"/>
    </row>
    <row r="12" spans="1:26" s="23" customFormat="1" collapsed="1" x14ac:dyDescent="0.3">
      <c r="A12" s="10"/>
      <c r="B12" s="25" t="s">
        <v>140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3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3" t="e">
        <f ca="1">-_xll.OneStop.ReportPlayer.OSRFunctions.OSRGet("GL_F_Trans","Value1")</f>
        <v>#NAME?</v>
      </c>
      <c r="E13" s="3"/>
      <c r="F13" s="19"/>
      <c r="G13" s="3"/>
      <c r="H13" s="3" t="e">
        <f ca="1">_xll.OneStop.ReportPlayer.OSRFunctions.OSRGet("GL_F_Trans","Value1")</f>
        <v>#NAME?</v>
      </c>
      <c r="I13" s="3"/>
      <c r="J13" s="19"/>
      <c r="K13" s="3"/>
      <c r="L13" s="3" t="e">
        <f t="shared" ca="1" si="0"/>
        <v>#NAME?</v>
      </c>
      <c r="M13" s="3"/>
      <c r="N13" s="19" t="e">
        <f t="shared" ca="1" si="1"/>
        <v>#NAME?</v>
      </c>
      <c r="O13" s="11"/>
      <c r="P13" s="3" t="e">
        <f ca="1">-_xll.OneStop.ReportPlayer.OSRFunctions.OSRGet("GL_F_Trans","Value1")</f>
        <v>#NAME?</v>
      </c>
      <c r="Q13" s="3"/>
      <c r="R13" s="19"/>
      <c r="S13" s="3"/>
      <c r="T13" s="3" t="e">
        <f ca="1">_xll.OneStop.ReportPlayer.OSRFunctions.OSRGet("GL_F_Trans","Value1")</f>
        <v>#NAME?</v>
      </c>
      <c r="U13" s="3"/>
      <c r="V13" s="19"/>
      <c r="W13" s="3"/>
      <c r="X13" s="3" t="e">
        <f t="shared" ca="1" si="2"/>
        <v>#NAME?</v>
      </c>
      <c r="Y13" s="3"/>
      <c r="Z13" s="19" t="e">
        <f t="shared" ca="1" si="3"/>
        <v>#NAME?</v>
      </c>
    </row>
    <row r="14" spans="1:26" x14ac:dyDescent="0.3">
      <c r="A14" s="9"/>
      <c r="B14" s="10"/>
      <c r="C14" s="9"/>
      <c r="D14" s="2"/>
      <c r="E14" s="2"/>
      <c r="F14" s="6"/>
      <c r="G14" s="2"/>
      <c r="H14" s="2"/>
      <c r="I14" s="2"/>
      <c r="J14" s="6"/>
      <c r="K14" s="2"/>
      <c r="L14" s="2"/>
      <c r="M14" s="2"/>
      <c r="N14" s="6"/>
      <c r="P14" s="2"/>
      <c r="Q14" s="2"/>
      <c r="R14" s="6"/>
      <c r="S14" s="2"/>
      <c r="T14" s="2"/>
      <c r="U14" s="2"/>
      <c r="V14" s="6"/>
      <c r="W14" s="2"/>
      <c r="X14" s="2"/>
      <c r="Y14" s="2"/>
      <c r="Z14" s="6"/>
    </row>
    <row r="15" spans="1:26" s="23" customFormat="1" collapsed="1" x14ac:dyDescent="0.3">
      <c r="A15" s="10"/>
      <c r="B15" s="25" t="s">
        <v>257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3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3" t="e">
        <f ca="1">_xll.OneStop.ReportPlayer.OSRFunctions.OSRGet("GL_F_Trans","Value1")</f>
        <v>#NAME?</v>
      </c>
      <c r="E16" s="3"/>
      <c r="F16" s="19" t="e">
        <f t="shared" ca="1" si="4"/>
        <v>#NAME?</v>
      </c>
      <c r="G16" s="3"/>
      <c r="H16" s="3" t="e">
        <f ca="1">_xll.OneStop.ReportPlayer.OSRFunctions.OSRGet("GL_F_Trans","Value1")</f>
        <v>#NAME?</v>
      </c>
      <c r="I16" s="3"/>
      <c r="J16" s="19" t="e">
        <f t="shared" ca="1" si="5"/>
        <v>#NAME?</v>
      </c>
      <c r="K16" s="3"/>
      <c r="L16" s="3" t="e">
        <f t="shared" ca="1" si="6"/>
        <v>#NAME?</v>
      </c>
      <c r="M16" s="3"/>
      <c r="N16" s="19" t="e">
        <f t="shared" ca="1" si="7"/>
        <v>#NAME?</v>
      </c>
      <c r="O16" s="11"/>
      <c r="P16" s="3" t="e">
        <f ca="1">_xll.OneStop.ReportPlayer.OSRFunctions.OSRGet("GL_F_Trans","Value1")</f>
        <v>#NAME?</v>
      </c>
      <c r="Q16" s="3"/>
      <c r="R16" s="19" t="e">
        <f t="shared" ca="1" si="8"/>
        <v>#NAME?</v>
      </c>
      <c r="S16" s="3"/>
      <c r="T16" s="3" t="e">
        <f ca="1">_xll.OneStop.ReportPlayer.OSRFunctions.OSRGet("GL_F_Trans","Value1")</f>
        <v>#NAME?</v>
      </c>
      <c r="U16" s="3"/>
      <c r="V16" s="19" t="e">
        <f t="shared" ca="1" si="9"/>
        <v>#NAME?</v>
      </c>
      <c r="W16" s="3"/>
      <c r="X16" s="3" t="e">
        <f t="shared" ca="1" si="10"/>
        <v>#NAME?</v>
      </c>
      <c r="Y16" s="3"/>
      <c r="Z16" s="19" t="e">
        <f t="shared" ca="1" si="11"/>
        <v>#NAME?</v>
      </c>
    </row>
    <row r="17" spans="1:26" x14ac:dyDescent="0.3">
      <c r="A17" s="9"/>
      <c r="B17" s="10"/>
      <c r="C17" s="10"/>
      <c r="D17" s="2"/>
      <c r="E17" s="2"/>
      <c r="F17" s="6"/>
      <c r="G17" s="2"/>
      <c r="H17" s="2"/>
      <c r="I17" s="2"/>
      <c r="J17" s="6"/>
      <c r="K17" s="2"/>
      <c r="L17" s="2"/>
      <c r="M17" s="2"/>
      <c r="N17" s="6"/>
      <c r="O17" s="10"/>
      <c r="P17" s="2"/>
      <c r="Q17" s="2"/>
      <c r="R17" s="6"/>
      <c r="S17" s="2"/>
      <c r="T17" s="2"/>
      <c r="U17" s="2"/>
      <c r="V17" s="6"/>
      <c r="W17" s="2"/>
      <c r="X17" s="2"/>
      <c r="Y17" s="2"/>
      <c r="Z17" s="6"/>
    </row>
    <row r="18" spans="1:26" s="23" customFormat="1" x14ac:dyDescent="0.3">
      <c r="A18" s="10"/>
      <c r="B18" s="26" t="s">
        <v>108</v>
      </c>
      <c r="C18" s="26"/>
      <c r="D18" s="21" t="e">
        <f ca="1">D12-D15</f>
        <v>#NAME?</v>
      </c>
      <c r="E18" s="13"/>
      <c r="F18" s="22" t="e">
        <f ca="1">IF(D$12=0,0,D18/D$12)</f>
        <v>#NAME?</v>
      </c>
      <c r="G18" s="13"/>
      <c r="H18" s="21" t="e">
        <f ca="1">H12-H15</f>
        <v>#NAME?</v>
      </c>
      <c r="I18" s="13"/>
      <c r="J18" s="22" t="e">
        <f ca="1">IF(H$12=0,0,H18/H$12)</f>
        <v>#NAME?</v>
      </c>
      <c r="K18" s="16"/>
      <c r="L18" s="21" t="e">
        <f ca="1">+D18-H18</f>
        <v>#NAME?</v>
      </c>
      <c r="M18" s="16"/>
      <c r="N18" s="22" t="e">
        <f ca="1">IF(H18=0,0,L18/H18)</f>
        <v>#NAME?</v>
      </c>
      <c r="O18" s="25"/>
      <c r="P18" s="21" t="e">
        <f ca="1">P12-P15</f>
        <v>#NAME?</v>
      </c>
      <c r="Q18" s="13"/>
      <c r="R18" s="22" t="e">
        <f ca="1">IF(P$12=0,0,P18/P$12)</f>
        <v>#NAME?</v>
      </c>
      <c r="S18" s="13"/>
      <c r="T18" s="21" t="e">
        <f ca="1">T12-T15</f>
        <v>#NAME?</v>
      </c>
      <c r="U18" s="13"/>
      <c r="V18" s="22" t="e">
        <f ca="1">IF(T$12=0,0,T18/T$12)</f>
        <v>#NAME?</v>
      </c>
      <c r="W18" s="16"/>
      <c r="X18" s="21" t="e">
        <f ca="1">+P18-T18</f>
        <v>#NAME?</v>
      </c>
      <c r="Y18" s="16"/>
      <c r="Z18" s="22" t="e">
        <f ca="1">IF(T18=0,0,X18/T18)</f>
        <v>#NAME?</v>
      </c>
    </row>
    <row r="19" spans="1:26" x14ac:dyDescent="0.3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">
      <c r="A20" s="10"/>
      <c r="B20" s="25" t="s">
        <v>295</v>
      </c>
      <c r="C20" s="10"/>
      <c r="D20" s="20" t="e">
        <f ca="1">SUM(_xll.OneStop.ReportPlayer.OSRFunctions.OSRRef(D22))</f>
        <v>#NAME?</v>
      </c>
      <c r="E20" s="20"/>
      <c r="F20" s="32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2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2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2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2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2" t="e">
        <f t="shared" ref="Z20:Z22" ca="1" si="19">IF(T20=0,0,X20/T20)</f>
        <v>#NAME?</v>
      </c>
    </row>
    <row r="21" spans="1:26" s="27" customFormat="1" outlineLevel="1" collapsed="1" x14ac:dyDescent="0.3">
      <c r="A21" s="28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3">
      <c r="A22" s="29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8" t="e">
        <f ca="1">_xll.OneStop.ReportPlayer.OSRFunctions.OSRGet("GL_F_Trans","Value1")</f>
        <v>#NAME?</v>
      </c>
      <c r="E22" s="3"/>
      <c r="F22" s="7" t="e">
        <f t="shared" ca="1" si="12"/>
        <v>#NAME?</v>
      </c>
      <c r="G22" s="3"/>
      <c r="H22" s="8" t="e">
        <f ca="1">_xll.OneStop.ReportPlayer.OSRFunctions.OSRGet("GL_F_Trans","Value1")</f>
        <v>#NAME?</v>
      </c>
      <c r="I22" s="3"/>
      <c r="J22" s="7" t="e">
        <f t="shared" ca="1" si="13"/>
        <v>#NAME?</v>
      </c>
      <c r="K22" s="3"/>
      <c r="L22" s="8" t="e">
        <f t="shared" ca="1" si="14"/>
        <v>#NAME?</v>
      </c>
      <c r="M22" s="3"/>
      <c r="N22" s="7" t="e">
        <f t="shared" ca="1" si="15"/>
        <v>#NAME?</v>
      </c>
      <c r="O22" s="11"/>
      <c r="P22" s="8" t="e">
        <f ca="1">_xll.OneStop.ReportPlayer.OSRFunctions.OSRGet("GL_F_Trans","Value1")</f>
        <v>#NAME?</v>
      </c>
      <c r="Q22" s="3"/>
      <c r="R22" s="7" t="e">
        <f t="shared" ca="1" si="16"/>
        <v>#NAME?</v>
      </c>
      <c r="S22" s="3"/>
      <c r="T22" s="8" t="e">
        <f ca="1">_xll.OneStop.ReportPlayer.OSRFunctions.OSRGet("GL_F_Trans","Value1")</f>
        <v>#NAME?</v>
      </c>
      <c r="U22" s="3"/>
      <c r="V22" s="7" t="e">
        <f t="shared" ca="1" si="17"/>
        <v>#NAME?</v>
      </c>
      <c r="W22" s="3"/>
      <c r="X22" s="8" t="e">
        <f t="shared" ca="1" si="18"/>
        <v>#NAME?</v>
      </c>
      <c r="Y22" s="3"/>
      <c r="Z22" s="7" t="e">
        <f t="shared" ca="1" si="19"/>
        <v>#NAME?</v>
      </c>
    </row>
    <row r="23" spans="1:26" s="62" customFormat="1" x14ac:dyDescent="0.3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3">
      <c r="A24" s="10"/>
      <c r="B24" s="25" t="s">
        <v>293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3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3" t="e">
        <f ca="1">-_xll.OneStop.ReportPlayer.OSRFunctions.OSRGet("GL_F_Trans","Value1")</f>
        <v>#NAME?</v>
      </c>
      <c r="E25" s="3"/>
      <c r="F25" s="19" t="e">
        <f t="shared" ca="1" si="20"/>
        <v>#NAME?</v>
      </c>
      <c r="G25" s="3"/>
      <c r="H25" s="3" t="e">
        <f ca="1">_xll.OneStop.ReportPlayer.OSRFunctions.OSRGet("GL_F_Trans","Value1")</f>
        <v>#NAME?</v>
      </c>
      <c r="I25" s="3"/>
      <c r="J25" s="19" t="e">
        <f t="shared" ca="1" si="21"/>
        <v>#NAME?</v>
      </c>
      <c r="K25" s="3"/>
      <c r="L25" s="3" t="e">
        <f t="shared" ca="1" si="22"/>
        <v>#NAME?</v>
      </c>
      <c r="M25" s="3"/>
      <c r="N25" s="19" t="e">
        <f t="shared" ca="1" si="23"/>
        <v>#NAME?</v>
      </c>
      <c r="O25" s="11"/>
      <c r="P25" s="3" t="e">
        <f ca="1">-_xll.OneStop.ReportPlayer.OSRFunctions.OSRGet("GL_F_Trans","Value1")</f>
        <v>#NAME?</v>
      </c>
      <c r="Q25" s="3"/>
      <c r="R25" s="19" t="e">
        <f t="shared" ca="1" si="24"/>
        <v>#NAME?</v>
      </c>
      <c r="S25" s="3"/>
      <c r="T25" s="3" t="e">
        <f ca="1">_xll.OneStop.ReportPlayer.OSRFunctions.OSRGet("GL_F_Trans","Value1")</f>
        <v>#NAME?</v>
      </c>
      <c r="U25" s="3"/>
      <c r="V25" s="19" t="e">
        <f t="shared" ca="1" si="25"/>
        <v>#NAME?</v>
      </c>
      <c r="W25" s="3"/>
      <c r="X25" s="3" t="e">
        <f t="shared" ca="1" si="26"/>
        <v>#NAME?</v>
      </c>
      <c r="Y25" s="3"/>
      <c r="Z25" s="19" t="e">
        <f t="shared" ca="1" si="27"/>
        <v>#NAME?</v>
      </c>
    </row>
    <row r="26" spans="1:26" x14ac:dyDescent="0.3">
      <c r="A26" s="9"/>
      <c r="B26" s="10"/>
      <c r="C26" s="10"/>
      <c r="D26" s="2"/>
      <c r="E26" s="2"/>
      <c r="F26" s="6"/>
      <c r="G26" s="2"/>
      <c r="H26" s="2"/>
      <c r="I26" s="2"/>
      <c r="J26" s="6"/>
      <c r="K26" s="2"/>
      <c r="L26" s="2"/>
      <c r="M26" s="2"/>
      <c r="N26" s="6"/>
      <c r="O26" s="10"/>
      <c r="P26" s="2"/>
      <c r="Q26" s="2"/>
      <c r="R26" s="6"/>
      <c r="S26" s="2"/>
      <c r="T26" s="2"/>
      <c r="U26" s="2"/>
      <c r="V26" s="6"/>
      <c r="W26" s="2"/>
      <c r="X26" s="2"/>
      <c r="Y26" s="2"/>
      <c r="Z26" s="6"/>
    </row>
    <row r="27" spans="1:26" s="23" customFormat="1" x14ac:dyDescent="0.3">
      <c r="A27" s="10"/>
      <c r="B27" s="26" t="s">
        <v>277</v>
      </c>
      <c r="C27" s="26"/>
      <c r="D27" s="21" t="e">
        <f ca="1">+D18-D20+D24</f>
        <v>#NAME?</v>
      </c>
      <c r="E27" s="13"/>
      <c r="F27" s="22" t="e">
        <f ca="1">IF(D$12=0,0,D27/D$12)</f>
        <v>#NAME?</v>
      </c>
      <c r="G27" s="13"/>
      <c r="H27" s="21" t="e">
        <f ca="1">+H18-H20+H24</f>
        <v>#NAME?</v>
      </c>
      <c r="I27" s="13"/>
      <c r="J27" s="22" t="e">
        <f ca="1">IF(H$12=0,0,H27/H$12)</f>
        <v>#NAME?</v>
      </c>
      <c r="K27" s="16"/>
      <c r="L27" s="21" t="e">
        <f ca="1">+D27-H27</f>
        <v>#NAME?</v>
      </c>
      <c r="M27" s="16"/>
      <c r="N27" s="22" t="e">
        <f ca="1">IF(H27=0,0,L27/H27)</f>
        <v>#NAME?</v>
      </c>
      <c r="O27" s="25"/>
      <c r="P27" s="21" t="e">
        <f ca="1">+P18-P20+P24</f>
        <v>#NAME?</v>
      </c>
      <c r="Q27" s="13"/>
      <c r="R27" s="22" t="e">
        <f ca="1">IF(P$12=0,0,P27/P$12)</f>
        <v>#NAME?</v>
      </c>
      <c r="S27" s="13"/>
      <c r="T27" s="21" t="e">
        <f ca="1">+T18-T20+T24</f>
        <v>#NAME?</v>
      </c>
      <c r="U27" s="13"/>
      <c r="V27" s="22" t="e">
        <f ca="1">IF(T$12=0,0,T27/T$12)</f>
        <v>#NAME?</v>
      </c>
      <c r="W27" s="16"/>
      <c r="X27" s="21" t="e">
        <f ca="1">+P27-T27</f>
        <v>#NAME?</v>
      </c>
      <c r="Y27" s="16"/>
      <c r="Z27" s="22" t="e">
        <f ca="1">IF(T27=0,0,X27/T27)</f>
        <v>#NAME?</v>
      </c>
    </row>
    <row r="28" spans="1:26" x14ac:dyDescent="0.3">
      <c r="A28" s="9"/>
      <c r="B28" s="10"/>
      <c r="C28" s="9"/>
      <c r="D28" s="2"/>
      <c r="E28" s="2"/>
      <c r="F28" s="6"/>
      <c r="G28" s="2"/>
      <c r="H28" s="2"/>
      <c r="I28" s="2"/>
      <c r="J28" s="6"/>
      <c r="K28" s="2"/>
      <c r="L28" s="2"/>
      <c r="M28" s="2"/>
      <c r="N28" s="6"/>
      <c r="P28" s="2"/>
      <c r="Q28" s="2"/>
      <c r="R28" s="6"/>
      <c r="S28" s="2"/>
      <c r="T28" s="2"/>
      <c r="U28" s="2"/>
      <c r="V28" s="6"/>
      <c r="W28" s="2"/>
      <c r="X28" s="2"/>
      <c r="Y28" s="2"/>
      <c r="Z28" s="6"/>
    </row>
    <row r="29" spans="1:26" s="23" customFormat="1" x14ac:dyDescent="0.3">
      <c r="A29" s="52"/>
      <c r="B29" s="10" t="s">
        <v>128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3">
      <c r="A30" s="9"/>
      <c r="B30" s="10"/>
      <c r="C30" s="10"/>
      <c r="D30" s="2"/>
      <c r="E30" s="2"/>
      <c r="F30" s="6"/>
      <c r="G30" s="2"/>
      <c r="H30" s="2"/>
      <c r="I30" s="2"/>
      <c r="J30" s="6"/>
      <c r="K30" s="2"/>
      <c r="L30" s="2"/>
      <c r="M30" s="2"/>
      <c r="N30" s="6"/>
      <c r="O30" s="10"/>
      <c r="P30" s="2"/>
      <c r="Q30" s="2"/>
      <c r="R30" s="6"/>
      <c r="S30" s="2"/>
      <c r="T30" s="2"/>
      <c r="U30" s="2"/>
      <c r="V30" s="6"/>
      <c r="W30" s="2"/>
      <c r="X30" s="2"/>
      <c r="Y30" s="2"/>
      <c r="Z30" s="6"/>
    </row>
    <row r="31" spans="1:26" s="23" customFormat="1" ht="15" thickBot="1" x14ac:dyDescent="0.35">
      <c r="A31" s="10"/>
      <c r="B31" s="26" t="s">
        <v>126</v>
      </c>
      <c r="C31" s="26"/>
      <c r="D31" s="35" t="e">
        <f ca="1">+D27-D29</f>
        <v>#NAME?</v>
      </c>
      <c r="E31" s="13"/>
      <c r="F31" s="30" t="e">
        <f ca="1">IF(D$12=0,0,D31/D$12)</f>
        <v>#NAME?</v>
      </c>
      <c r="G31" s="13"/>
      <c r="H31" s="35" t="e">
        <f ca="1">+H27-H29</f>
        <v>#NAME?</v>
      </c>
      <c r="I31" s="13"/>
      <c r="J31" s="30" t="e">
        <f ca="1">IF(H$12=0,0,H31/H$12)</f>
        <v>#NAME?</v>
      </c>
      <c r="K31" s="16"/>
      <c r="L31" s="35" t="e">
        <f ca="1">D31-H31</f>
        <v>#NAME?</v>
      </c>
      <c r="M31" s="16"/>
      <c r="N31" s="30" t="e">
        <f ca="1">IF(H31=0,0,L31/H31)</f>
        <v>#NAME?</v>
      </c>
      <c r="O31" s="25"/>
      <c r="P31" s="35" t="e">
        <f ca="1">+P27-P29</f>
        <v>#NAME?</v>
      </c>
      <c r="Q31" s="13"/>
      <c r="R31" s="30" t="e">
        <f ca="1">IF(P$12=0,0,P31/P$12)</f>
        <v>#NAME?</v>
      </c>
      <c r="S31" s="13"/>
      <c r="T31" s="35" t="e">
        <f ca="1">+T27-T29</f>
        <v>#NAME?</v>
      </c>
      <c r="U31" s="13"/>
      <c r="V31" s="30" t="e">
        <f ca="1">IF(T$12=0,0,T31/T$12)</f>
        <v>#NAME?</v>
      </c>
      <c r="W31" s="16"/>
      <c r="X31" s="35" t="e">
        <f ca="1">P31-T31</f>
        <v>#NAME?</v>
      </c>
      <c r="Y31" s="16"/>
      <c r="Z31" s="30" t="e">
        <f ca="1">IF(T31=0,0,X31/T31)</f>
        <v>#NAME?</v>
      </c>
    </row>
    <row r="32" spans="1:26" ht="15" thickTop="1" x14ac:dyDescent="0.3">
      <c r="A32" s="9"/>
      <c r="B32" s="9"/>
      <c r="C32" s="9"/>
      <c r="D32" s="2"/>
      <c r="E32" s="2"/>
      <c r="F32" s="6"/>
      <c r="G32" s="2"/>
      <c r="H32" s="2"/>
      <c r="I32" s="2"/>
      <c r="J32" s="6"/>
      <c r="K32" s="2"/>
      <c r="L32" s="2"/>
      <c r="M32" s="2"/>
      <c r="N32" s="6"/>
      <c r="P32" s="2"/>
      <c r="Q32" s="2"/>
      <c r="R32" s="6"/>
      <c r="S32" s="2"/>
      <c r="T32" s="2"/>
      <c r="U32" s="2"/>
      <c r="V32" s="6"/>
      <c r="W32" s="2"/>
      <c r="X32" s="2"/>
      <c r="Y32" s="2"/>
      <c r="Z32" s="6"/>
    </row>
    <row r="33" spans="1:26" s="23" customFormat="1" x14ac:dyDescent="0.3">
      <c r="A33" s="52"/>
      <c r="B33" s="10" t="s">
        <v>184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3">
      <c r="A34" s="52"/>
      <c r="B34" s="10" t="s">
        <v>82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3">
      <c r="A35" s="9"/>
      <c r="B35" s="9"/>
      <c r="C35" s="9"/>
      <c r="D35" s="2"/>
      <c r="E35" s="2"/>
      <c r="F35" s="6"/>
      <c r="G35" s="2"/>
      <c r="H35" s="2"/>
      <c r="I35" s="2"/>
      <c r="J35" s="6"/>
      <c r="K35" s="2"/>
      <c r="L35" s="2"/>
      <c r="M35" s="2"/>
      <c r="N35" s="6"/>
      <c r="P35" s="2"/>
      <c r="Q35" s="2"/>
      <c r="R35" s="6"/>
      <c r="S35" s="2"/>
      <c r="T35" s="2"/>
      <c r="U35" s="2"/>
      <c r="V35" s="6"/>
      <c r="W35" s="2"/>
      <c r="X35" s="2"/>
      <c r="Y35" s="2"/>
      <c r="Z35" s="6"/>
    </row>
    <row r="36" spans="1:26" s="23" customFormat="1" ht="15" thickBot="1" x14ac:dyDescent="0.35">
      <c r="A36" s="10"/>
      <c r="B36" s="26" t="s">
        <v>294</v>
      </c>
      <c r="C36" s="26"/>
      <c r="D36" s="33" t="e">
        <f ca="1">SUM(D31:D35)</f>
        <v>#NAME?</v>
      </c>
      <c r="E36" s="13"/>
      <c r="F36" s="31" t="e">
        <f ca="1">IF(D$12=0,0,D36/D$12)</f>
        <v>#NAME?</v>
      </c>
      <c r="G36" s="13"/>
      <c r="H36" s="33" t="e">
        <f ca="1">SUM(H31:H35)</f>
        <v>#NAME?</v>
      </c>
      <c r="I36" s="13"/>
      <c r="J36" s="31" t="e">
        <f ca="1">IF(H$12=0,0,H36/H$12)</f>
        <v>#NAME?</v>
      </c>
      <c r="K36" s="16"/>
      <c r="L36" s="33" t="e">
        <f ca="1">+D36-H36</f>
        <v>#NAME?</v>
      </c>
      <c r="M36" s="16"/>
      <c r="N36" s="31" t="e">
        <f ca="1">IF(H36=0,0,L36/H36)</f>
        <v>#NAME?</v>
      </c>
      <c r="O36" s="25"/>
      <c r="P36" s="33" t="e">
        <f ca="1">SUM(P31:P35)</f>
        <v>#NAME?</v>
      </c>
      <c r="Q36" s="13"/>
      <c r="R36" s="31" t="e">
        <f ca="1">IF(P$12=0,0,P36/P$12)</f>
        <v>#NAME?</v>
      </c>
      <c r="S36" s="13"/>
      <c r="T36" s="33" t="e">
        <f ca="1">SUM(T31:T35)</f>
        <v>#NAME?</v>
      </c>
      <c r="U36" s="13"/>
      <c r="V36" s="31" t="e">
        <f ca="1">IF(T$12=0,0,T36/T$12)</f>
        <v>#NAME?</v>
      </c>
      <c r="W36" s="16"/>
      <c r="X36" s="33" t="e">
        <f ca="1">+P36-T36</f>
        <v>#NAME?</v>
      </c>
      <c r="Y36" s="16"/>
      <c r="Z36" s="31" t="e">
        <f ca="1">IF(T36=0,0,X36/T36)</f>
        <v>#NAME?</v>
      </c>
    </row>
    <row r="37" spans="1:26" ht="15" thickTop="1" x14ac:dyDescent="0.3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3">
      <c r="A38" s="9"/>
      <c r="B38" s="54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3">
      <c r="A39" s="9"/>
      <c r="B39" s="59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3">
      <c r="A40" s="9"/>
      <c r="B40" s="55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3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FFC000"/>
    <outlinePr summaryBelow="0" summaryRight="0"/>
  </sheetPr>
  <dimension ref="A2:Z36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4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50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7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50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7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7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7" customWidth="1" outlineLevel="1"/>
  </cols>
  <sheetData>
    <row r="2" spans="1:26" x14ac:dyDescent="0.3">
      <c r="D2" s="57" t="s">
        <v>23</v>
      </c>
    </row>
    <row r="3" spans="1:26" x14ac:dyDescent="0.3">
      <c r="D3" s="57" t="s">
        <v>237</v>
      </c>
      <c r="E3" s="17"/>
      <c r="F3" s="51"/>
      <c r="G3" s="17"/>
      <c r="H3" s="17"/>
      <c r="I3" s="17"/>
      <c r="J3" s="39"/>
      <c r="K3" s="17"/>
      <c r="L3" s="17"/>
      <c r="M3" s="17"/>
      <c r="N3" s="51"/>
      <c r="O3" s="61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3">
      <c r="D4" s="57" t="str">
        <f>CONCATENATE("Period ",RIGHT(202201,2),", ",2022)</f>
        <v>Period 01, 2022</v>
      </c>
      <c r="E4" s="17"/>
      <c r="F4" s="51"/>
      <c r="G4" s="17"/>
      <c r="H4" s="17"/>
      <c r="I4" s="17"/>
      <c r="J4" s="39"/>
      <c r="K4" s="17"/>
      <c r="L4" s="17"/>
      <c r="M4" s="17"/>
      <c r="N4" s="51"/>
      <c r="O4" s="61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3">
      <c r="A5" s="23"/>
      <c r="D5" s="64">
        <v>44408</v>
      </c>
      <c r="E5" s="17"/>
      <c r="F5" s="51"/>
      <c r="G5" s="17"/>
      <c r="H5" s="17"/>
      <c r="I5" s="17"/>
      <c r="J5" s="39"/>
      <c r="K5" s="17"/>
      <c r="L5" s="17"/>
      <c r="M5" s="17"/>
      <c r="N5" s="51"/>
      <c r="O5" s="61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3">
      <c r="A6" s="23"/>
      <c r="B6" s="47"/>
      <c r="C6" s="47"/>
      <c r="D6" s="23" t="s">
        <v>218</v>
      </c>
      <c r="E6" s="17"/>
      <c r="F6" s="51"/>
      <c r="G6" s="17"/>
      <c r="H6" s="17"/>
      <c r="I6" s="17"/>
      <c r="J6" s="39"/>
      <c r="K6" s="17"/>
      <c r="L6" s="17"/>
      <c r="M6" s="17"/>
      <c r="N6" s="51"/>
      <c r="O6" s="60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3">
      <c r="B7" s="63"/>
    </row>
    <row r="8" spans="1:26" x14ac:dyDescent="0.3">
      <c r="B8" s="63"/>
    </row>
    <row r="9" spans="1:26" x14ac:dyDescent="0.3">
      <c r="B9" s="9"/>
      <c r="C9" s="9"/>
      <c r="D9" s="15" t="s">
        <v>292</v>
      </c>
      <c r="E9" s="15"/>
      <c r="F9" s="38"/>
      <c r="G9" s="15"/>
      <c r="H9" s="15"/>
      <c r="I9" s="15"/>
      <c r="J9" s="49"/>
      <c r="K9" s="15"/>
      <c r="L9" s="15"/>
      <c r="M9" s="15"/>
      <c r="N9" s="38"/>
      <c r="P9" s="15" t="s">
        <v>39</v>
      </c>
      <c r="Q9" s="15"/>
      <c r="R9" s="38"/>
      <c r="S9" s="15"/>
      <c r="T9" s="15"/>
      <c r="U9" s="15"/>
      <c r="V9" s="49"/>
      <c r="W9" s="15"/>
      <c r="X9" s="15"/>
      <c r="Y9" s="15"/>
      <c r="Z9" s="38"/>
    </row>
    <row r="10" spans="1:26" x14ac:dyDescent="0.3">
      <c r="A10" s="10"/>
      <c r="B10" s="53"/>
      <c r="C10" s="10"/>
      <c r="D10" s="42" t="s">
        <v>57</v>
      </c>
      <c r="E10" s="34"/>
      <c r="F10" s="40" t="s">
        <v>40</v>
      </c>
      <c r="G10" s="34"/>
      <c r="H10" s="45" t="s">
        <v>238</v>
      </c>
      <c r="I10" s="34"/>
      <c r="J10" s="48" t="s">
        <v>58</v>
      </c>
      <c r="K10" s="10"/>
      <c r="L10" s="42" t="s">
        <v>127</v>
      </c>
      <c r="M10" s="10"/>
      <c r="N10" s="40" t="s">
        <v>258</v>
      </c>
      <c r="O10" s="10"/>
      <c r="P10" s="56" t="s">
        <v>57</v>
      </c>
      <c r="Q10" s="34"/>
      <c r="R10" s="40" t="s">
        <v>40</v>
      </c>
      <c r="S10" s="34"/>
      <c r="T10" s="45" t="s">
        <v>238</v>
      </c>
      <c r="U10" s="34"/>
      <c r="V10" s="48" t="s">
        <v>58</v>
      </c>
      <c r="W10" s="10"/>
      <c r="X10" s="42" t="s">
        <v>127</v>
      </c>
      <c r="Y10" s="10"/>
      <c r="Z10" s="40" t="s">
        <v>258</v>
      </c>
    </row>
    <row r="11" spans="1:26" ht="15.6" x14ac:dyDescent="0.3">
      <c r="A11" s="9"/>
      <c r="B11" s="58"/>
      <c r="C11" s="9"/>
      <c r="D11" s="9"/>
      <c r="E11" s="9"/>
      <c r="F11" s="6"/>
      <c r="G11" s="9"/>
      <c r="H11" s="9"/>
      <c r="I11" s="9"/>
      <c r="J11" s="46"/>
      <c r="K11" s="9"/>
      <c r="L11" s="9"/>
      <c r="M11" s="9"/>
      <c r="N11" s="6"/>
      <c r="P11" s="9"/>
      <c r="Q11" s="9"/>
      <c r="R11" s="6"/>
      <c r="S11" s="9"/>
      <c r="T11" s="9"/>
      <c r="U11" s="9"/>
      <c r="V11" s="46"/>
      <c r="W11" s="9"/>
      <c r="X11" s="9"/>
      <c r="Y11" s="9"/>
      <c r="Z11" s="6"/>
    </row>
    <row r="12" spans="1:26" s="23" customFormat="1" x14ac:dyDescent="0.3">
      <c r="A12" s="10"/>
      <c r="B12" s="25" t="s">
        <v>140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3">
      <c r="A13" s="9"/>
      <c r="B13" s="10"/>
      <c r="C13" s="9"/>
      <c r="D13" s="2"/>
      <c r="E13" s="2"/>
      <c r="F13" s="6"/>
      <c r="G13" s="2"/>
      <c r="H13" s="2"/>
      <c r="I13" s="2"/>
      <c r="J13" s="6"/>
      <c r="K13" s="2"/>
      <c r="L13" s="2"/>
      <c r="M13" s="2"/>
      <c r="N13" s="6"/>
      <c r="P13" s="2"/>
      <c r="Q13" s="2"/>
      <c r="R13" s="6"/>
      <c r="S13" s="2"/>
      <c r="T13" s="2"/>
      <c r="U13" s="2"/>
      <c r="V13" s="6"/>
      <c r="W13" s="2"/>
      <c r="X13" s="2"/>
      <c r="Y13" s="2"/>
      <c r="Z13" s="6"/>
    </row>
    <row r="14" spans="1:26" s="23" customFormat="1" x14ac:dyDescent="0.3">
      <c r="A14" s="10"/>
      <c r="B14" s="25" t="s">
        <v>257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3">
      <c r="A15" s="9"/>
      <c r="B15" s="10"/>
      <c r="C15" s="10"/>
      <c r="D15" s="2"/>
      <c r="E15" s="2"/>
      <c r="F15" s="6"/>
      <c r="G15" s="2"/>
      <c r="H15" s="2"/>
      <c r="I15" s="2"/>
      <c r="J15" s="6"/>
      <c r="K15" s="2"/>
      <c r="L15" s="2"/>
      <c r="M15" s="2"/>
      <c r="N15" s="6"/>
      <c r="O15" s="10"/>
      <c r="P15" s="2"/>
      <c r="Q15" s="2"/>
      <c r="R15" s="6"/>
      <c r="S15" s="2"/>
      <c r="T15" s="2"/>
      <c r="U15" s="2"/>
      <c r="V15" s="6"/>
      <c r="W15" s="2"/>
      <c r="X15" s="2"/>
      <c r="Y15" s="2"/>
      <c r="Z15" s="6"/>
    </row>
    <row r="16" spans="1:26" s="23" customFormat="1" x14ac:dyDescent="0.3">
      <c r="A16" s="10"/>
      <c r="B16" s="26" t="s">
        <v>108</v>
      </c>
      <c r="C16" s="26"/>
      <c r="D16" s="21">
        <f>D12-D14</f>
        <v>0</v>
      </c>
      <c r="E16" s="13"/>
      <c r="F16" s="22">
        <f>IF(D$12=0,0,D16/D$12)</f>
        <v>0</v>
      </c>
      <c r="G16" s="13"/>
      <c r="H16" s="21">
        <f>H12-H14</f>
        <v>0</v>
      </c>
      <c r="I16" s="13"/>
      <c r="J16" s="22">
        <f>IF(H$12=0,0,H16/H$12)</f>
        <v>0</v>
      </c>
      <c r="K16" s="16"/>
      <c r="L16" s="21">
        <f>+D16-H16</f>
        <v>0</v>
      </c>
      <c r="M16" s="16"/>
      <c r="N16" s="22">
        <f>IF(H16=0,0,L16/H16)</f>
        <v>0</v>
      </c>
      <c r="O16" s="25"/>
      <c r="P16" s="21">
        <f>P12-P14</f>
        <v>0</v>
      </c>
      <c r="Q16" s="13"/>
      <c r="R16" s="22">
        <f>IF(P$12=0,0,P16/P$12)</f>
        <v>0</v>
      </c>
      <c r="S16" s="13"/>
      <c r="T16" s="21">
        <f>T12-T14</f>
        <v>0</v>
      </c>
      <c r="U16" s="13"/>
      <c r="V16" s="22">
        <f>IF(T$12=0,0,T16/T$12)</f>
        <v>0</v>
      </c>
      <c r="W16" s="16"/>
      <c r="X16" s="21">
        <f>+P16-T16</f>
        <v>0</v>
      </c>
      <c r="Y16" s="16"/>
      <c r="Z16" s="22">
        <f>IF(T16=0,0,X16/T16)</f>
        <v>0</v>
      </c>
    </row>
    <row r="17" spans="1:26" x14ac:dyDescent="0.3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3">
      <c r="A18" s="10"/>
      <c r="B18" s="25" t="s">
        <v>295</v>
      </c>
      <c r="C18" s="10"/>
      <c r="D18" s="20">
        <f>SUM(0)</f>
        <v>0</v>
      </c>
      <c r="E18" s="20"/>
      <c r="F18" s="32">
        <f>IF(D$12=0,0,D18/D$12)</f>
        <v>0</v>
      </c>
      <c r="G18" s="20"/>
      <c r="H18" s="20">
        <f>SUM(0)</f>
        <v>0</v>
      </c>
      <c r="I18" s="20"/>
      <c r="J18" s="32">
        <f>IF(H$12=0,0,H18/H$12)</f>
        <v>0</v>
      </c>
      <c r="K18" s="4"/>
      <c r="L18" s="20">
        <f>+D18-H18</f>
        <v>0</v>
      </c>
      <c r="M18" s="4"/>
      <c r="N18" s="32">
        <f>IF(H18=0,0,L18/H18)</f>
        <v>0</v>
      </c>
      <c r="O18" s="10"/>
      <c r="P18" s="20">
        <f>SUM(0)</f>
        <v>0</v>
      </c>
      <c r="Q18" s="20"/>
      <c r="R18" s="32">
        <f>IF(P$12=0,0,P18/P$12)</f>
        <v>0</v>
      </c>
      <c r="S18" s="20"/>
      <c r="T18" s="20">
        <f>SUM(0)</f>
        <v>0</v>
      </c>
      <c r="U18" s="20"/>
      <c r="V18" s="32">
        <f>IF(T$12=0,0,T18/T$12)</f>
        <v>0</v>
      </c>
      <c r="W18" s="4"/>
      <c r="X18" s="20">
        <f>+P18-T18</f>
        <v>0</v>
      </c>
      <c r="Y18" s="4"/>
      <c r="Z18" s="32">
        <f>IF(T18=0,0,X18/T18)</f>
        <v>0</v>
      </c>
    </row>
    <row r="19" spans="1:26" s="62" customFormat="1" x14ac:dyDescent="0.3">
      <c r="A19" s="36"/>
      <c r="B19" s="36"/>
      <c r="C19" s="36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">
      <c r="A20" s="10"/>
      <c r="B20" s="25" t="s">
        <v>293</v>
      </c>
      <c r="C20" s="10"/>
      <c r="D20" s="4">
        <f>SUM(0)</f>
        <v>0</v>
      </c>
      <c r="E20" s="4"/>
      <c r="F20" s="12">
        <f>IF(D$12=0,0,D20/D$12)</f>
        <v>0</v>
      </c>
      <c r="G20" s="4"/>
      <c r="H20" s="4">
        <f>SUM(0)</f>
        <v>0</v>
      </c>
      <c r="I20" s="4"/>
      <c r="J20" s="12">
        <f>IF(H$12=0,0,H20/H$12)</f>
        <v>0</v>
      </c>
      <c r="K20" s="4"/>
      <c r="L20" s="4">
        <f>+D20-H20</f>
        <v>0</v>
      </c>
      <c r="M20" s="4"/>
      <c r="N20" s="12">
        <f>IF(H20=0,0,L20/H20)</f>
        <v>0</v>
      </c>
      <c r="O20" s="10"/>
      <c r="P20" s="4">
        <f>SUM(0)</f>
        <v>0</v>
      </c>
      <c r="Q20" s="4"/>
      <c r="R20" s="12">
        <f>IF(P$12=0,0,P20/P$12)</f>
        <v>0</v>
      </c>
      <c r="S20" s="4"/>
      <c r="T20" s="4">
        <f>SUM(0)</f>
        <v>0</v>
      </c>
      <c r="U20" s="4"/>
      <c r="V20" s="12">
        <f>IF(T$12=0,0,T20/T$12)</f>
        <v>0</v>
      </c>
      <c r="W20" s="4"/>
      <c r="X20" s="4">
        <f>+P20-T20</f>
        <v>0</v>
      </c>
      <c r="Y20" s="4"/>
      <c r="Z20" s="12">
        <f>IF(T20=0,0,X20/T20)</f>
        <v>0</v>
      </c>
    </row>
    <row r="21" spans="1:26" x14ac:dyDescent="0.3">
      <c r="A21" s="9"/>
      <c r="B21" s="10"/>
      <c r="C21" s="10"/>
      <c r="D21" s="2"/>
      <c r="E21" s="2"/>
      <c r="F21" s="6"/>
      <c r="G21" s="2"/>
      <c r="H21" s="2"/>
      <c r="I21" s="2"/>
      <c r="J21" s="6"/>
      <c r="K21" s="2"/>
      <c r="L21" s="2"/>
      <c r="M21" s="2"/>
      <c r="N21" s="6"/>
      <c r="O21" s="10"/>
      <c r="P21" s="2"/>
      <c r="Q21" s="2"/>
      <c r="R21" s="6"/>
      <c r="S21" s="2"/>
      <c r="T21" s="2"/>
      <c r="U21" s="2"/>
      <c r="V21" s="6"/>
      <c r="W21" s="2"/>
      <c r="X21" s="2"/>
      <c r="Y21" s="2"/>
      <c r="Z21" s="6"/>
    </row>
    <row r="22" spans="1:26" s="23" customFormat="1" x14ac:dyDescent="0.3">
      <c r="A22" s="10"/>
      <c r="B22" s="26" t="s">
        <v>277</v>
      </c>
      <c r="C22" s="26"/>
      <c r="D22" s="21">
        <f>+D16-D18+D20</f>
        <v>0</v>
      </c>
      <c r="E22" s="13"/>
      <c r="F22" s="22">
        <f>IF(D$12=0,0,D22/D$12)</f>
        <v>0</v>
      </c>
      <c r="G22" s="13"/>
      <c r="H22" s="21">
        <f>+H16-H18+H20</f>
        <v>0</v>
      </c>
      <c r="I22" s="13"/>
      <c r="J22" s="22">
        <f>IF(H$12=0,0,H22/H$12)</f>
        <v>0</v>
      </c>
      <c r="K22" s="16"/>
      <c r="L22" s="21">
        <f>+D22-H22</f>
        <v>0</v>
      </c>
      <c r="M22" s="16"/>
      <c r="N22" s="22">
        <f>IF(H22=0,0,L22/H22)</f>
        <v>0</v>
      </c>
      <c r="O22" s="25"/>
      <c r="P22" s="21">
        <f>+P16-P18+P20</f>
        <v>0</v>
      </c>
      <c r="Q22" s="13"/>
      <c r="R22" s="22">
        <f>IF(P$12=0,0,P22/P$12)</f>
        <v>0</v>
      </c>
      <c r="S22" s="13"/>
      <c r="T22" s="21">
        <f>+T16-T18+T20</f>
        <v>0</v>
      </c>
      <c r="U22" s="13"/>
      <c r="V22" s="22">
        <f>IF(T$12=0,0,T22/T$12)</f>
        <v>0</v>
      </c>
      <c r="W22" s="16"/>
      <c r="X22" s="21">
        <f>+P22-T22</f>
        <v>0</v>
      </c>
      <c r="Y22" s="16"/>
      <c r="Z22" s="22">
        <f>IF(T22=0,0,X22/T22)</f>
        <v>0</v>
      </c>
    </row>
    <row r="23" spans="1:26" x14ac:dyDescent="0.3">
      <c r="A23" s="9"/>
      <c r="B23" s="10"/>
      <c r="C23" s="9"/>
      <c r="D23" s="2"/>
      <c r="E23" s="2"/>
      <c r="F23" s="6"/>
      <c r="G23" s="2"/>
      <c r="H23" s="2"/>
      <c r="I23" s="2"/>
      <c r="J23" s="6"/>
      <c r="K23" s="2"/>
      <c r="L23" s="2"/>
      <c r="M23" s="2"/>
      <c r="N23" s="6"/>
      <c r="P23" s="2"/>
      <c r="Q23" s="2"/>
      <c r="R23" s="6"/>
      <c r="S23" s="2"/>
      <c r="T23" s="2"/>
      <c r="U23" s="2"/>
      <c r="V23" s="6"/>
      <c r="W23" s="2"/>
      <c r="X23" s="2"/>
      <c r="Y23" s="2"/>
      <c r="Z23" s="6"/>
    </row>
    <row r="24" spans="1:26" s="23" customFormat="1" x14ac:dyDescent="0.3">
      <c r="A24" s="52"/>
      <c r="B24" s="10" t="s">
        <v>128</v>
      </c>
      <c r="C24" s="10"/>
      <c r="D24" s="4"/>
      <c r="E24" s="4"/>
      <c r="F24" s="12">
        <f>IF(D$12=0,0,D24/D$12)</f>
        <v>0</v>
      </c>
      <c r="G24" s="4"/>
      <c r="H24" s="4"/>
      <c r="I24" s="4"/>
      <c r="J24" s="12">
        <f>IF(H$12=0,0,H24/H$12)</f>
        <v>0</v>
      </c>
      <c r="K24" s="4"/>
      <c r="L24" s="4">
        <f>+D24-H24</f>
        <v>0</v>
      </c>
      <c r="M24" s="4"/>
      <c r="N24" s="12">
        <f>IF(H24=0,0,L24/H24)</f>
        <v>0</v>
      </c>
      <c r="O24" s="10"/>
      <c r="P24" s="4"/>
      <c r="Q24" s="4"/>
      <c r="R24" s="12">
        <f>IF(P$12=0,0,P24/P$12)</f>
        <v>0</v>
      </c>
      <c r="S24" s="4"/>
      <c r="T24" s="4"/>
      <c r="U24" s="4"/>
      <c r="V24" s="12">
        <f>IF(T$12=0,0,T24/T$12)</f>
        <v>0</v>
      </c>
      <c r="W24" s="4"/>
      <c r="X24" s="4">
        <f>+P24-T24</f>
        <v>0</v>
      </c>
      <c r="Y24" s="4"/>
      <c r="Z24" s="12">
        <f>IF(T24=0,0,X24/T24)</f>
        <v>0</v>
      </c>
    </row>
    <row r="25" spans="1:26" x14ac:dyDescent="0.3">
      <c r="A25" s="9"/>
      <c r="B25" s="10"/>
      <c r="C25" s="10"/>
      <c r="D25" s="2"/>
      <c r="E25" s="2"/>
      <c r="F25" s="6"/>
      <c r="G25" s="2"/>
      <c r="H25" s="2"/>
      <c r="I25" s="2"/>
      <c r="J25" s="6"/>
      <c r="K25" s="2"/>
      <c r="L25" s="2"/>
      <c r="M25" s="2"/>
      <c r="N25" s="6"/>
      <c r="O25" s="10"/>
      <c r="P25" s="2"/>
      <c r="Q25" s="2"/>
      <c r="R25" s="6"/>
      <c r="S25" s="2"/>
      <c r="T25" s="2"/>
      <c r="U25" s="2"/>
      <c r="V25" s="6"/>
      <c r="W25" s="2"/>
      <c r="X25" s="2"/>
      <c r="Y25" s="2"/>
      <c r="Z25" s="6"/>
    </row>
    <row r="26" spans="1:26" s="23" customFormat="1" ht="15" thickBot="1" x14ac:dyDescent="0.35">
      <c r="A26" s="10"/>
      <c r="B26" s="26" t="s">
        <v>126</v>
      </c>
      <c r="C26" s="26"/>
      <c r="D26" s="35">
        <f>+D22-D24</f>
        <v>0</v>
      </c>
      <c r="E26" s="13"/>
      <c r="F26" s="30">
        <f>IF(D$12=0,0,D26/D$12)</f>
        <v>0</v>
      </c>
      <c r="G26" s="13"/>
      <c r="H26" s="35">
        <f>+H22-H24</f>
        <v>0</v>
      </c>
      <c r="I26" s="13"/>
      <c r="J26" s="30">
        <f>IF(H$12=0,0,H26/H$12)</f>
        <v>0</v>
      </c>
      <c r="K26" s="16"/>
      <c r="L26" s="35">
        <f>D26-H26</f>
        <v>0</v>
      </c>
      <c r="M26" s="16"/>
      <c r="N26" s="30">
        <f>IF(H26=0,0,L26/H26)</f>
        <v>0</v>
      </c>
      <c r="O26" s="25"/>
      <c r="P26" s="35">
        <f>+P22-P24</f>
        <v>0</v>
      </c>
      <c r="Q26" s="13"/>
      <c r="R26" s="30">
        <f>IF(P$12=0,0,P26/P$12)</f>
        <v>0</v>
      </c>
      <c r="S26" s="13"/>
      <c r="T26" s="35">
        <f>+T22-T24</f>
        <v>0</v>
      </c>
      <c r="U26" s="13"/>
      <c r="V26" s="30">
        <f>IF(T$12=0,0,T26/T$12)</f>
        <v>0</v>
      </c>
      <c r="W26" s="16"/>
      <c r="X26" s="35">
        <f>P26-T26</f>
        <v>0</v>
      </c>
      <c r="Y26" s="16"/>
      <c r="Z26" s="30">
        <f>IF(T26=0,0,X26/T26)</f>
        <v>0</v>
      </c>
    </row>
    <row r="27" spans="1:26" ht="15" thickTop="1" x14ac:dyDescent="0.3">
      <c r="A27" s="9"/>
      <c r="B27" s="9"/>
      <c r="C27" s="9"/>
      <c r="D27" s="2"/>
      <c r="E27" s="2"/>
      <c r="F27" s="6"/>
      <c r="G27" s="2"/>
      <c r="H27" s="2"/>
      <c r="I27" s="2"/>
      <c r="J27" s="6"/>
      <c r="K27" s="2"/>
      <c r="L27" s="2"/>
      <c r="M27" s="2"/>
      <c r="N27" s="6"/>
      <c r="P27" s="2"/>
      <c r="Q27" s="2"/>
      <c r="R27" s="6"/>
      <c r="S27" s="2"/>
      <c r="T27" s="2"/>
      <c r="U27" s="2"/>
      <c r="V27" s="6"/>
      <c r="W27" s="2"/>
      <c r="X27" s="2"/>
      <c r="Y27" s="2"/>
      <c r="Z27" s="6"/>
    </row>
    <row r="28" spans="1:26" s="23" customFormat="1" x14ac:dyDescent="0.3">
      <c r="A28" s="52"/>
      <c r="B28" s="10" t="s">
        <v>184</v>
      </c>
      <c r="C28" s="10"/>
      <c r="D28" s="4">
        <f>--18122.3</f>
        <v>18122.3</v>
      </c>
      <c r="E28" s="4"/>
      <c r="F28" s="12">
        <f t="shared" ref="F28:F29" si="0">IF(D$12=0,0,D28/D$12)</f>
        <v>0</v>
      </c>
      <c r="G28" s="4"/>
      <c r="H28" s="4">
        <f t="shared" ref="H28:H29" si="1">--15000</f>
        <v>15000</v>
      </c>
      <c r="I28" s="4"/>
      <c r="J28" s="12">
        <f t="shared" ref="J28:J29" si="2">IF(H$12=0,0,H28/H$12)</f>
        <v>0</v>
      </c>
      <c r="K28" s="4"/>
      <c r="L28" s="4">
        <f t="shared" ref="L28:L29" si="3">+D28-H28</f>
        <v>3122.2999999999993</v>
      </c>
      <c r="M28" s="4"/>
      <c r="N28" s="12">
        <f t="shared" ref="N28:N29" si="4">IF(H28=0,0,L28/H28)</f>
        <v>0.20815333333333327</v>
      </c>
      <c r="O28" s="10"/>
      <c r="P28" s="4">
        <f>--18122.3</f>
        <v>18122.3</v>
      </c>
      <c r="Q28" s="4"/>
      <c r="R28" s="12">
        <f t="shared" ref="R28:R29" si="5">IF(P$12=0,0,P28/P$12)</f>
        <v>0</v>
      </c>
      <c r="S28" s="4"/>
      <c r="T28" s="4">
        <f t="shared" ref="T28:T29" si="6">--15000</f>
        <v>15000</v>
      </c>
      <c r="U28" s="4"/>
      <c r="V28" s="12">
        <f t="shared" ref="V28:V29" si="7">IF(T$12=0,0,T28/T$12)</f>
        <v>0</v>
      </c>
      <c r="W28" s="4"/>
      <c r="X28" s="4">
        <f t="shared" ref="X28:X29" si="8">+P28-T28</f>
        <v>3122.2999999999993</v>
      </c>
      <c r="Y28" s="4"/>
      <c r="Z28" s="12">
        <f t="shared" ref="Z28:Z29" si="9">IF(T28=0,0,X28/T28)</f>
        <v>0.20815333333333327</v>
      </c>
    </row>
    <row r="29" spans="1:26" s="23" customFormat="1" x14ac:dyDescent="0.3">
      <c r="A29" s="52"/>
      <c r="B29" s="10" t="s">
        <v>82</v>
      </c>
      <c r="C29" s="10"/>
      <c r="D29" s="4">
        <f>--10182.42</f>
        <v>10182.42</v>
      </c>
      <c r="E29" s="4"/>
      <c r="F29" s="12">
        <f t="shared" si="0"/>
        <v>0</v>
      </c>
      <c r="G29" s="4"/>
      <c r="H29" s="4">
        <f t="shared" si="1"/>
        <v>15000</v>
      </c>
      <c r="I29" s="4"/>
      <c r="J29" s="12">
        <f t="shared" si="2"/>
        <v>0</v>
      </c>
      <c r="K29" s="4"/>
      <c r="L29" s="4">
        <f t="shared" si="3"/>
        <v>-4817.58</v>
      </c>
      <c r="M29" s="4"/>
      <c r="N29" s="12">
        <f t="shared" si="4"/>
        <v>-0.32117200000000001</v>
      </c>
      <c r="O29" s="10"/>
      <c r="P29" s="4">
        <f>--10182.42</f>
        <v>10182.42</v>
      </c>
      <c r="Q29" s="4"/>
      <c r="R29" s="12">
        <f t="shared" si="5"/>
        <v>0</v>
      </c>
      <c r="S29" s="4"/>
      <c r="T29" s="4">
        <f t="shared" si="6"/>
        <v>15000</v>
      </c>
      <c r="U29" s="4"/>
      <c r="V29" s="12">
        <f t="shared" si="7"/>
        <v>0</v>
      </c>
      <c r="W29" s="4"/>
      <c r="X29" s="4">
        <f t="shared" si="8"/>
        <v>-4817.58</v>
      </c>
      <c r="Y29" s="4"/>
      <c r="Z29" s="12">
        <f t="shared" si="9"/>
        <v>-0.32117200000000001</v>
      </c>
    </row>
    <row r="30" spans="1:26" x14ac:dyDescent="0.3">
      <c r="A30" s="9"/>
      <c r="B30" s="9"/>
      <c r="C30" s="9"/>
      <c r="D30" s="2"/>
      <c r="E30" s="2"/>
      <c r="F30" s="6"/>
      <c r="G30" s="2"/>
      <c r="H30" s="2"/>
      <c r="I30" s="2"/>
      <c r="J30" s="6"/>
      <c r="K30" s="2"/>
      <c r="L30" s="2"/>
      <c r="M30" s="2"/>
      <c r="N30" s="6"/>
      <c r="P30" s="2"/>
      <c r="Q30" s="2"/>
      <c r="R30" s="6"/>
      <c r="S30" s="2"/>
      <c r="T30" s="2"/>
      <c r="U30" s="2"/>
      <c r="V30" s="6"/>
      <c r="W30" s="2"/>
      <c r="X30" s="2"/>
      <c r="Y30" s="2"/>
      <c r="Z30" s="6"/>
    </row>
    <row r="31" spans="1:26" s="23" customFormat="1" ht="15" thickBot="1" x14ac:dyDescent="0.35">
      <c r="A31" s="10"/>
      <c r="B31" s="26" t="s">
        <v>294</v>
      </c>
      <c r="C31" s="26"/>
      <c r="D31" s="33">
        <f>SUM(D26:D30)</f>
        <v>28304.720000000001</v>
      </c>
      <c r="E31" s="13"/>
      <c r="F31" s="31">
        <f>IF(D$12=0,0,D31/D$12)</f>
        <v>0</v>
      </c>
      <c r="G31" s="13"/>
      <c r="H31" s="33">
        <f>SUM(H26:H30)</f>
        <v>30000</v>
      </c>
      <c r="I31" s="13"/>
      <c r="J31" s="31">
        <f>IF(H$12=0,0,H31/H$12)</f>
        <v>0</v>
      </c>
      <c r="K31" s="16"/>
      <c r="L31" s="33">
        <f>+D31-H31</f>
        <v>-1695.2799999999988</v>
      </c>
      <c r="M31" s="16"/>
      <c r="N31" s="31">
        <f>IF(H31=0,0,L31/H31)</f>
        <v>-5.6509333333333293E-2</v>
      </c>
      <c r="O31" s="25"/>
      <c r="P31" s="33">
        <f>SUM(P26:P30)</f>
        <v>28304.720000000001</v>
      </c>
      <c r="Q31" s="13"/>
      <c r="R31" s="31">
        <f>IF(P$12=0,0,P31/P$12)</f>
        <v>0</v>
      </c>
      <c r="S31" s="13"/>
      <c r="T31" s="33">
        <f>SUM(T26:T30)</f>
        <v>30000</v>
      </c>
      <c r="U31" s="13"/>
      <c r="V31" s="31">
        <f>IF(T$12=0,0,T31/T$12)</f>
        <v>0</v>
      </c>
      <c r="W31" s="16"/>
      <c r="X31" s="33">
        <f>+P31-T31</f>
        <v>-1695.2799999999988</v>
      </c>
      <c r="Y31" s="16"/>
      <c r="Z31" s="31">
        <f>IF(T31=0,0,X31/T31)</f>
        <v>-5.6509333333333293E-2</v>
      </c>
    </row>
    <row r="32" spans="1:26" ht="15" thickTop="1" x14ac:dyDescent="0.3">
      <c r="A32" s="9"/>
      <c r="C32" s="9"/>
      <c r="D32" s="18"/>
      <c r="E32" s="18"/>
      <c r="G32" s="18"/>
      <c r="H32" s="18"/>
      <c r="I32" s="18"/>
      <c r="J32" s="43"/>
      <c r="K32" s="18"/>
      <c r="L32" s="18"/>
      <c r="M32" s="18"/>
      <c r="P32" s="18"/>
      <c r="Q32" s="18"/>
      <c r="R32" s="43"/>
      <c r="S32" s="18"/>
      <c r="T32" s="18"/>
      <c r="U32" s="18"/>
      <c r="V32" s="43"/>
      <c r="W32" s="18"/>
      <c r="X32" s="18"/>
    </row>
    <row r="33" spans="1:24" x14ac:dyDescent="0.3">
      <c r="A33" s="9"/>
      <c r="B33" s="54">
        <v>44462.645483680557</v>
      </c>
      <c r="D33" s="18"/>
      <c r="E33" s="18"/>
      <c r="G33" s="18"/>
      <c r="H33" s="18"/>
      <c r="I33" s="18"/>
      <c r="J33" s="43"/>
      <c r="K33" s="18"/>
      <c r="L33" s="18"/>
      <c r="M33" s="18"/>
      <c r="P33" s="18"/>
      <c r="Q33" s="18"/>
      <c r="R33" s="43"/>
      <c r="S33" s="18"/>
      <c r="T33" s="18"/>
      <c r="U33" s="18"/>
      <c r="V33" s="43"/>
      <c r="W33" s="18"/>
      <c r="X33" s="18"/>
    </row>
    <row r="34" spans="1:24" x14ac:dyDescent="0.3">
      <c r="A34" s="9"/>
      <c r="B34" s="59" t="s">
        <v>56</v>
      </c>
      <c r="D34" s="18"/>
      <c r="E34" s="18"/>
      <c r="G34" s="18"/>
      <c r="H34" s="18"/>
      <c r="I34" s="18"/>
      <c r="J34" s="43"/>
      <c r="K34" s="18"/>
      <c r="L34" s="18"/>
      <c r="M34" s="18"/>
      <c r="P34" s="18"/>
      <c r="Q34" s="18"/>
      <c r="R34" s="43"/>
      <c r="S34" s="18"/>
      <c r="T34" s="18"/>
      <c r="U34" s="18"/>
      <c r="V34" s="43"/>
      <c r="W34" s="18"/>
      <c r="X34" s="18"/>
    </row>
    <row r="35" spans="1:24" x14ac:dyDescent="0.3">
      <c r="A35" s="9"/>
      <c r="B35" s="55"/>
      <c r="D35" s="18"/>
      <c r="E35" s="18"/>
      <c r="G35" s="18"/>
      <c r="H35" s="18"/>
      <c r="I35" s="18"/>
      <c r="J35" s="43"/>
      <c r="K35" s="18"/>
      <c r="L35" s="18"/>
      <c r="M35" s="18"/>
      <c r="P35" s="18"/>
      <c r="Q35" s="18"/>
      <c r="R35" s="43"/>
      <c r="S35" s="18"/>
      <c r="T35" s="18"/>
      <c r="U35" s="18"/>
      <c r="V35" s="43"/>
      <c r="W35" s="18"/>
      <c r="X35" s="18"/>
    </row>
    <row r="36" spans="1:24" x14ac:dyDescent="0.3">
      <c r="D36" s="18"/>
      <c r="E36" s="18"/>
      <c r="G36" s="18"/>
      <c r="H36" s="18"/>
      <c r="I36" s="18"/>
      <c r="J36" s="43"/>
      <c r="K36" s="18"/>
      <c r="L36" s="18"/>
      <c r="M36" s="18"/>
      <c r="P36" s="18"/>
      <c r="Q36" s="18"/>
      <c r="R36" s="43"/>
      <c r="S36" s="18"/>
      <c r="T36" s="18"/>
      <c r="U36" s="18"/>
      <c r="V36" s="43"/>
      <c r="W36" s="18"/>
      <c r="X36" s="18"/>
    </row>
  </sheetData>
  <pageMargins left="0.25" right="0.25" top="0.75" bottom="0.75" header="0.3" footer="0.3"/>
  <pageSetup scale="55" fitToWidth="2" orientation="landscape"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>
    <tabColor rgb="FF92D050"/>
    <outlinePr summaryBelow="0" summaryRight="0"/>
  </sheetPr>
  <dimension ref="A2:Z36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4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50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7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50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7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7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7" customWidth="1" outlineLevel="1"/>
  </cols>
  <sheetData>
    <row r="2" spans="1:26" x14ac:dyDescent="0.3">
      <c r="D2" s="57" t="s">
        <v>23</v>
      </c>
    </row>
    <row r="3" spans="1:26" x14ac:dyDescent="0.3">
      <c r="D3" s="57" t="s">
        <v>237</v>
      </c>
      <c r="E3" s="17"/>
      <c r="F3" s="51"/>
      <c r="G3" s="17"/>
      <c r="H3" s="17"/>
      <c r="I3" s="17"/>
      <c r="J3" s="39"/>
      <c r="K3" s="17"/>
      <c r="L3" s="17"/>
      <c r="M3" s="17"/>
      <c r="N3" s="51"/>
      <c r="O3" s="61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3">
      <c r="D4" s="57" t="str">
        <f>CONCATENATE("Period ",RIGHT(202201,2),", ",2022)</f>
        <v>Period 01, 2022</v>
      </c>
      <c r="E4" s="17"/>
      <c r="F4" s="51"/>
      <c r="G4" s="17"/>
      <c r="H4" s="17"/>
      <c r="I4" s="17"/>
      <c r="J4" s="39"/>
      <c r="K4" s="17"/>
      <c r="L4" s="17"/>
      <c r="M4" s="17"/>
      <c r="N4" s="51"/>
      <c r="O4" s="61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3">
      <c r="A5" s="23"/>
      <c r="D5" s="64">
        <v>44408</v>
      </c>
      <c r="E5" s="17"/>
      <c r="F5" s="51"/>
      <c r="G5" s="17"/>
      <c r="H5" s="17"/>
      <c r="I5" s="17"/>
      <c r="J5" s="39"/>
      <c r="K5" s="17"/>
      <c r="L5" s="17"/>
      <c r="M5" s="17"/>
      <c r="N5" s="51"/>
      <c r="O5" s="61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3">
      <c r="A6" s="23"/>
      <c r="B6" s="47"/>
      <c r="C6" s="47"/>
      <c r="D6" s="23" t="str">
        <f>CONCATENATE("Department ","100", " - ", "Corporate")</f>
        <v>Department 100 - Corporate</v>
      </c>
      <c r="E6" s="17"/>
      <c r="F6" s="51"/>
      <c r="G6" s="17"/>
      <c r="H6" s="17"/>
      <c r="I6" s="17"/>
      <c r="J6" s="39"/>
      <c r="K6" s="17"/>
      <c r="L6" s="17"/>
      <c r="M6" s="17"/>
      <c r="N6" s="51"/>
      <c r="O6" s="60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3">
      <c r="B7" s="63"/>
    </row>
    <row r="8" spans="1:26" x14ac:dyDescent="0.3">
      <c r="B8" s="63"/>
    </row>
    <row r="9" spans="1:26" x14ac:dyDescent="0.3">
      <c r="B9" s="9"/>
      <c r="C9" s="9"/>
      <c r="D9" s="15" t="s">
        <v>292</v>
      </c>
      <c r="E9" s="15"/>
      <c r="F9" s="38"/>
      <c r="G9" s="15"/>
      <c r="H9" s="15"/>
      <c r="I9" s="15"/>
      <c r="J9" s="49"/>
      <c r="K9" s="15"/>
      <c r="L9" s="15"/>
      <c r="M9" s="15"/>
      <c r="N9" s="38"/>
      <c r="P9" s="15" t="s">
        <v>39</v>
      </c>
      <c r="Q9" s="15"/>
      <c r="R9" s="38"/>
      <c r="S9" s="15"/>
      <c r="T9" s="15"/>
      <c r="U9" s="15"/>
      <c r="V9" s="49"/>
      <c r="W9" s="15"/>
      <c r="X9" s="15"/>
      <c r="Y9" s="15"/>
      <c r="Z9" s="38"/>
    </row>
    <row r="10" spans="1:26" x14ac:dyDescent="0.3">
      <c r="A10" s="10"/>
      <c r="B10" s="53"/>
      <c r="C10" s="10"/>
      <c r="D10" s="42" t="s">
        <v>57</v>
      </c>
      <c r="E10" s="34"/>
      <c r="F10" s="40" t="s">
        <v>40</v>
      </c>
      <c r="G10" s="34"/>
      <c r="H10" s="45" t="s">
        <v>238</v>
      </c>
      <c r="I10" s="34"/>
      <c r="J10" s="48" t="s">
        <v>58</v>
      </c>
      <c r="K10" s="10"/>
      <c r="L10" s="42" t="s">
        <v>127</v>
      </c>
      <c r="M10" s="10"/>
      <c r="N10" s="40" t="s">
        <v>258</v>
      </c>
      <c r="O10" s="10"/>
      <c r="P10" s="56" t="s">
        <v>57</v>
      </c>
      <c r="Q10" s="34"/>
      <c r="R10" s="40" t="s">
        <v>40</v>
      </c>
      <c r="S10" s="34"/>
      <c r="T10" s="45" t="s">
        <v>238</v>
      </c>
      <c r="U10" s="34"/>
      <c r="V10" s="48" t="s">
        <v>58</v>
      </c>
      <c r="W10" s="10"/>
      <c r="X10" s="42" t="s">
        <v>127</v>
      </c>
      <c r="Y10" s="10"/>
      <c r="Z10" s="40" t="s">
        <v>258</v>
      </c>
    </row>
    <row r="11" spans="1:26" ht="15.6" x14ac:dyDescent="0.3">
      <c r="A11" s="9"/>
      <c r="B11" s="58"/>
      <c r="C11" s="9"/>
      <c r="D11" s="9"/>
      <c r="E11" s="9"/>
      <c r="F11" s="6"/>
      <c r="G11" s="9"/>
      <c r="H11" s="9"/>
      <c r="I11" s="9"/>
      <c r="J11" s="46"/>
      <c r="K11" s="9"/>
      <c r="L11" s="9"/>
      <c r="M11" s="9"/>
      <c r="N11" s="6"/>
      <c r="P11" s="9"/>
      <c r="Q11" s="9"/>
      <c r="R11" s="6"/>
      <c r="S11" s="9"/>
      <c r="T11" s="9"/>
      <c r="U11" s="9"/>
      <c r="V11" s="46"/>
      <c r="W11" s="9"/>
      <c r="X11" s="9"/>
      <c r="Y11" s="9"/>
      <c r="Z11" s="6"/>
    </row>
    <row r="12" spans="1:26" s="23" customFormat="1" x14ac:dyDescent="0.3">
      <c r="A12" s="10"/>
      <c r="B12" s="25" t="s">
        <v>140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3">
      <c r="A13" s="9"/>
      <c r="B13" s="10"/>
      <c r="C13" s="9"/>
      <c r="D13" s="2"/>
      <c r="E13" s="2"/>
      <c r="F13" s="6"/>
      <c r="G13" s="2"/>
      <c r="H13" s="2"/>
      <c r="I13" s="2"/>
      <c r="J13" s="6"/>
      <c r="K13" s="2"/>
      <c r="L13" s="2"/>
      <c r="M13" s="2"/>
      <c r="N13" s="6"/>
      <c r="P13" s="2"/>
      <c r="Q13" s="2"/>
      <c r="R13" s="6"/>
      <c r="S13" s="2"/>
      <c r="T13" s="2"/>
      <c r="U13" s="2"/>
      <c r="V13" s="6"/>
      <c r="W13" s="2"/>
      <c r="X13" s="2"/>
      <c r="Y13" s="2"/>
      <c r="Z13" s="6"/>
    </row>
    <row r="14" spans="1:26" s="23" customFormat="1" x14ac:dyDescent="0.3">
      <c r="A14" s="10"/>
      <c r="B14" s="25" t="s">
        <v>257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3">
      <c r="A15" s="9"/>
      <c r="B15" s="10"/>
      <c r="C15" s="10"/>
      <c r="D15" s="2"/>
      <c r="E15" s="2"/>
      <c r="F15" s="6"/>
      <c r="G15" s="2"/>
      <c r="H15" s="2"/>
      <c r="I15" s="2"/>
      <c r="J15" s="6"/>
      <c r="K15" s="2"/>
      <c r="L15" s="2"/>
      <c r="M15" s="2"/>
      <c r="N15" s="6"/>
      <c r="O15" s="10"/>
      <c r="P15" s="2"/>
      <c r="Q15" s="2"/>
      <c r="R15" s="6"/>
      <c r="S15" s="2"/>
      <c r="T15" s="2"/>
      <c r="U15" s="2"/>
      <c r="V15" s="6"/>
      <c r="W15" s="2"/>
      <c r="X15" s="2"/>
      <c r="Y15" s="2"/>
      <c r="Z15" s="6"/>
    </row>
    <row r="16" spans="1:26" s="23" customFormat="1" x14ac:dyDescent="0.3">
      <c r="A16" s="10"/>
      <c r="B16" s="26" t="s">
        <v>108</v>
      </c>
      <c r="C16" s="26"/>
      <c r="D16" s="21">
        <f>D12-D14</f>
        <v>0</v>
      </c>
      <c r="E16" s="13"/>
      <c r="F16" s="22">
        <f>IF(D$12=0,0,D16/D$12)</f>
        <v>0</v>
      </c>
      <c r="G16" s="13"/>
      <c r="H16" s="21">
        <f>H12-H14</f>
        <v>0</v>
      </c>
      <c r="I16" s="13"/>
      <c r="J16" s="22">
        <f>IF(H$12=0,0,H16/H$12)</f>
        <v>0</v>
      </c>
      <c r="K16" s="16"/>
      <c r="L16" s="21">
        <f>+D16-H16</f>
        <v>0</v>
      </c>
      <c r="M16" s="16"/>
      <c r="N16" s="22">
        <f>IF(H16=0,0,L16/H16)</f>
        <v>0</v>
      </c>
      <c r="O16" s="25"/>
      <c r="P16" s="21">
        <f>P12-P14</f>
        <v>0</v>
      </c>
      <c r="Q16" s="13"/>
      <c r="R16" s="22">
        <f>IF(P$12=0,0,P16/P$12)</f>
        <v>0</v>
      </c>
      <c r="S16" s="13"/>
      <c r="T16" s="21">
        <f>T12-T14</f>
        <v>0</v>
      </c>
      <c r="U16" s="13"/>
      <c r="V16" s="22">
        <f>IF(T$12=0,0,T16/T$12)</f>
        <v>0</v>
      </c>
      <c r="W16" s="16"/>
      <c r="X16" s="21">
        <f>+P16-T16</f>
        <v>0</v>
      </c>
      <c r="Y16" s="16"/>
      <c r="Z16" s="22">
        <f>IF(T16=0,0,X16/T16)</f>
        <v>0</v>
      </c>
    </row>
    <row r="17" spans="1:26" x14ac:dyDescent="0.3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3">
      <c r="A18" s="10"/>
      <c r="B18" s="25" t="s">
        <v>295</v>
      </c>
      <c r="C18" s="10"/>
      <c r="D18" s="20">
        <f>SUM(0)</f>
        <v>0</v>
      </c>
      <c r="E18" s="20"/>
      <c r="F18" s="32">
        <f>IF(D$12=0,0,D18/D$12)</f>
        <v>0</v>
      </c>
      <c r="G18" s="20"/>
      <c r="H18" s="20">
        <f>SUM(0)</f>
        <v>0</v>
      </c>
      <c r="I18" s="20"/>
      <c r="J18" s="32">
        <f>IF(H$12=0,0,H18/H$12)</f>
        <v>0</v>
      </c>
      <c r="K18" s="4"/>
      <c r="L18" s="20">
        <f>+D18-H18</f>
        <v>0</v>
      </c>
      <c r="M18" s="4"/>
      <c r="N18" s="32">
        <f>IF(H18=0,0,L18/H18)</f>
        <v>0</v>
      </c>
      <c r="O18" s="10"/>
      <c r="P18" s="20">
        <f>SUM(0)</f>
        <v>0</v>
      </c>
      <c r="Q18" s="20"/>
      <c r="R18" s="32">
        <f>IF(P$12=0,0,P18/P$12)</f>
        <v>0</v>
      </c>
      <c r="S18" s="20"/>
      <c r="T18" s="20">
        <f>SUM(0)</f>
        <v>0</v>
      </c>
      <c r="U18" s="20"/>
      <c r="V18" s="32">
        <f>IF(T$12=0,0,T18/T$12)</f>
        <v>0</v>
      </c>
      <c r="W18" s="4"/>
      <c r="X18" s="20">
        <f>+P18-T18</f>
        <v>0</v>
      </c>
      <c r="Y18" s="4"/>
      <c r="Z18" s="32">
        <f>IF(T18=0,0,X18/T18)</f>
        <v>0</v>
      </c>
    </row>
    <row r="19" spans="1:26" s="62" customFormat="1" x14ac:dyDescent="0.3">
      <c r="A19" s="36"/>
      <c r="B19" s="36"/>
      <c r="C19" s="36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">
      <c r="A20" s="10"/>
      <c r="B20" s="25" t="s">
        <v>293</v>
      </c>
      <c r="C20" s="10"/>
      <c r="D20" s="4">
        <f>SUM(0)</f>
        <v>0</v>
      </c>
      <c r="E20" s="4"/>
      <c r="F20" s="12">
        <f>IF(D$12=0,0,D20/D$12)</f>
        <v>0</v>
      </c>
      <c r="G20" s="4"/>
      <c r="H20" s="4">
        <f>SUM(0)</f>
        <v>0</v>
      </c>
      <c r="I20" s="4"/>
      <c r="J20" s="12">
        <f>IF(H$12=0,0,H20/H$12)</f>
        <v>0</v>
      </c>
      <c r="K20" s="4"/>
      <c r="L20" s="4">
        <f>+D20-H20</f>
        <v>0</v>
      </c>
      <c r="M20" s="4"/>
      <c r="N20" s="12">
        <f>IF(H20=0,0,L20/H20)</f>
        <v>0</v>
      </c>
      <c r="O20" s="10"/>
      <c r="P20" s="4">
        <f>SUM(0)</f>
        <v>0</v>
      </c>
      <c r="Q20" s="4"/>
      <c r="R20" s="12">
        <f>IF(P$12=0,0,P20/P$12)</f>
        <v>0</v>
      </c>
      <c r="S20" s="4"/>
      <c r="T20" s="4">
        <f>SUM(0)</f>
        <v>0</v>
      </c>
      <c r="U20" s="4"/>
      <c r="V20" s="12">
        <f>IF(T$12=0,0,T20/T$12)</f>
        <v>0</v>
      </c>
      <c r="W20" s="4"/>
      <c r="X20" s="4">
        <f>+P20-T20</f>
        <v>0</v>
      </c>
      <c r="Y20" s="4"/>
      <c r="Z20" s="12">
        <f>IF(T20=0,0,X20/T20)</f>
        <v>0</v>
      </c>
    </row>
    <row r="21" spans="1:26" x14ac:dyDescent="0.3">
      <c r="A21" s="9"/>
      <c r="B21" s="10"/>
      <c r="C21" s="10"/>
      <c r="D21" s="2"/>
      <c r="E21" s="2"/>
      <c r="F21" s="6"/>
      <c r="G21" s="2"/>
      <c r="H21" s="2"/>
      <c r="I21" s="2"/>
      <c r="J21" s="6"/>
      <c r="K21" s="2"/>
      <c r="L21" s="2"/>
      <c r="M21" s="2"/>
      <c r="N21" s="6"/>
      <c r="O21" s="10"/>
      <c r="P21" s="2"/>
      <c r="Q21" s="2"/>
      <c r="R21" s="6"/>
      <c r="S21" s="2"/>
      <c r="T21" s="2"/>
      <c r="U21" s="2"/>
      <c r="V21" s="6"/>
      <c r="W21" s="2"/>
      <c r="X21" s="2"/>
      <c r="Y21" s="2"/>
      <c r="Z21" s="6"/>
    </row>
    <row r="22" spans="1:26" s="23" customFormat="1" x14ac:dyDescent="0.3">
      <c r="A22" s="10"/>
      <c r="B22" s="26" t="s">
        <v>277</v>
      </c>
      <c r="C22" s="26"/>
      <c r="D22" s="21">
        <f>+D16-D18+D20</f>
        <v>0</v>
      </c>
      <c r="E22" s="13"/>
      <c r="F22" s="22">
        <f>IF(D$12=0,0,D22/D$12)</f>
        <v>0</v>
      </c>
      <c r="G22" s="13"/>
      <c r="H22" s="21">
        <f>+H16-H18+H20</f>
        <v>0</v>
      </c>
      <c r="I22" s="13"/>
      <c r="J22" s="22">
        <f>IF(H$12=0,0,H22/H$12)</f>
        <v>0</v>
      </c>
      <c r="K22" s="16"/>
      <c r="L22" s="21">
        <f>+D22-H22</f>
        <v>0</v>
      </c>
      <c r="M22" s="16"/>
      <c r="N22" s="22">
        <f>IF(H22=0,0,L22/H22)</f>
        <v>0</v>
      </c>
      <c r="O22" s="25"/>
      <c r="P22" s="21">
        <f>+P16-P18+P20</f>
        <v>0</v>
      </c>
      <c r="Q22" s="13"/>
      <c r="R22" s="22">
        <f>IF(P$12=0,0,P22/P$12)</f>
        <v>0</v>
      </c>
      <c r="S22" s="13"/>
      <c r="T22" s="21">
        <f>+T16-T18+T20</f>
        <v>0</v>
      </c>
      <c r="U22" s="13"/>
      <c r="V22" s="22">
        <f>IF(T$12=0,0,T22/T$12)</f>
        <v>0</v>
      </c>
      <c r="W22" s="16"/>
      <c r="X22" s="21">
        <f>+P22-T22</f>
        <v>0</v>
      </c>
      <c r="Y22" s="16"/>
      <c r="Z22" s="22">
        <f>IF(T22=0,0,X22/T22)</f>
        <v>0</v>
      </c>
    </row>
    <row r="23" spans="1:26" x14ac:dyDescent="0.3">
      <c r="A23" s="9"/>
      <c r="B23" s="10"/>
      <c r="C23" s="9"/>
      <c r="D23" s="2"/>
      <c r="E23" s="2"/>
      <c r="F23" s="6"/>
      <c r="G23" s="2"/>
      <c r="H23" s="2"/>
      <c r="I23" s="2"/>
      <c r="J23" s="6"/>
      <c r="K23" s="2"/>
      <c r="L23" s="2"/>
      <c r="M23" s="2"/>
      <c r="N23" s="6"/>
      <c r="P23" s="2"/>
      <c r="Q23" s="2"/>
      <c r="R23" s="6"/>
      <c r="S23" s="2"/>
      <c r="T23" s="2"/>
      <c r="U23" s="2"/>
      <c r="V23" s="6"/>
      <c r="W23" s="2"/>
      <c r="X23" s="2"/>
      <c r="Y23" s="2"/>
      <c r="Z23" s="6"/>
    </row>
    <row r="24" spans="1:26" s="23" customFormat="1" x14ac:dyDescent="0.3">
      <c r="A24" s="52"/>
      <c r="B24" s="10" t="s">
        <v>128</v>
      </c>
      <c r="C24" s="10"/>
      <c r="D24" s="4"/>
      <c r="E24" s="4"/>
      <c r="F24" s="12">
        <f>IF(D$12=0,0,D24/D$12)</f>
        <v>0</v>
      </c>
      <c r="G24" s="4"/>
      <c r="H24" s="4"/>
      <c r="I24" s="4"/>
      <c r="J24" s="12">
        <f>IF(H$12=0,0,H24/H$12)</f>
        <v>0</v>
      </c>
      <c r="K24" s="4"/>
      <c r="L24" s="4">
        <f>+D24-H24</f>
        <v>0</v>
      </c>
      <c r="M24" s="4"/>
      <c r="N24" s="12">
        <f>IF(H24=0,0,L24/H24)</f>
        <v>0</v>
      </c>
      <c r="O24" s="10"/>
      <c r="P24" s="4"/>
      <c r="Q24" s="4"/>
      <c r="R24" s="12">
        <f>IF(P$12=0,0,P24/P$12)</f>
        <v>0</v>
      </c>
      <c r="S24" s="4"/>
      <c r="T24" s="4"/>
      <c r="U24" s="4"/>
      <c r="V24" s="12">
        <f>IF(T$12=0,0,T24/T$12)</f>
        <v>0</v>
      </c>
      <c r="W24" s="4"/>
      <c r="X24" s="4">
        <f>+P24-T24</f>
        <v>0</v>
      </c>
      <c r="Y24" s="4"/>
      <c r="Z24" s="12">
        <f>IF(T24=0,0,X24/T24)</f>
        <v>0</v>
      </c>
    </row>
    <row r="25" spans="1:26" x14ac:dyDescent="0.3">
      <c r="A25" s="9"/>
      <c r="B25" s="10"/>
      <c r="C25" s="10"/>
      <c r="D25" s="2"/>
      <c r="E25" s="2"/>
      <c r="F25" s="6"/>
      <c r="G25" s="2"/>
      <c r="H25" s="2"/>
      <c r="I25" s="2"/>
      <c r="J25" s="6"/>
      <c r="K25" s="2"/>
      <c r="L25" s="2"/>
      <c r="M25" s="2"/>
      <c r="N25" s="6"/>
      <c r="O25" s="10"/>
      <c r="P25" s="2"/>
      <c r="Q25" s="2"/>
      <c r="R25" s="6"/>
      <c r="S25" s="2"/>
      <c r="T25" s="2"/>
      <c r="U25" s="2"/>
      <c r="V25" s="6"/>
      <c r="W25" s="2"/>
      <c r="X25" s="2"/>
      <c r="Y25" s="2"/>
      <c r="Z25" s="6"/>
    </row>
    <row r="26" spans="1:26" s="23" customFormat="1" ht="15" thickBot="1" x14ac:dyDescent="0.35">
      <c r="A26" s="10"/>
      <c r="B26" s="26" t="s">
        <v>126</v>
      </c>
      <c r="C26" s="26"/>
      <c r="D26" s="35">
        <f>+D22-D24</f>
        <v>0</v>
      </c>
      <c r="E26" s="13"/>
      <c r="F26" s="30">
        <f>IF(D$12=0,0,D26/D$12)</f>
        <v>0</v>
      </c>
      <c r="G26" s="13"/>
      <c r="H26" s="35">
        <f>+H22-H24</f>
        <v>0</v>
      </c>
      <c r="I26" s="13"/>
      <c r="J26" s="30">
        <f>IF(H$12=0,0,H26/H$12)</f>
        <v>0</v>
      </c>
      <c r="K26" s="16"/>
      <c r="L26" s="35">
        <f>D26-H26</f>
        <v>0</v>
      </c>
      <c r="M26" s="16"/>
      <c r="N26" s="30">
        <f>IF(H26=0,0,L26/H26)</f>
        <v>0</v>
      </c>
      <c r="O26" s="25"/>
      <c r="P26" s="35">
        <f>+P22-P24</f>
        <v>0</v>
      </c>
      <c r="Q26" s="13"/>
      <c r="R26" s="30">
        <f>IF(P$12=0,0,P26/P$12)</f>
        <v>0</v>
      </c>
      <c r="S26" s="13"/>
      <c r="T26" s="35">
        <f>+T22-T24</f>
        <v>0</v>
      </c>
      <c r="U26" s="13"/>
      <c r="V26" s="30">
        <f>IF(T$12=0,0,T26/T$12)</f>
        <v>0</v>
      </c>
      <c r="W26" s="16"/>
      <c r="X26" s="35">
        <f>P26-T26</f>
        <v>0</v>
      </c>
      <c r="Y26" s="16"/>
      <c r="Z26" s="30">
        <f>IF(T26=0,0,X26/T26)</f>
        <v>0</v>
      </c>
    </row>
    <row r="27" spans="1:26" ht="15" thickTop="1" x14ac:dyDescent="0.3">
      <c r="A27" s="9"/>
      <c r="B27" s="9"/>
      <c r="C27" s="9"/>
      <c r="D27" s="2"/>
      <c r="E27" s="2"/>
      <c r="F27" s="6"/>
      <c r="G27" s="2"/>
      <c r="H27" s="2"/>
      <c r="I27" s="2"/>
      <c r="J27" s="6"/>
      <c r="K27" s="2"/>
      <c r="L27" s="2"/>
      <c r="M27" s="2"/>
      <c r="N27" s="6"/>
      <c r="P27" s="2"/>
      <c r="Q27" s="2"/>
      <c r="R27" s="6"/>
      <c r="S27" s="2"/>
      <c r="T27" s="2"/>
      <c r="U27" s="2"/>
      <c r="V27" s="6"/>
      <c r="W27" s="2"/>
      <c r="X27" s="2"/>
      <c r="Y27" s="2"/>
      <c r="Z27" s="6"/>
    </row>
    <row r="28" spans="1:26" s="23" customFormat="1" x14ac:dyDescent="0.3">
      <c r="A28" s="52"/>
      <c r="B28" s="10" t="s">
        <v>184</v>
      </c>
      <c r="C28" s="10"/>
      <c r="D28" s="4">
        <f>--18122.3</f>
        <v>18122.3</v>
      </c>
      <c r="E28" s="4"/>
      <c r="F28" s="12">
        <f t="shared" ref="F28:F29" si="0">IF(D$12=0,0,D28/D$12)</f>
        <v>0</v>
      </c>
      <c r="G28" s="4"/>
      <c r="H28" s="4">
        <f t="shared" ref="H28:H29" si="1">--15000</f>
        <v>15000</v>
      </c>
      <c r="I28" s="4"/>
      <c r="J28" s="12">
        <f t="shared" ref="J28:J29" si="2">IF(H$12=0,0,H28/H$12)</f>
        <v>0</v>
      </c>
      <c r="K28" s="4"/>
      <c r="L28" s="4">
        <f t="shared" ref="L28:L29" si="3">+D28-H28</f>
        <v>3122.2999999999993</v>
      </c>
      <c r="M28" s="4"/>
      <c r="N28" s="12">
        <f t="shared" ref="N28:N29" si="4">IF(H28=0,0,L28/H28)</f>
        <v>0.20815333333333327</v>
      </c>
      <c r="O28" s="10"/>
      <c r="P28" s="4">
        <f>--18122.3</f>
        <v>18122.3</v>
      </c>
      <c r="Q28" s="4"/>
      <c r="R28" s="12">
        <f t="shared" ref="R28:R29" si="5">IF(P$12=0,0,P28/P$12)</f>
        <v>0</v>
      </c>
      <c r="S28" s="4"/>
      <c r="T28" s="4">
        <f t="shared" ref="T28:T29" si="6">--15000</f>
        <v>15000</v>
      </c>
      <c r="U28" s="4"/>
      <c r="V28" s="12">
        <f t="shared" ref="V28:V29" si="7">IF(T$12=0,0,T28/T$12)</f>
        <v>0</v>
      </c>
      <c r="W28" s="4"/>
      <c r="X28" s="4">
        <f t="shared" ref="X28:X29" si="8">+P28-T28</f>
        <v>3122.2999999999993</v>
      </c>
      <c r="Y28" s="4"/>
      <c r="Z28" s="12">
        <f t="shared" ref="Z28:Z29" si="9">IF(T28=0,0,X28/T28)</f>
        <v>0.20815333333333327</v>
      </c>
    </row>
    <row r="29" spans="1:26" s="23" customFormat="1" x14ac:dyDescent="0.3">
      <c r="A29" s="52"/>
      <c r="B29" s="10" t="s">
        <v>82</v>
      </c>
      <c r="C29" s="10"/>
      <c r="D29" s="4">
        <f>--10182.42</f>
        <v>10182.42</v>
      </c>
      <c r="E29" s="4"/>
      <c r="F29" s="12">
        <f t="shared" si="0"/>
        <v>0</v>
      </c>
      <c r="G29" s="4"/>
      <c r="H29" s="4">
        <f t="shared" si="1"/>
        <v>15000</v>
      </c>
      <c r="I29" s="4"/>
      <c r="J29" s="12">
        <f t="shared" si="2"/>
        <v>0</v>
      </c>
      <c r="K29" s="4"/>
      <c r="L29" s="4">
        <f t="shared" si="3"/>
        <v>-4817.58</v>
      </c>
      <c r="M29" s="4"/>
      <c r="N29" s="12">
        <f t="shared" si="4"/>
        <v>-0.32117200000000001</v>
      </c>
      <c r="O29" s="10"/>
      <c r="P29" s="4">
        <f>--10182.42</f>
        <v>10182.42</v>
      </c>
      <c r="Q29" s="4"/>
      <c r="R29" s="12">
        <f t="shared" si="5"/>
        <v>0</v>
      </c>
      <c r="S29" s="4"/>
      <c r="T29" s="4">
        <f t="shared" si="6"/>
        <v>15000</v>
      </c>
      <c r="U29" s="4"/>
      <c r="V29" s="12">
        <f t="shared" si="7"/>
        <v>0</v>
      </c>
      <c r="W29" s="4"/>
      <c r="X29" s="4">
        <f t="shared" si="8"/>
        <v>-4817.58</v>
      </c>
      <c r="Y29" s="4"/>
      <c r="Z29" s="12">
        <f t="shared" si="9"/>
        <v>-0.32117200000000001</v>
      </c>
    </row>
    <row r="30" spans="1:26" x14ac:dyDescent="0.3">
      <c r="A30" s="9"/>
      <c r="B30" s="9"/>
      <c r="C30" s="9"/>
      <c r="D30" s="2"/>
      <c r="E30" s="2"/>
      <c r="F30" s="6"/>
      <c r="G30" s="2"/>
      <c r="H30" s="2"/>
      <c r="I30" s="2"/>
      <c r="J30" s="6"/>
      <c r="K30" s="2"/>
      <c r="L30" s="2"/>
      <c r="M30" s="2"/>
      <c r="N30" s="6"/>
      <c r="P30" s="2"/>
      <c r="Q30" s="2"/>
      <c r="R30" s="6"/>
      <c r="S30" s="2"/>
      <c r="T30" s="2"/>
      <c r="U30" s="2"/>
      <c r="V30" s="6"/>
      <c r="W30" s="2"/>
      <c r="X30" s="2"/>
      <c r="Y30" s="2"/>
      <c r="Z30" s="6"/>
    </row>
    <row r="31" spans="1:26" s="23" customFormat="1" ht="15" thickBot="1" x14ac:dyDescent="0.35">
      <c r="A31" s="10"/>
      <c r="B31" s="26" t="s">
        <v>294</v>
      </c>
      <c r="C31" s="26"/>
      <c r="D31" s="33">
        <f>SUM(D26:D30)</f>
        <v>28304.720000000001</v>
      </c>
      <c r="E31" s="13"/>
      <c r="F31" s="31">
        <f>IF(D$12=0,0,D31/D$12)</f>
        <v>0</v>
      </c>
      <c r="G31" s="13"/>
      <c r="H31" s="33">
        <f>SUM(H26:H30)</f>
        <v>30000</v>
      </c>
      <c r="I31" s="13"/>
      <c r="J31" s="31">
        <f>IF(H$12=0,0,H31/H$12)</f>
        <v>0</v>
      </c>
      <c r="K31" s="16"/>
      <c r="L31" s="33">
        <f>+D31-H31</f>
        <v>-1695.2799999999988</v>
      </c>
      <c r="M31" s="16"/>
      <c r="N31" s="31">
        <f>IF(H31=0,0,L31/H31)</f>
        <v>-5.6509333333333293E-2</v>
      </c>
      <c r="O31" s="25"/>
      <c r="P31" s="33">
        <f>SUM(P26:P30)</f>
        <v>28304.720000000001</v>
      </c>
      <c r="Q31" s="13"/>
      <c r="R31" s="31">
        <f>IF(P$12=0,0,P31/P$12)</f>
        <v>0</v>
      </c>
      <c r="S31" s="13"/>
      <c r="T31" s="33">
        <f>SUM(T26:T30)</f>
        <v>30000</v>
      </c>
      <c r="U31" s="13"/>
      <c r="V31" s="31">
        <f>IF(T$12=0,0,T31/T$12)</f>
        <v>0</v>
      </c>
      <c r="W31" s="16"/>
      <c r="X31" s="33">
        <f>+P31-T31</f>
        <v>-1695.2799999999988</v>
      </c>
      <c r="Y31" s="16"/>
      <c r="Z31" s="31">
        <f>IF(T31=0,0,X31/T31)</f>
        <v>-5.6509333333333293E-2</v>
      </c>
    </row>
    <row r="32" spans="1:26" ht="15" thickTop="1" x14ac:dyDescent="0.3">
      <c r="A32" s="9"/>
      <c r="C32" s="9"/>
      <c r="D32" s="18"/>
      <c r="E32" s="18"/>
      <c r="G32" s="18"/>
      <c r="H32" s="18"/>
      <c r="I32" s="18"/>
      <c r="J32" s="43"/>
      <c r="K32" s="18"/>
      <c r="L32" s="18"/>
      <c r="M32" s="18"/>
      <c r="P32" s="18"/>
      <c r="Q32" s="18"/>
      <c r="R32" s="43"/>
      <c r="S32" s="18"/>
      <c r="T32" s="18"/>
      <c r="U32" s="18"/>
      <c r="V32" s="43"/>
      <c r="W32" s="18"/>
      <c r="X32" s="18"/>
    </row>
    <row r="33" spans="1:24" x14ac:dyDescent="0.3">
      <c r="A33" s="9"/>
      <c r="B33" s="54">
        <v>44462.64548684028</v>
      </c>
      <c r="D33" s="18"/>
      <c r="E33" s="18"/>
      <c r="G33" s="18"/>
      <c r="H33" s="18"/>
      <c r="I33" s="18"/>
      <c r="J33" s="43"/>
      <c r="K33" s="18"/>
      <c r="L33" s="18"/>
      <c r="M33" s="18"/>
      <c r="P33" s="18"/>
      <c r="Q33" s="18"/>
      <c r="R33" s="43"/>
      <c r="S33" s="18"/>
      <c r="T33" s="18"/>
      <c r="U33" s="18"/>
      <c r="V33" s="43"/>
      <c r="W33" s="18"/>
      <c r="X33" s="18"/>
    </row>
    <row r="34" spans="1:24" x14ac:dyDescent="0.3">
      <c r="A34" s="9"/>
      <c r="B34" s="59" t="s">
        <v>56</v>
      </c>
      <c r="D34" s="18"/>
      <c r="E34" s="18"/>
      <c r="G34" s="18"/>
      <c r="H34" s="18"/>
      <c r="I34" s="18"/>
      <c r="J34" s="43"/>
      <c r="K34" s="18"/>
      <c r="L34" s="18"/>
      <c r="M34" s="18"/>
      <c r="P34" s="18"/>
      <c r="Q34" s="18"/>
      <c r="R34" s="43"/>
      <c r="S34" s="18"/>
      <c r="T34" s="18"/>
      <c r="U34" s="18"/>
      <c r="V34" s="43"/>
      <c r="W34" s="18"/>
      <c r="X34" s="18"/>
    </row>
    <row r="35" spans="1:24" x14ac:dyDescent="0.3">
      <c r="A35" s="9"/>
      <c r="B35" s="55"/>
      <c r="D35" s="18"/>
      <c r="E35" s="18"/>
      <c r="G35" s="18"/>
      <c r="H35" s="18"/>
      <c r="I35" s="18"/>
      <c r="J35" s="43"/>
      <c r="K35" s="18"/>
      <c r="L35" s="18"/>
      <c r="M35" s="18"/>
      <c r="P35" s="18"/>
      <c r="Q35" s="18"/>
      <c r="R35" s="43"/>
      <c r="S35" s="18"/>
      <c r="T35" s="18"/>
      <c r="U35" s="18"/>
      <c r="V35" s="43"/>
      <c r="W35" s="18"/>
      <c r="X35" s="18"/>
    </row>
    <row r="36" spans="1:24" x14ac:dyDescent="0.3">
      <c r="D36" s="18"/>
      <c r="E36" s="18"/>
      <c r="G36" s="18"/>
      <c r="H36" s="18"/>
      <c r="I36" s="18"/>
      <c r="J36" s="43"/>
      <c r="K36" s="18"/>
      <c r="L36" s="18"/>
      <c r="M36" s="18"/>
      <c r="P36" s="18"/>
      <c r="Q36" s="18"/>
      <c r="R36" s="43"/>
      <c r="S36" s="18"/>
      <c r="T36" s="18"/>
      <c r="U36" s="18"/>
      <c r="V36" s="43"/>
      <c r="W36" s="18"/>
      <c r="X36" s="18"/>
    </row>
  </sheetData>
  <pageMargins left="0.25" right="0.25" top="0.75" bottom="0.75" header="0.3" footer="0.3"/>
  <pageSetup scale="55" fitToWidth="2" orientation="landscape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B0F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50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7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50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7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7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7" customWidth="1" outlineLevel="1"/>
  </cols>
  <sheetData>
    <row r="2" spans="1:26" x14ac:dyDescent="0.3">
      <c r="D2" s="57" t="s">
        <v>23</v>
      </c>
    </row>
    <row r="3" spans="1:26" x14ac:dyDescent="0.3">
      <c r="D3" s="57" t="s">
        <v>237</v>
      </c>
      <c r="E3" s="17"/>
      <c r="F3" s="51"/>
      <c r="G3" s="17"/>
      <c r="H3" s="17"/>
      <c r="I3" s="17"/>
      <c r="J3" s="39"/>
      <c r="K3" s="17"/>
      <c r="L3" s="17"/>
      <c r="M3" s="17"/>
      <c r="N3" s="51"/>
      <c r="O3" s="61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3">
      <c r="D4" s="57" t="e">
        <f ca="1">CONCATENATE("Period ",RIGHT(_xll.OneStop.ReportPlayer.OSRFunctions.OSRGet("Period","PeriodId"),2),", ",_xll.OneStop.ReportPlayer.OSRFunctions.OSRGet("Period","Year"))</f>
        <v>#NAME?</v>
      </c>
      <c r="E4" s="17"/>
      <c r="F4" s="51"/>
      <c r="G4" s="17"/>
      <c r="H4" s="17"/>
      <c r="I4" s="17"/>
      <c r="J4" s="39"/>
      <c r="K4" s="17"/>
      <c r="L4" s="17"/>
      <c r="M4" s="17"/>
      <c r="N4" s="51"/>
      <c r="O4" s="61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3">
      <c r="A5" s="23"/>
      <c r="D5" s="65" t="e">
        <f ca="1">_xll.OneStop.ReportPlayer.OSRFunctions.OSRGet("Period","PeriodEnd")</f>
        <v>#NAME?</v>
      </c>
      <c r="E5" s="17"/>
      <c r="F5" s="51"/>
      <c r="G5" s="17"/>
      <c r="H5" s="17"/>
      <c r="I5" s="17"/>
      <c r="J5" s="39"/>
      <c r="K5" s="17"/>
      <c r="L5" s="17"/>
      <c r="M5" s="17"/>
      <c r="N5" s="51"/>
      <c r="O5" s="61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3">
      <c r="A6" s="23"/>
      <c r="B6" s="47"/>
      <c r="C6" s="47"/>
      <c r="D6" s="23" t="s">
        <v>313</v>
      </c>
      <c r="E6" s="17"/>
      <c r="F6" s="51"/>
      <c r="G6" s="17"/>
      <c r="H6" s="17"/>
      <c r="I6" s="17"/>
      <c r="J6" s="39"/>
      <c r="K6" s="17"/>
      <c r="L6" s="17"/>
      <c r="M6" s="17"/>
      <c r="N6" s="51"/>
      <c r="O6" s="60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3">
      <c r="B7" s="63"/>
    </row>
    <row r="8" spans="1:26" x14ac:dyDescent="0.3">
      <c r="B8" s="63"/>
    </row>
    <row r="9" spans="1:26" x14ac:dyDescent="0.3">
      <c r="B9" s="9"/>
      <c r="C9" s="9"/>
      <c r="D9" s="15" t="s">
        <v>292</v>
      </c>
      <c r="E9" s="15"/>
      <c r="F9" s="38"/>
      <c r="G9" s="15"/>
      <c r="H9" s="15"/>
      <c r="I9" s="15"/>
      <c r="J9" s="49"/>
      <c r="K9" s="15"/>
      <c r="L9" s="15"/>
      <c r="M9" s="15"/>
      <c r="N9" s="38"/>
      <c r="P9" s="15" t="s">
        <v>39</v>
      </c>
      <c r="Q9" s="15"/>
      <c r="R9" s="38"/>
      <c r="S9" s="15"/>
      <c r="T9" s="15"/>
      <c r="U9" s="15"/>
      <c r="V9" s="49"/>
      <c r="W9" s="15"/>
      <c r="X9" s="15"/>
      <c r="Y9" s="15"/>
      <c r="Z9" s="38"/>
    </row>
    <row r="10" spans="1:26" x14ac:dyDescent="0.3">
      <c r="A10" s="10"/>
      <c r="B10" s="53"/>
      <c r="C10" s="10"/>
      <c r="D10" s="42" t="s">
        <v>57</v>
      </c>
      <c r="E10" s="34"/>
      <c r="F10" s="40" t="s">
        <v>40</v>
      </c>
      <c r="G10" s="34"/>
      <c r="H10" s="45" t="s">
        <v>238</v>
      </c>
      <c r="I10" s="34"/>
      <c r="J10" s="48" t="s">
        <v>58</v>
      </c>
      <c r="K10" s="10"/>
      <c r="L10" s="42" t="s">
        <v>127</v>
      </c>
      <c r="M10" s="10"/>
      <c r="N10" s="40" t="s">
        <v>258</v>
      </c>
      <c r="O10" s="10"/>
      <c r="P10" s="56" t="s">
        <v>57</v>
      </c>
      <c r="Q10" s="34"/>
      <c r="R10" s="40" t="s">
        <v>40</v>
      </c>
      <c r="S10" s="34"/>
      <c r="T10" s="45" t="s">
        <v>238</v>
      </c>
      <c r="U10" s="34"/>
      <c r="V10" s="48" t="s">
        <v>58</v>
      </c>
      <c r="W10" s="10"/>
      <c r="X10" s="42" t="s">
        <v>127</v>
      </c>
      <c r="Y10" s="10"/>
      <c r="Z10" s="40" t="s">
        <v>258</v>
      </c>
    </row>
    <row r="11" spans="1:26" ht="15.6" x14ac:dyDescent="0.3">
      <c r="A11" s="9"/>
      <c r="B11" s="58"/>
      <c r="C11" s="9"/>
      <c r="D11" s="9"/>
      <c r="E11" s="9"/>
      <c r="F11" s="6"/>
      <c r="G11" s="9"/>
      <c r="H11" s="9"/>
      <c r="I11" s="9"/>
      <c r="J11" s="46"/>
      <c r="K11" s="9"/>
      <c r="L11" s="9"/>
      <c r="M11" s="9"/>
      <c r="N11" s="6"/>
      <c r="P11" s="9"/>
      <c r="Q11" s="9"/>
      <c r="R11" s="6"/>
      <c r="S11" s="9"/>
      <c r="T11" s="9"/>
      <c r="U11" s="9"/>
      <c r="V11" s="46"/>
      <c r="W11" s="9"/>
      <c r="X11" s="9"/>
      <c r="Y11" s="9"/>
      <c r="Z11" s="6"/>
    </row>
    <row r="12" spans="1:26" s="23" customFormat="1" collapsed="1" x14ac:dyDescent="0.3">
      <c r="A12" s="10"/>
      <c r="B12" s="25" t="s">
        <v>140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3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3" t="e">
        <f ca="1">-_xll.OneStop.ReportPlayer.OSRFunctions.OSRGet("GL_F_Trans","Value1")</f>
        <v>#NAME?</v>
      </c>
      <c r="E13" s="3"/>
      <c r="F13" s="19"/>
      <c r="G13" s="3"/>
      <c r="H13" s="3" t="e">
        <f ca="1">_xll.OneStop.ReportPlayer.OSRFunctions.OSRGet("GL_F_Trans","Value1")</f>
        <v>#NAME?</v>
      </c>
      <c r="I13" s="3"/>
      <c r="J13" s="19"/>
      <c r="K13" s="3"/>
      <c r="L13" s="3" t="e">
        <f t="shared" ca="1" si="0"/>
        <v>#NAME?</v>
      </c>
      <c r="M13" s="3"/>
      <c r="N13" s="19" t="e">
        <f t="shared" ca="1" si="1"/>
        <v>#NAME?</v>
      </c>
      <c r="O13" s="11"/>
      <c r="P13" s="3" t="e">
        <f ca="1">-_xll.OneStop.ReportPlayer.OSRFunctions.OSRGet("GL_F_Trans","Value1")</f>
        <v>#NAME?</v>
      </c>
      <c r="Q13" s="3"/>
      <c r="R13" s="19"/>
      <c r="S13" s="3"/>
      <c r="T13" s="3" t="e">
        <f ca="1">_xll.OneStop.ReportPlayer.OSRFunctions.OSRGet("GL_F_Trans","Value1")</f>
        <v>#NAME?</v>
      </c>
      <c r="U13" s="3"/>
      <c r="V13" s="19"/>
      <c r="W13" s="3"/>
      <c r="X13" s="3" t="e">
        <f t="shared" ca="1" si="2"/>
        <v>#NAME?</v>
      </c>
      <c r="Y13" s="3"/>
      <c r="Z13" s="19" t="e">
        <f t="shared" ca="1" si="3"/>
        <v>#NAME?</v>
      </c>
    </row>
    <row r="14" spans="1:26" x14ac:dyDescent="0.3">
      <c r="A14" s="9"/>
      <c r="B14" s="10"/>
      <c r="C14" s="9"/>
      <c r="D14" s="2"/>
      <c r="E14" s="2"/>
      <c r="F14" s="6"/>
      <c r="G14" s="2"/>
      <c r="H14" s="2"/>
      <c r="I14" s="2"/>
      <c r="J14" s="6"/>
      <c r="K14" s="2"/>
      <c r="L14" s="2"/>
      <c r="M14" s="2"/>
      <c r="N14" s="6"/>
      <c r="P14" s="2"/>
      <c r="Q14" s="2"/>
      <c r="R14" s="6"/>
      <c r="S14" s="2"/>
      <c r="T14" s="2"/>
      <c r="U14" s="2"/>
      <c r="V14" s="6"/>
      <c r="W14" s="2"/>
      <c r="X14" s="2"/>
      <c r="Y14" s="2"/>
      <c r="Z14" s="6"/>
    </row>
    <row r="15" spans="1:26" s="23" customFormat="1" collapsed="1" x14ac:dyDescent="0.3">
      <c r="A15" s="10"/>
      <c r="B15" s="25" t="s">
        <v>257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3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3" t="e">
        <f ca="1">_xll.OneStop.ReportPlayer.OSRFunctions.OSRGet("GL_F_Trans","Value1")</f>
        <v>#NAME?</v>
      </c>
      <c r="E16" s="3"/>
      <c r="F16" s="19" t="e">
        <f t="shared" ca="1" si="4"/>
        <v>#NAME?</v>
      </c>
      <c r="G16" s="3"/>
      <c r="H16" s="3" t="e">
        <f ca="1">_xll.OneStop.ReportPlayer.OSRFunctions.OSRGet("GL_F_Trans","Value1")</f>
        <v>#NAME?</v>
      </c>
      <c r="I16" s="3"/>
      <c r="J16" s="19" t="e">
        <f t="shared" ca="1" si="5"/>
        <v>#NAME?</v>
      </c>
      <c r="K16" s="3"/>
      <c r="L16" s="3" t="e">
        <f t="shared" ca="1" si="6"/>
        <v>#NAME?</v>
      </c>
      <c r="M16" s="3"/>
      <c r="N16" s="19" t="e">
        <f t="shared" ca="1" si="7"/>
        <v>#NAME?</v>
      </c>
      <c r="O16" s="11"/>
      <c r="P16" s="3" t="e">
        <f ca="1">_xll.OneStop.ReportPlayer.OSRFunctions.OSRGet("GL_F_Trans","Value1")</f>
        <v>#NAME?</v>
      </c>
      <c r="Q16" s="3"/>
      <c r="R16" s="19" t="e">
        <f t="shared" ca="1" si="8"/>
        <v>#NAME?</v>
      </c>
      <c r="S16" s="3"/>
      <c r="T16" s="3" t="e">
        <f ca="1">_xll.OneStop.ReportPlayer.OSRFunctions.OSRGet("GL_F_Trans","Value1")</f>
        <v>#NAME?</v>
      </c>
      <c r="U16" s="3"/>
      <c r="V16" s="19" t="e">
        <f t="shared" ca="1" si="9"/>
        <v>#NAME?</v>
      </c>
      <c r="W16" s="3"/>
      <c r="X16" s="3" t="e">
        <f t="shared" ca="1" si="10"/>
        <v>#NAME?</v>
      </c>
      <c r="Y16" s="3"/>
      <c r="Z16" s="19" t="e">
        <f t="shared" ca="1" si="11"/>
        <v>#NAME?</v>
      </c>
    </row>
    <row r="17" spans="1:26" x14ac:dyDescent="0.3">
      <c r="A17" s="9"/>
      <c r="B17" s="10"/>
      <c r="C17" s="10"/>
      <c r="D17" s="2"/>
      <c r="E17" s="2"/>
      <c r="F17" s="6"/>
      <c r="G17" s="2"/>
      <c r="H17" s="2"/>
      <c r="I17" s="2"/>
      <c r="J17" s="6"/>
      <c r="K17" s="2"/>
      <c r="L17" s="2"/>
      <c r="M17" s="2"/>
      <c r="N17" s="6"/>
      <c r="O17" s="10"/>
      <c r="P17" s="2"/>
      <c r="Q17" s="2"/>
      <c r="R17" s="6"/>
      <c r="S17" s="2"/>
      <c r="T17" s="2"/>
      <c r="U17" s="2"/>
      <c r="V17" s="6"/>
      <c r="W17" s="2"/>
      <c r="X17" s="2"/>
      <c r="Y17" s="2"/>
      <c r="Z17" s="6"/>
    </row>
    <row r="18" spans="1:26" s="23" customFormat="1" x14ac:dyDescent="0.3">
      <c r="A18" s="10"/>
      <c r="B18" s="26" t="s">
        <v>108</v>
      </c>
      <c r="C18" s="26"/>
      <c r="D18" s="21" t="e">
        <f ca="1">D12-D15</f>
        <v>#NAME?</v>
      </c>
      <c r="E18" s="13"/>
      <c r="F18" s="22" t="e">
        <f ca="1">IF(D$12=0,0,D18/D$12)</f>
        <v>#NAME?</v>
      </c>
      <c r="G18" s="13"/>
      <c r="H18" s="21" t="e">
        <f ca="1">H12-H15</f>
        <v>#NAME?</v>
      </c>
      <c r="I18" s="13"/>
      <c r="J18" s="22" t="e">
        <f ca="1">IF(H$12=0,0,H18/H$12)</f>
        <v>#NAME?</v>
      </c>
      <c r="K18" s="16"/>
      <c r="L18" s="21" t="e">
        <f ca="1">+D18-H18</f>
        <v>#NAME?</v>
      </c>
      <c r="M18" s="16"/>
      <c r="N18" s="22" t="e">
        <f ca="1">IF(H18=0,0,L18/H18)</f>
        <v>#NAME?</v>
      </c>
      <c r="O18" s="25"/>
      <c r="P18" s="21" t="e">
        <f ca="1">P12-P15</f>
        <v>#NAME?</v>
      </c>
      <c r="Q18" s="13"/>
      <c r="R18" s="22" t="e">
        <f ca="1">IF(P$12=0,0,P18/P$12)</f>
        <v>#NAME?</v>
      </c>
      <c r="S18" s="13"/>
      <c r="T18" s="21" t="e">
        <f ca="1">T12-T15</f>
        <v>#NAME?</v>
      </c>
      <c r="U18" s="13"/>
      <c r="V18" s="22" t="e">
        <f ca="1">IF(T$12=0,0,T18/T$12)</f>
        <v>#NAME?</v>
      </c>
      <c r="W18" s="16"/>
      <c r="X18" s="21" t="e">
        <f ca="1">+P18-T18</f>
        <v>#NAME?</v>
      </c>
      <c r="Y18" s="16"/>
      <c r="Z18" s="22" t="e">
        <f ca="1">IF(T18=0,0,X18/T18)</f>
        <v>#NAME?</v>
      </c>
    </row>
    <row r="19" spans="1:26" x14ac:dyDescent="0.3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">
      <c r="A20" s="10"/>
      <c r="B20" s="25" t="s">
        <v>295</v>
      </c>
      <c r="C20" s="10"/>
      <c r="D20" s="20" t="e">
        <f ca="1">SUM(_xll.OneStop.ReportPlayer.OSRFunctions.OSRRef(D22))</f>
        <v>#NAME?</v>
      </c>
      <c r="E20" s="20"/>
      <c r="F20" s="32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2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2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2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2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2" t="e">
        <f t="shared" ref="Z20:Z22" ca="1" si="19">IF(T20=0,0,X20/T20)</f>
        <v>#NAME?</v>
      </c>
    </row>
    <row r="21" spans="1:26" s="27" customFormat="1" outlineLevel="1" collapsed="1" x14ac:dyDescent="0.3">
      <c r="A21" s="28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3">
      <c r="A22" s="29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8" t="e">
        <f ca="1">_xll.OneStop.ReportPlayer.OSRFunctions.OSRGet("GL_F_Trans","Value1")</f>
        <v>#NAME?</v>
      </c>
      <c r="E22" s="3"/>
      <c r="F22" s="7" t="e">
        <f t="shared" ca="1" si="12"/>
        <v>#NAME?</v>
      </c>
      <c r="G22" s="3"/>
      <c r="H22" s="8" t="e">
        <f ca="1">_xll.OneStop.ReportPlayer.OSRFunctions.OSRGet("GL_F_Trans","Value1")</f>
        <v>#NAME?</v>
      </c>
      <c r="I22" s="3"/>
      <c r="J22" s="7" t="e">
        <f t="shared" ca="1" si="13"/>
        <v>#NAME?</v>
      </c>
      <c r="K22" s="3"/>
      <c r="L22" s="8" t="e">
        <f t="shared" ca="1" si="14"/>
        <v>#NAME?</v>
      </c>
      <c r="M22" s="3"/>
      <c r="N22" s="7" t="e">
        <f t="shared" ca="1" si="15"/>
        <v>#NAME?</v>
      </c>
      <c r="O22" s="11"/>
      <c r="P22" s="8" t="e">
        <f ca="1">_xll.OneStop.ReportPlayer.OSRFunctions.OSRGet("GL_F_Trans","Value1")</f>
        <v>#NAME?</v>
      </c>
      <c r="Q22" s="3"/>
      <c r="R22" s="7" t="e">
        <f t="shared" ca="1" si="16"/>
        <v>#NAME?</v>
      </c>
      <c r="S22" s="3"/>
      <c r="T22" s="8" t="e">
        <f ca="1">_xll.OneStop.ReportPlayer.OSRFunctions.OSRGet("GL_F_Trans","Value1")</f>
        <v>#NAME?</v>
      </c>
      <c r="U22" s="3"/>
      <c r="V22" s="7" t="e">
        <f t="shared" ca="1" si="17"/>
        <v>#NAME?</v>
      </c>
      <c r="W22" s="3"/>
      <c r="X22" s="8" t="e">
        <f t="shared" ca="1" si="18"/>
        <v>#NAME?</v>
      </c>
      <c r="Y22" s="3"/>
      <c r="Z22" s="7" t="e">
        <f t="shared" ca="1" si="19"/>
        <v>#NAME?</v>
      </c>
    </row>
    <row r="23" spans="1:26" s="62" customFormat="1" x14ac:dyDescent="0.3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3">
      <c r="A24" s="10"/>
      <c r="B24" s="25" t="s">
        <v>293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3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3" t="e">
        <f ca="1">-_xll.OneStop.ReportPlayer.OSRFunctions.OSRGet("GL_F_Trans","Value1")</f>
        <v>#NAME?</v>
      </c>
      <c r="E25" s="3"/>
      <c r="F25" s="19" t="e">
        <f t="shared" ca="1" si="20"/>
        <v>#NAME?</v>
      </c>
      <c r="G25" s="3"/>
      <c r="H25" s="3" t="e">
        <f ca="1">_xll.OneStop.ReportPlayer.OSRFunctions.OSRGet("GL_F_Trans","Value1")</f>
        <v>#NAME?</v>
      </c>
      <c r="I25" s="3"/>
      <c r="J25" s="19" t="e">
        <f t="shared" ca="1" si="21"/>
        <v>#NAME?</v>
      </c>
      <c r="K25" s="3"/>
      <c r="L25" s="3" t="e">
        <f t="shared" ca="1" si="22"/>
        <v>#NAME?</v>
      </c>
      <c r="M25" s="3"/>
      <c r="N25" s="19" t="e">
        <f t="shared" ca="1" si="23"/>
        <v>#NAME?</v>
      </c>
      <c r="O25" s="11"/>
      <c r="P25" s="3" t="e">
        <f ca="1">-_xll.OneStop.ReportPlayer.OSRFunctions.OSRGet("GL_F_Trans","Value1")</f>
        <v>#NAME?</v>
      </c>
      <c r="Q25" s="3"/>
      <c r="R25" s="19" t="e">
        <f t="shared" ca="1" si="24"/>
        <v>#NAME?</v>
      </c>
      <c r="S25" s="3"/>
      <c r="T25" s="3" t="e">
        <f ca="1">_xll.OneStop.ReportPlayer.OSRFunctions.OSRGet("GL_F_Trans","Value1")</f>
        <v>#NAME?</v>
      </c>
      <c r="U25" s="3"/>
      <c r="V25" s="19" t="e">
        <f t="shared" ca="1" si="25"/>
        <v>#NAME?</v>
      </c>
      <c r="W25" s="3"/>
      <c r="X25" s="3" t="e">
        <f t="shared" ca="1" si="26"/>
        <v>#NAME?</v>
      </c>
      <c r="Y25" s="3"/>
      <c r="Z25" s="19" t="e">
        <f t="shared" ca="1" si="27"/>
        <v>#NAME?</v>
      </c>
    </row>
    <row r="26" spans="1:26" x14ac:dyDescent="0.3">
      <c r="A26" s="9"/>
      <c r="B26" s="10"/>
      <c r="C26" s="10"/>
      <c r="D26" s="2"/>
      <c r="E26" s="2"/>
      <c r="F26" s="6"/>
      <c r="G26" s="2"/>
      <c r="H26" s="2"/>
      <c r="I26" s="2"/>
      <c r="J26" s="6"/>
      <c r="K26" s="2"/>
      <c r="L26" s="2"/>
      <c r="M26" s="2"/>
      <c r="N26" s="6"/>
      <c r="O26" s="10"/>
      <c r="P26" s="2"/>
      <c r="Q26" s="2"/>
      <c r="R26" s="6"/>
      <c r="S26" s="2"/>
      <c r="T26" s="2"/>
      <c r="U26" s="2"/>
      <c r="V26" s="6"/>
      <c r="W26" s="2"/>
      <c r="X26" s="2"/>
      <c r="Y26" s="2"/>
      <c r="Z26" s="6"/>
    </row>
    <row r="27" spans="1:26" s="23" customFormat="1" x14ac:dyDescent="0.3">
      <c r="A27" s="10"/>
      <c r="B27" s="26" t="s">
        <v>277</v>
      </c>
      <c r="C27" s="26"/>
      <c r="D27" s="21" t="e">
        <f ca="1">+D18-D20+D24</f>
        <v>#NAME?</v>
      </c>
      <c r="E27" s="13"/>
      <c r="F27" s="22" t="e">
        <f ca="1">IF(D$12=0,0,D27/D$12)</f>
        <v>#NAME?</v>
      </c>
      <c r="G27" s="13"/>
      <c r="H27" s="21" t="e">
        <f ca="1">+H18-H20+H24</f>
        <v>#NAME?</v>
      </c>
      <c r="I27" s="13"/>
      <c r="J27" s="22" t="e">
        <f ca="1">IF(H$12=0,0,H27/H$12)</f>
        <v>#NAME?</v>
      </c>
      <c r="K27" s="16"/>
      <c r="L27" s="21" t="e">
        <f ca="1">+D27-H27</f>
        <v>#NAME?</v>
      </c>
      <c r="M27" s="16"/>
      <c r="N27" s="22" t="e">
        <f ca="1">IF(H27=0,0,L27/H27)</f>
        <v>#NAME?</v>
      </c>
      <c r="O27" s="25"/>
      <c r="P27" s="21" t="e">
        <f ca="1">+P18-P20+P24</f>
        <v>#NAME?</v>
      </c>
      <c r="Q27" s="13"/>
      <c r="R27" s="22" t="e">
        <f ca="1">IF(P$12=0,0,P27/P$12)</f>
        <v>#NAME?</v>
      </c>
      <c r="S27" s="13"/>
      <c r="T27" s="21" t="e">
        <f ca="1">+T18-T20+T24</f>
        <v>#NAME?</v>
      </c>
      <c r="U27" s="13"/>
      <c r="V27" s="22" t="e">
        <f ca="1">IF(T$12=0,0,T27/T$12)</f>
        <v>#NAME?</v>
      </c>
      <c r="W27" s="16"/>
      <c r="X27" s="21" t="e">
        <f ca="1">+P27-T27</f>
        <v>#NAME?</v>
      </c>
      <c r="Y27" s="16"/>
      <c r="Z27" s="22" t="e">
        <f ca="1">IF(T27=0,0,X27/T27)</f>
        <v>#NAME?</v>
      </c>
    </row>
    <row r="28" spans="1:26" x14ac:dyDescent="0.3">
      <c r="A28" s="9"/>
      <c r="B28" s="10"/>
      <c r="C28" s="9"/>
      <c r="D28" s="2"/>
      <c r="E28" s="2"/>
      <c r="F28" s="6"/>
      <c r="G28" s="2"/>
      <c r="H28" s="2"/>
      <c r="I28" s="2"/>
      <c r="J28" s="6"/>
      <c r="K28" s="2"/>
      <c r="L28" s="2"/>
      <c r="M28" s="2"/>
      <c r="N28" s="6"/>
      <c r="P28" s="2"/>
      <c r="Q28" s="2"/>
      <c r="R28" s="6"/>
      <c r="S28" s="2"/>
      <c r="T28" s="2"/>
      <c r="U28" s="2"/>
      <c r="V28" s="6"/>
      <c r="W28" s="2"/>
      <c r="X28" s="2"/>
      <c r="Y28" s="2"/>
      <c r="Z28" s="6"/>
    </row>
    <row r="29" spans="1:26" s="23" customFormat="1" x14ac:dyDescent="0.3">
      <c r="A29" s="52"/>
      <c r="B29" s="10" t="s">
        <v>128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3">
      <c r="A30" s="9"/>
      <c r="B30" s="10"/>
      <c r="C30" s="10"/>
      <c r="D30" s="2"/>
      <c r="E30" s="2"/>
      <c r="F30" s="6"/>
      <c r="G30" s="2"/>
      <c r="H30" s="2"/>
      <c r="I30" s="2"/>
      <c r="J30" s="6"/>
      <c r="K30" s="2"/>
      <c r="L30" s="2"/>
      <c r="M30" s="2"/>
      <c r="N30" s="6"/>
      <c r="O30" s="10"/>
      <c r="P30" s="2"/>
      <c r="Q30" s="2"/>
      <c r="R30" s="6"/>
      <c r="S30" s="2"/>
      <c r="T30" s="2"/>
      <c r="U30" s="2"/>
      <c r="V30" s="6"/>
      <c r="W30" s="2"/>
      <c r="X30" s="2"/>
      <c r="Y30" s="2"/>
      <c r="Z30" s="6"/>
    </row>
    <row r="31" spans="1:26" s="23" customFormat="1" ht="15" thickBot="1" x14ac:dyDescent="0.35">
      <c r="A31" s="10"/>
      <c r="B31" s="26" t="s">
        <v>126</v>
      </c>
      <c r="C31" s="26"/>
      <c r="D31" s="35" t="e">
        <f ca="1">+D27-D29</f>
        <v>#NAME?</v>
      </c>
      <c r="E31" s="13"/>
      <c r="F31" s="30" t="e">
        <f ca="1">IF(D$12=0,0,D31/D$12)</f>
        <v>#NAME?</v>
      </c>
      <c r="G31" s="13"/>
      <c r="H31" s="35" t="e">
        <f ca="1">+H27-H29</f>
        <v>#NAME?</v>
      </c>
      <c r="I31" s="13"/>
      <c r="J31" s="30" t="e">
        <f ca="1">IF(H$12=0,0,H31/H$12)</f>
        <v>#NAME?</v>
      </c>
      <c r="K31" s="16"/>
      <c r="L31" s="35" t="e">
        <f ca="1">D31-H31</f>
        <v>#NAME?</v>
      </c>
      <c r="M31" s="16"/>
      <c r="N31" s="30" t="e">
        <f ca="1">IF(H31=0,0,L31/H31)</f>
        <v>#NAME?</v>
      </c>
      <c r="O31" s="25"/>
      <c r="P31" s="35" t="e">
        <f ca="1">+P27-P29</f>
        <v>#NAME?</v>
      </c>
      <c r="Q31" s="13"/>
      <c r="R31" s="30" t="e">
        <f ca="1">IF(P$12=0,0,P31/P$12)</f>
        <v>#NAME?</v>
      </c>
      <c r="S31" s="13"/>
      <c r="T31" s="35" t="e">
        <f ca="1">+T27-T29</f>
        <v>#NAME?</v>
      </c>
      <c r="U31" s="13"/>
      <c r="V31" s="30" t="e">
        <f ca="1">IF(T$12=0,0,T31/T$12)</f>
        <v>#NAME?</v>
      </c>
      <c r="W31" s="16"/>
      <c r="X31" s="35" t="e">
        <f ca="1">P31-T31</f>
        <v>#NAME?</v>
      </c>
      <c r="Y31" s="16"/>
      <c r="Z31" s="30" t="e">
        <f ca="1">IF(T31=0,0,X31/T31)</f>
        <v>#NAME?</v>
      </c>
    </row>
    <row r="32" spans="1:26" ht="15" thickTop="1" x14ac:dyDescent="0.3">
      <c r="A32" s="9"/>
      <c r="B32" s="9"/>
      <c r="C32" s="9"/>
      <c r="D32" s="2"/>
      <c r="E32" s="2"/>
      <c r="F32" s="6"/>
      <c r="G32" s="2"/>
      <c r="H32" s="2"/>
      <c r="I32" s="2"/>
      <c r="J32" s="6"/>
      <c r="K32" s="2"/>
      <c r="L32" s="2"/>
      <c r="M32" s="2"/>
      <c r="N32" s="6"/>
      <c r="P32" s="2"/>
      <c r="Q32" s="2"/>
      <c r="R32" s="6"/>
      <c r="S32" s="2"/>
      <c r="T32" s="2"/>
      <c r="U32" s="2"/>
      <c r="V32" s="6"/>
      <c r="W32" s="2"/>
      <c r="X32" s="2"/>
      <c r="Y32" s="2"/>
      <c r="Z32" s="6"/>
    </row>
    <row r="33" spans="1:26" s="23" customFormat="1" x14ac:dyDescent="0.3">
      <c r="A33" s="52"/>
      <c r="B33" s="10" t="s">
        <v>184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3">
      <c r="A34" s="52"/>
      <c r="B34" s="10" t="s">
        <v>82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3">
      <c r="A35" s="9"/>
      <c r="B35" s="9"/>
      <c r="C35" s="9"/>
      <c r="D35" s="2"/>
      <c r="E35" s="2"/>
      <c r="F35" s="6"/>
      <c r="G35" s="2"/>
      <c r="H35" s="2"/>
      <c r="I35" s="2"/>
      <c r="J35" s="6"/>
      <c r="K35" s="2"/>
      <c r="L35" s="2"/>
      <c r="M35" s="2"/>
      <c r="N35" s="6"/>
      <c r="P35" s="2"/>
      <c r="Q35" s="2"/>
      <c r="R35" s="6"/>
      <c r="S35" s="2"/>
      <c r="T35" s="2"/>
      <c r="U35" s="2"/>
      <c r="V35" s="6"/>
      <c r="W35" s="2"/>
      <c r="X35" s="2"/>
      <c r="Y35" s="2"/>
      <c r="Z35" s="6"/>
    </row>
    <row r="36" spans="1:26" s="23" customFormat="1" ht="15" thickBot="1" x14ac:dyDescent="0.35">
      <c r="A36" s="10"/>
      <c r="B36" s="26" t="s">
        <v>294</v>
      </c>
      <c r="C36" s="26"/>
      <c r="D36" s="33" t="e">
        <f ca="1">SUM(D31:D35)</f>
        <v>#NAME?</v>
      </c>
      <c r="E36" s="13"/>
      <c r="F36" s="31" t="e">
        <f ca="1">IF(D$12=0,0,D36/D$12)</f>
        <v>#NAME?</v>
      </c>
      <c r="G36" s="13"/>
      <c r="H36" s="33" t="e">
        <f ca="1">SUM(H31:H35)</f>
        <v>#NAME?</v>
      </c>
      <c r="I36" s="13"/>
      <c r="J36" s="31" t="e">
        <f ca="1">IF(H$12=0,0,H36/H$12)</f>
        <v>#NAME?</v>
      </c>
      <c r="K36" s="16"/>
      <c r="L36" s="33" t="e">
        <f ca="1">+D36-H36</f>
        <v>#NAME?</v>
      </c>
      <c r="M36" s="16"/>
      <c r="N36" s="31" t="e">
        <f ca="1">IF(H36=0,0,L36/H36)</f>
        <v>#NAME?</v>
      </c>
      <c r="O36" s="25"/>
      <c r="P36" s="33" t="e">
        <f ca="1">SUM(P31:P35)</f>
        <v>#NAME?</v>
      </c>
      <c r="Q36" s="13"/>
      <c r="R36" s="31" t="e">
        <f ca="1">IF(P$12=0,0,P36/P$12)</f>
        <v>#NAME?</v>
      </c>
      <c r="S36" s="13"/>
      <c r="T36" s="33" t="e">
        <f ca="1">SUM(T31:T35)</f>
        <v>#NAME?</v>
      </c>
      <c r="U36" s="13"/>
      <c r="V36" s="31" t="e">
        <f ca="1">IF(T$12=0,0,T36/T$12)</f>
        <v>#NAME?</v>
      </c>
      <c r="W36" s="16"/>
      <c r="X36" s="33" t="e">
        <f ca="1">+P36-T36</f>
        <v>#NAME?</v>
      </c>
      <c r="Y36" s="16"/>
      <c r="Z36" s="31" t="e">
        <f ca="1">IF(T36=0,0,X36/T36)</f>
        <v>#NAME?</v>
      </c>
    </row>
    <row r="37" spans="1:26" ht="15" thickTop="1" x14ac:dyDescent="0.3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3">
      <c r="A38" s="9"/>
      <c r="B38" s="54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3">
      <c r="A39" s="9"/>
      <c r="B39" s="59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3">
      <c r="A40" s="9"/>
      <c r="B40" s="55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3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FFC000"/>
    <outlinePr summaryBelow="0" summaryRight="0"/>
  </sheetPr>
  <dimension ref="A2:Z107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50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7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50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7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7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7" customWidth="1" outlineLevel="1"/>
  </cols>
  <sheetData>
    <row r="2" spans="1:26" x14ac:dyDescent="0.3">
      <c r="D2" s="57" t="s">
        <v>23</v>
      </c>
    </row>
    <row r="3" spans="1:26" x14ac:dyDescent="0.3">
      <c r="D3" s="57" t="s">
        <v>237</v>
      </c>
      <c r="E3" s="17"/>
      <c r="F3" s="51"/>
      <c r="G3" s="17"/>
      <c r="H3" s="17"/>
      <c r="I3" s="17"/>
      <c r="J3" s="39"/>
      <c r="K3" s="17"/>
      <c r="L3" s="17"/>
      <c r="M3" s="17"/>
      <c r="N3" s="51"/>
      <c r="O3" s="61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3">
      <c r="D4" s="57" t="str">
        <f>CONCATENATE("Period ",RIGHT(202201,2),", ",2022)</f>
        <v>Period 01, 2022</v>
      </c>
      <c r="E4" s="17"/>
      <c r="F4" s="51"/>
      <c r="G4" s="17"/>
      <c r="H4" s="17"/>
      <c r="I4" s="17"/>
      <c r="J4" s="39"/>
      <c r="K4" s="17"/>
      <c r="L4" s="17"/>
      <c r="M4" s="17"/>
      <c r="N4" s="51"/>
      <c r="O4" s="61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3">
      <c r="A5" s="23"/>
      <c r="D5" s="64">
        <v>44408</v>
      </c>
      <c r="E5" s="17"/>
      <c r="F5" s="51"/>
      <c r="G5" s="17"/>
      <c r="H5" s="17"/>
      <c r="I5" s="17"/>
      <c r="J5" s="39"/>
      <c r="K5" s="17"/>
      <c r="L5" s="17"/>
      <c r="M5" s="17"/>
      <c r="N5" s="51"/>
      <c r="O5" s="61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3">
      <c r="A6" s="23"/>
      <c r="B6" s="47"/>
      <c r="C6" s="47"/>
      <c r="D6" s="23" t="s">
        <v>139</v>
      </c>
      <c r="E6" s="17"/>
      <c r="F6" s="51"/>
      <c r="G6" s="17"/>
      <c r="H6" s="17"/>
      <c r="I6" s="17"/>
      <c r="J6" s="39"/>
      <c r="K6" s="17"/>
      <c r="L6" s="17"/>
      <c r="M6" s="17"/>
      <c r="N6" s="51"/>
      <c r="O6" s="60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3">
      <c r="B7" s="63"/>
    </row>
    <row r="8" spans="1:26" x14ac:dyDescent="0.3">
      <c r="B8" s="63"/>
    </row>
    <row r="9" spans="1:26" x14ac:dyDescent="0.3">
      <c r="B9" s="9"/>
      <c r="C9" s="9"/>
      <c r="D9" s="15" t="s">
        <v>292</v>
      </c>
      <c r="E9" s="15"/>
      <c r="F9" s="38"/>
      <c r="G9" s="15"/>
      <c r="H9" s="15"/>
      <c r="I9" s="15"/>
      <c r="J9" s="49"/>
      <c r="K9" s="15"/>
      <c r="L9" s="15"/>
      <c r="M9" s="15"/>
      <c r="N9" s="38"/>
      <c r="P9" s="15" t="s">
        <v>39</v>
      </c>
      <c r="Q9" s="15"/>
      <c r="R9" s="38"/>
      <c r="S9" s="15"/>
      <c r="T9" s="15"/>
      <c r="U9" s="15"/>
      <c r="V9" s="49"/>
      <c r="W9" s="15"/>
      <c r="X9" s="15"/>
      <c r="Y9" s="15"/>
      <c r="Z9" s="38"/>
    </row>
    <row r="10" spans="1:26" x14ac:dyDescent="0.3">
      <c r="A10" s="10"/>
      <c r="B10" s="53"/>
      <c r="C10" s="10"/>
      <c r="D10" s="42" t="s">
        <v>57</v>
      </c>
      <c r="E10" s="34"/>
      <c r="F10" s="40" t="s">
        <v>40</v>
      </c>
      <c r="G10" s="34"/>
      <c r="H10" s="45" t="s">
        <v>238</v>
      </c>
      <c r="I10" s="34"/>
      <c r="J10" s="48" t="s">
        <v>58</v>
      </c>
      <c r="K10" s="10"/>
      <c r="L10" s="42" t="s">
        <v>127</v>
      </c>
      <c r="M10" s="10"/>
      <c r="N10" s="40" t="s">
        <v>258</v>
      </c>
      <c r="O10" s="10"/>
      <c r="P10" s="56" t="s">
        <v>57</v>
      </c>
      <c r="Q10" s="34"/>
      <c r="R10" s="40" t="s">
        <v>40</v>
      </c>
      <c r="S10" s="34"/>
      <c r="T10" s="45" t="s">
        <v>238</v>
      </c>
      <c r="U10" s="34"/>
      <c r="V10" s="48" t="s">
        <v>58</v>
      </c>
      <c r="W10" s="10"/>
      <c r="X10" s="42" t="s">
        <v>127</v>
      </c>
      <c r="Y10" s="10"/>
      <c r="Z10" s="40" t="s">
        <v>258</v>
      </c>
    </row>
    <row r="11" spans="1:26" ht="15.6" x14ac:dyDescent="0.3">
      <c r="A11" s="9"/>
      <c r="B11" s="58"/>
      <c r="C11" s="9"/>
      <c r="D11" s="9"/>
      <c r="E11" s="9"/>
      <c r="F11" s="6"/>
      <c r="G11" s="9"/>
      <c r="H11" s="9"/>
      <c r="I11" s="9"/>
      <c r="J11" s="46"/>
      <c r="K11" s="9"/>
      <c r="L11" s="9"/>
      <c r="M11" s="9"/>
      <c r="N11" s="6"/>
      <c r="P11" s="9"/>
      <c r="Q11" s="9"/>
      <c r="R11" s="6"/>
      <c r="S11" s="9"/>
      <c r="T11" s="9"/>
      <c r="U11" s="9"/>
      <c r="V11" s="46"/>
      <c r="W11" s="9"/>
      <c r="X11" s="9"/>
      <c r="Y11" s="9"/>
      <c r="Z11" s="6"/>
    </row>
    <row r="12" spans="1:26" s="23" customFormat="1" x14ac:dyDescent="0.3">
      <c r="A12" s="10"/>
      <c r="B12" s="25" t="s">
        <v>140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3">
      <c r="A13" s="9"/>
      <c r="B13" s="10"/>
      <c r="C13" s="9"/>
      <c r="D13" s="2"/>
      <c r="E13" s="2"/>
      <c r="F13" s="6"/>
      <c r="G13" s="2"/>
      <c r="H13" s="2"/>
      <c r="I13" s="2"/>
      <c r="J13" s="6"/>
      <c r="K13" s="2"/>
      <c r="L13" s="2"/>
      <c r="M13" s="2"/>
      <c r="N13" s="6"/>
      <c r="P13" s="2"/>
      <c r="Q13" s="2"/>
      <c r="R13" s="6"/>
      <c r="S13" s="2"/>
      <c r="T13" s="2"/>
      <c r="U13" s="2"/>
      <c r="V13" s="6"/>
      <c r="W13" s="2"/>
      <c r="X13" s="2"/>
      <c r="Y13" s="2"/>
      <c r="Z13" s="6"/>
    </row>
    <row r="14" spans="1:26" s="23" customFormat="1" x14ac:dyDescent="0.3">
      <c r="A14" s="10"/>
      <c r="B14" s="25" t="s">
        <v>257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3">
      <c r="A15" s="9"/>
      <c r="B15" s="10"/>
      <c r="C15" s="10"/>
      <c r="D15" s="2"/>
      <c r="E15" s="2"/>
      <c r="F15" s="6"/>
      <c r="G15" s="2"/>
      <c r="H15" s="2"/>
      <c r="I15" s="2"/>
      <c r="J15" s="6"/>
      <c r="K15" s="2"/>
      <c r="L15" s="2"/>
      <c r="M15" s="2"/>
      <c r="N15" s="6"/>
      <c r="O15" s="10"/>
      <c r="P15" s="2"/>
      <c r="Q15" s="2"/>
      <c r="R15" s="6"/>
      <c r="S15" s="2"/>
      <c r="T15" s="2"/>
      <c r="U15" s="2"/>
      <c r="V15" s="6"/>
      <c r="W15" s="2"/>
      <c r="X15" s="2"/>
      <c r="Y15" s="2"/>
      <c r="Z15" s="6"/>
    </row>
    <row r="16" spans="1:26" s="23" customFormat="1" x14ac:dyDescent="0.3">
      <c r="A16" s="10"/>
      <c r="B16" s="26" t="s">
        <v>108</v>
      </c>
      <c r="C16" s="26"/>
      <c r="D16" s="21">
        <f>D12-D14</f>
        <v>0</v>
      </c>
      <c r="E16" s="13"/>
      <c r="F16" s="22">
        <f>IF(D$12=0,0,D16/D$12)</f>
        <v>0</v>
      </c>
      <c r="G16" s="13"/>
      <c r="H16" s="21">
        <f>H12-H14</f>
        <v>0</v>
      </c>
      <c r="I16" s="13"/>
      <c r="J16" s="22">
        <f>IF(H$12=0,0,H16/H$12)</f>
        <v>0</v>
      </c>
      <c r="K16" s="16"/>
      <c r="L16" s="21">
        <f>+D16-H16</f>
        <v>0</v>
      </c>
      <c r="M16" s="16"/>
      <c r="N16" s="22">
        <f>IF(H16=0,0,L16/H16)</f>
        <v>0</v>
      </c>
      <c r="O16" s="25"/>
      <c r="P16" s="21">
        <f>P12-P14</f>
        <v>0</v>
      </c>
      <c r="Q16" s="13"/>
      <c r="R16" s="22">
        <f>IF(P$12=0,0,P16/P$12)</f>
        <v>0</v>
      </c>
      <c r="S16" s="13"/>
      <c r="T16" s="21">
        <f>T12-T14</f>
        <v>0</v>
      </c>
      <c r="U16" s="13"/>
      <c r="V16" s="22">
        <f>IF(T$12=0,0,T16/T$12)</f>
        <v>0</v>
      </c>
      <c r="W16" s="16"/>
      <c r="X16" s="21">
        <f>+P16-T16</f>
        <v>0</v>
      </c>
      <c r="Y16" s="16"/>
      <c r="Z16" s="22">
        <f>IF(T16=0,0,X16/T16)</f>
        <v>0</v>
      </c>
    </row>
    <row r="17" spans="1:26" x14ac:dyDescent="0.3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3">
      <c r="A18" s="10"/>
      <c r="B18" s="25" t="s">
        <v>295</v>
      </c>
      <c r="C18" s="10"/>
      <c r="D18" s="20">
        <f>SUM(OSRRefD22x_0)</f>
        <v>232914.85999999996</v>
      </c>
      <c r="E18" s="20"/>
      <c r="F18" s="32">
        <f t="shared" ref="F18:F30" si="0">IF(D$12=0,0,D18/D$12)</f>
        <v>0</v>
      </c>
      <c r="G18" s="20"/>
      <c r="H18" s="20">
        <f>SUM(OSRRefH22x_0)</f>
        <v>273465.01949979994</v>
      </c>
      <c r="I18" s="20"/>
      <c r="J18" s="32">
        <f t="shared" ref="J18:J30" si="1">IF(H$12=0,0,H18/H$12)</f>
        <v>0</v>
      </c>
      <c r="K18" s="4"/>
      <c r="L18" s="20">
        <f t="shared" ref="L18:L30" si="2">+D18-H18</f>
        <v>-40550.159499799978</v>
      </c>
      <c r="M18" s="4"/>
      <c r="N18" s="32">
        <f t="shared" ref="N18:N30" si="3">IF(H18=0,0,L18/H18)</f>
        <v>-0.14828280258283508</v>
      </c>
      <c r="O18" s="10"/>
      <c r="P18" s="20">
        <f>SUM(OSRRefP22x_0)</f>
        <v>232914.85999999996</v>
      </c>
      <c r="Q18" s="20"/>
      <c r="R18" s="32">
        <f t="shared" ref="R18:R30" si="4">IF(P$12=0,0,P18/P$12)</f>
        <v>0</v>
      </c>
      <c r="S18" s="20"/>
      <c r="T18" s="20">
        <f>SUM(OSRRefT22x_0)</f>
        <v>273465.01949979994</v>
      </c>
      <c r="U18" s="20"/>
      <c r="V18" s="32">
        <f t="shared" ref="V18:V30" si="5">IF(T$12=0,0,T18/T$12)</f>
        <v>0</v>
      </c>
      <c r="W18" s="4"/>
      <c r="X18" s="20">
        <f t="shared" ref="X18:X30" si="6">+P18-T18</f>
        <v>-40550.159499799978</v>
      </c>
      <c r="Y18" s="4"/>
      <c r="Z18" s="32">
        <f t="shared" ref="Z18:Z30" si="7">IF(T18=0,0,X18/T18)</f>
        <v>-0.14828280258283508</v>
      </c>
    </row>
    <row r="19" spans="1:26" s="27" customFormat="1" outlineLevel="1" collapsed="1" x14ac:dyDescent="0.3">
      <c r="A19" s="28"/>
      <c r="B19" s="14" t="str">
        <f>CONCATENATE("     ","*Benefits                                         ")</f>
        <v xml:space="preserve">     *Benefits                                         </v>
      </c>
      <c r="C19" s="14"/>
      <c r="D19" s="1">
        <f>SUM(OSRRefD22_0x_0)</f>
        <v>78201.42</v>
      </c>
      <c r="E19" s="1"/>
      <c r="F19" s="5">
        <f t="shared" si="0"/>
        <v>0</v>
      </c>
      <c r="G19" s="1"/>
      <c r="H19" s="1">
        <f>SUM(OSRRefH22_0x_0)</f>
        <v>89547.454607492371</v>
      </c>
      <c r="I19" s="1"/>
      <c r="J19" s="5">
        <f t="shared" si="1"/>
        <v>0</v>
      </c>
      <c r="K19" s="1"/>
      <c r="L19" s="1">
        <f t="shared" si="2"/>
        <v>-11346.034607492373</v>
      </c>
      <c r="M19" s="1"/>
      <c r="N19" s="5">
        <f t="shared" si="3"/>
        <v>-0.12670415543607264</v>
      </c>
      <c r="O19" s="14"/>
      <c r="P19" s="1">
        <f>SUM(OSRRefP22_0x_0)</f>
        <v>78201.42</v>
      </c>
      <c r="Q19" s="1"/>
      <c r="R19" s="5">
        <f t="shared" si="4"/>
        <v>0</v>
      </c>
      <c r="S19" s="1"/>
      <c r="T19" s="1">
        <f>SUM(OSRRefT22_0x_0)</f>
        <v>89547.454607492371</v>
      </c>
      <c r="U19" s="1"/>
      <c r="V19" s="5">
        <f t="shared" si="5"/>
        <v>0</v>
      </c>
      <c r="W19" s="1"/>
      <c r="X19" s="1">
        <f t="shared" si="6"/>
        <v>-11346.034607492373</v>
      </c>
      <c r="Y19" s="1"/>
      <c r="Z19" s="5">
        <f t="shared" si="7"/>
        <v>-0.12670415543607264</v>
      </c>
    </row>
    <row r="20" spans="1:26" s="24" customFormat="1" hidden="1" outlineLevel="2" x14ac:dyDescent="0.3">
      <c r="A20" s="29"/>
      <c r="B20" s="11" t="str">
        <f>CONCATENATE("          ", "6111", " - ", "F.I.C.A.")</f>
        <v xml:space="preserve">          6111 - F.I.C.A.</v>
      </c>
      <c r="C20" s="11"/>
      <c r="D20" s="8">
        <v>7407.51</v>
      </c>
      <c r="E20" s="3"/>
      <c r="F20" s="7">
        <f t="shared" si="0"/>
        <v>0</v>
      </c>
      <c r="G20" s="3"/>
      <c r="H20" s="8">
        <v>9225.2993131846197</v>
      </c>
      <c r="I20" s="3"/>
      <c r="J20" s="7">
        <f t="shared" si="1"/>
        <v>0</v>
      </c>
      <c r="K20" s="3"/>
      <c r="L20" s="8">
        <f t="shared" si="2"/>
        <v>-1817.7893131846195</v>
      </c>
      <c r="M20" s="3"/>
      <c r="N20" s="7">
        <f t="shared" si="3"/>
        <v>-0.19704393878978757</v>
      </c>
      <c r="O20" s="11"/>
      <c r="P20" s="8">
        <v>7407.51</v>
      </c>
      <c r="Q20" s="3"/>
      <c r="R20" s="7">
        <f t="shared" si="4"/>
        <v>0</v>
      </c>
      <c r="S20" s="3"/>
      <c r="T20" s="8">
        <v>9225.2993131846197</v>
      </c>
      <c r="U20" s="3"/>
      <c r="V20" s="7">
        <f t="shared" si="5"/>
        <v>0</v>
      </c>
      <c r="W20" s="3"/>
      <c r="X20" s="8">
        <f t="shared" si="6"/>
        <v>-1817.7893131846195</v>
      </c>
      <c r="Y20" s="3"/>
      <c r="Z20" s="7">
        <f t="shared" si="7"/>
        <v>-0.19704393878978757</v>
      </c>
    </row>
    <row r="21" spans="1:26" s="24" customFormat="1" hidden="1" outlineLevel="2" x14ac:dyDescent="0.3">
      <c r="A21" s="29"/>
      <c r="B21" s="11" t="str">
        <f>CONCATENATE("          ", "6112", " - ", "COMPENSATION INSURANCE")</f>
        <v xml:space="preserve">          6112 - COMPENSATION INSURANCE</v>
      </c>
      <c r="C21" s="11"/>
      <c r="D21" s="8">
        <v>1424.37</v>
      </c>
      <c r="E21" s="3"/>
      <c r="F21" s="7">
        <f t="shared" si="0"/>
        <v>0</v>
      </c>
      <c r="G21" s="3"/>
      <c r="H21" s="8">
        <v>748.96736369230803</v>
      </c>
      <c r="I21" s="3"/>
      <c r="J21" s="7">
        <f t="shared" si="1"/>
        <v>0</v>
      </c>
      <c r="K21" s="3"/>
      <c r="L21" s="8">
        <f t="shared" si="2"/>
        <v>675.40263630769186</v>
      </c>
      <c r="M21" s="3"/>
      <c r="N21" s="7">
        <f t="shared" si="3"/>
        <v>0.90177846065020517</v>
      </c>
      <c r="O21" s="11"/>
      <c r="P21" s="8">
        <v>1424.37</v>
      </c>
      <c r="Q21" s="3"/>
      <c r="R21" s="7">
        <f t="shared" si="4"/>
        <v>0</v>
      </c>
      <c r="S21" s="3"/>
      <c r="T21" s="8">
        <v>748.96736369230803</v>
      </c>
      <c r="U21" s="3"/>
      <c r="V21" s="7">
        <f t="shared" si="5"/>
        <v>0</v>
      </c>
      <c r="W21" s="3"/>
      <c r="X21" s="8">
        <f t="shared" si="6"/>
        <v>675.40263630769186</v>
      </c>
      <c r="Y21" s="3"/>
      <c r="Z21" s="7">
        <f t="shared" si="7"/>
        <v>0.90177846065020517</v>
      </c>
    </row>
    <row r="22" spans="1:26" s="24" customFormat="1" hidden="1" outlineLevel="2" x14ac:dyDescent="0.3">
      <c r="A22" s="29"/>
      <c r="B22" s="11" t="str">
        <f>CONCATENATE("          ", "6113", " - ", "GROUP INSURANCE")</f>
        <v xml:space="preserve">          6113 - GROUP INSURANCE</v>
      </c>
      <c r="C22" s="11"/>
      <c r="D22" s="8">
        <v>22410.55</v>
      </c>
      <c r="E22" s="3"/>
      <c r="F22" s="7">
        <f t="shared" si="0"/>
        <v>0</v>
      </c>
      <c r="G22" s="3"/>
      <c r="H22" s="8">
        <v>24481.9230769231</v>
      </c>
      <c r="I22" s="3"/>
      <c r="J22" s="7">
        <f t="shared" si="1"/>
        <v>0</v>
      </c>
      <c r="K22" s="3"/>
      <c r="L22" s="8">
        <f t="shared" si="2"/>
        <v>-2071.3730769231006</v>
      </c>
      <c r="M22" s="3"/>
      <c r="N22" s="7">
        <f t="shared" si="3"/>
        <v>-8.4608266695993223E-2</v>
      </c>
      <c r="O22" s="11"/>
      <c r="P22" s="8">
        <v>22410.55</v>
      </c>
      <c r="Q22" s="3"/>
      <c r="R22" s="7">
        <f t="shared" si="4"/>
        <v>0</v>
      </c>
      <c r="S22" s="3"/>
      <c r="T22" s="8">
        <v>24481.9230769231</v>
      </c>
      <c r="U22" s="3"/>
      <c r="V22" s="7">
        <f t="shared" si="5"/>
        <v>0</v>
      </c>
      <c r="W22" s="3"/>
      <c r="X22" s="8">
        <f t="shared" si="6"/>
        <v>-2071.3730769231006</v>
      </c>
      <c r="Y22" s="3"/>
      <c r="Z22" s="7">
        <f t="shared" si="7"/>
        <v>-8.4608266695993223E-2</v>
      </c>
    </row>
    <row r="23" spans="1:26" s="24" customFormat="1" hidden="1" outlineLevel="2" x14ac:dyDescent="0.3">
      <c r="A23" s="29"/>
      <c r="B23" s="11" t="str">
        <f>CONCATENATE("          ", "6114", " - ", "STATE UNEMPLOYMENT INSURANCE")</f>
        <v xml:space="preserve">          6114 - STATE UNEMPLOYMENT INSURANCE</v>
      </c>
      <c r="C23" s="11"/>
      <c r="D23" s="8">
        <v>251.47</v>
      </c>
      <c r="E23" s="3"/>
      <c r="F23" s="7">
        <f t="shared" si="0"/>
        <v>0</v>
      </c>
      <c r="G23" s="3"/>
      <c r="H23" s="8">
        <v>268.89423830769198</v>
      </c>
      <c r="I23" s="3"/>
      <c r="J23" s="7">
        <f t="shared" si="1"/>
        <v>0</v>
      </c>
      <c r="K23" s="3"/>
      <c r="L23" s="8">
        <f t="shared" si="2"/>
        <v>-17.424238307691979</v>
      </c>
      <c r="M23" s="3"/>
      <c r="N23" s="7">
        <f t="shared" si="3"/>
        <v>-6.4799597110569776E-2</v>
      </c>
      <c r="O23" s="11"/>
      <c r="P23" s="8">
        <v>251.47</v>
      </c>
      <c r="Q23" s="3"/>
      <c r="R23" s="7">
        <f t="shared" si="4"/>
        <v>0</v>
      </c>
      <c r="S23" s="3"/>
      <c r="T23" s="8">
        <v>268.89423830769198</v>
      </c>
      <c r="U23" s="3"/>
      <c r="V23" s="7">
        <f t="shared" si="5"/>
        <v>0</v>
      </c>
      <c r="W23" s="3"/>
      <c r="X23" s="8">
        <f t="shared" si="6"/>
        <v>-17.424238307691979</v>
      </c>
      <c r="Y23" s="3"/>
      <c r="Z23" s="7">
        <f t="shared" si="7"/>
        <v>-6.4799597110569776E-2</v>
      </c>
    </row>
    <row r="24" spans="1:26" s="24" customFormat="1" hidden="1" outlineLevel="2" x14ac:dyDescent="0.3">
      <c r="A24" s="29"/>
      <c r="B24" s="11" t="str">
        <f>CONCATENATE("          ", "6115", " - ", "P.E.R.S.")</f>
        <v xml:space="preserve">          6115 - P.E.R.S.</v>
      </c>
      <c r="C24" s="11"/>
      <c r="D24" s="8">
        <v>7497.95</v>
      </c>
      <c r="E24" s="3"/>
      <c r="F24" s="7">
        <f t="shared" si="0"/>
        <v>0</v>
      </c>
      <c r="G24" s="3"/>
      <c r="H24" s="8">
        <v>7426.1099230769296</v>
      </c>
      <c r="I24" s="3"/>
      <c r="J24" s="7">
        <f t="shared" si="1"/>
        <v>0</v>
      </c>
      <c r="K24" s="3"/>
      <c r="L24" s="8">
        <f t="shared" si="2"/>
        <v>71.840076923070228</v>
      </c>
      <c r="M24" s="3"/>
      <c r="N24" s="7">
        <f t="shared" si="3"/>
        <v>9.6739851237354242E-3</v>
      </c>
      <c r="O24" s="11"/>
      <c r="P24" s="8">
        <v>7497.95</v>
      </c>
      <c r="Q24" s="3"/>
      <c r="R24" s="7">
        <f t="shared" si="4"/>
        <v>0</v>
      </c>
      <c r="S24" s="3"/>
      <c r="T24" s="8">
        <v>7426.1099230769296</v>
      </c>
      <c r="U24" s="3"/>
      <c r="V24" s="7">
        <f t="shared" si="5"/>
        <v>0</v>
      </c>
      <c r="W24" s="3"/>
      <c r="X24" s="8">
        <f t="shared" si="6"/>
        <v>71.840076923070228</v>
      </c>
      <c r="Y24" s="3"/>
      <c r="Z24" s="7">
        <f t="shared" si="7"/>
        <v>9.6739851237354242E-3</v>
      </c>
    </row>
    <row r="25" spans="1:26" s="24" customFormat="1" hidden="1" outlineLevel="2" x14ac:dyDescent="0.3">
      <c r="A25" s="29"/>
      <c r="B25" s="11" t="str">
        <f>CONCATENATE("          ", "6116", " - ", "EDUCATIONAL BENEFITS")</f>
        <v xml:space="preserve">          6116 - EDUCATIONAL BENEFITS</v>
      </c>
      <c r="C25" s="11"/>
      <c r="D25" s="8"/>
      <c r="E25" s="3"/>
      <c r="F25" s="7">
        <f t="shared" si="0"/>
        <v>0</v>
      </c>
      <c r="G25" s="3"/>
      <c r="H25" s="8">
        <v>417</v>
      </c>
      <c r="I25" s="3"/>
      <c r="J25" s="7">
        <f t="shared" si="1"/>
        <v>0</v>
      </c>
      <c r="K25" s="3"/>
      <c r="L25" s="8">
        <f t="shared" si="2"/>
        <v>-417</v>
      </c>
      <c r="M25" s="3"/>
      <c r="N25" s="7">
        <f t="shared" si="3"/>
        <v>-1</v>
      </c>
      <c r="O25" s="11"/>
      <c r="P25" s="8"/>
      <c r="Q25" s="3"/>
      <c r="R25" s="7">
        <f t="shared" si="4"/>
        <v>0</v>
      </c>
      <c r="S25" s="3"/>
      <c r="T25" s="8">
        <v>417</v>
      </c>
      <c r="U25" s="3"/>
      <c r="V25" s="7">
        <f t="shared" si="5"/>
        <v>0</v>
      </c>
      <c r="W25" s="3"/>
      <c r="X25" s="8">
        <f t="shared" si="6"/>
        <v>-417</v>
      </c>
      <c r="Y25" s="3"/>
      <c r="Z25" s="7">
        <f t="shared" si="7"/>
        <v>-1</v>
      </c>
    </row>
    <row r="26" spans="1:26" s="24" customFormat="1" hidden="1" outlineLevel="2" x14ac:dyDescent="0.3">
      <c r="A26" s="29"/>
      <c r="B26" s="11" t="str">
        <f>CONCATENATE("          ", "6117", " - ", "RETIREMENT STAFF HOURLY")</f>
        <v xml:space="preserve">          6117 - RETIREMENT STAFF HOURLY</v>
      </c>
      <c r="C26" s="11"/>
      <c r="D26" s="8">
        <v>603.48</v>
      </c>
      <c r="E26" s="3"/>
      <c r="F26" s="7">
        <f t="shared" si="0"/>
        <v>0</v>
      </c>
      <c r="G26" s="3"/>
      <c r="H26" s="8"/>
      <c r="I26" s="3"/>
      <c r="J26" s="7">
        <f t="shared" si="1"/>
        <v>0</v>
      </c>
      <c r="K26" s="3"/>
      <c r="L26" s="8">
        <f t="shared" si="2"/>
        <v>603.48</v>
      </c>
      <c r="M26" s="3"/>
      <c r="N26" s="7">
        <f t="shared" si="3"/>
        <v>0</v>
      </c>
      <c r="O26" s="11"/>
      <c r="P26" s="8">
        <v>603.48</v>
      </c>
      <c r="Q26" s="3"/>
      <c r="R26" s="7">
        <f t="shared" si="4"/>
        <v>0</v>
      </c>
      <c r="S26" s="3"/>
      <c r="T26" s="8"/>
      <c r="U26" s="3"/>
      <c r="V26" s="7">
        <f t="shared" si="5"/>
        <v>0</v>
      </c>
      <c r="W26" s="3"/>
      <c r="X26" s="8">
        <f t="shared" si="6"/>
        <v>603.48</v>
      </c>
      <c r="Y26" s="3"/>
      <c r="Z26" s="7">
        <f t="shared" si="7"/>
        <v>0</v>
      </c>
    </row>
    <row r="27" spans="1:26" s="24" customFormat="1" hidden="1" outlineLevel="2" x14ac:dyDescent="0.3">
      <c r="A27" s="29"/>
      <c r="B27" s="11" t="str">
        <f>CONCATENATE("          ", "6118", " - ", "VACATION")</f>
        <v xml:space="preserve">          6118 - VACATION</v>
      </c>
      <c r="C27" s="11"/>
      <c r="D27" s="8">
        <v>6366.21</v>
      </c>
      <c r="E27" s="3"/>
      <c r="F27" s="7">
        <f t="shared" si="0"/>
        <v>0</v>
      </c>
      <c r="G27" s="3"/>
      <c r="H27" s="8">
        <v>5206.2835692307799</v>
      </c>
      <c r="I27" s="3"/>
      <c r="J27" s="7">
        <f t="shared" si="1"/>
        <v>0</v>
      </c>
      <c r="K27" s="3"/>
      <c r="L27" s="8">
        <f t="shared" si="2"/>
        <v>1159.9264307692201</v>
      </c>
      <c r="M27" s="3"/>
      <c r="N27" s="7">
        <f t="shared" si="3"/>
        <v>0.22279355616056032</v>
      </c>
      <c r="O27" s="11"/>
      <c r="P27" s="8">
        <v>6366.21</v>
      </c>
      <c r="Q27" s="3"/>
      <c r="R27" s="7">
        <f t="shared" si="4"/>
        <v>0</v>
      </c>
      <c r="S27" s="3"/>
      <c r="T27" s="8">
        <v>5206.2835692307799</v>
      </c>
      <c r="U27" s="3"/>
      <c r="V27" s="7">
        <f t="shared" si="5"/>
        <v>0</v>
      </c>
      <c r="W27" s="3"/>
      <c r="X27" s="8">
        <f t="shared" si="6"/>
        <v>1159.9264307692201</v>
      </c>
      <c r="Y27" s="3"/>
      <c r="Z27" s="7">
        <f t="shared" si="7"/>
        <v>0.22279355616056032</v>
      </c>
    </row>
    <row r="28" spans="1:26" s="24" customFormat="1" hidden="1" outlineLevel="2" x14ac:dyDescent="0.3">
      <c r="A28" s="29"/>
      <c r="B28" s="11" t="str">
        <f>CONCATENATE("          ", "6119", " - ", "SICK LEAVE")</f>
        <v xml:space="preserve">          6119 - SICK LEAVE</v>
      </c>
      <c r="C28" s="11"/>
      <c r="D28" s="8">
        <v>4256.4799999999996</v>
      </c>
      <c r="E28" s="3"/>
      <c r="F28" s="7">
        <f t="shared" si="0"/>
        <v>0</v>
      </c>
      <c r="G28" s="3"/>
      <c r="H28" s="8">
        <v>4422.9771230769302</v>
      </c>
      <c r="I28" s="3"/>
      <c r="J28" s="7">
        <f t="shared" si="1"/>
        <v>0</v>
      </c>
      <c r="K28" s="3"/>
      <c r="L28" s="8">
        <f t="shared" si="2"/>
        <v>-166.49712307693062</v>
      </c>
      <c r="M28" s="3"/>
      <c r="N28" s="7">
        <f t="shared" si="3"/>
        <v>-3.7643677198380729E-2</v>
      </c>
      <c r="O28" s="11"/>
      <c r="P28" s="8">
        <v>4256.4799999999996</v>
      </c>
      <c r="Q28" s="3"/>
      <c r="R28" s="7">
        <f t="shared" si="4"/>
        <v>0</v>
      </c>
      <c r="S28" s="3"/>
      <c r="T28" s="8">
        <v>4422.9771230769302</v>
      </c>
      <c r="U28" s="3"/>
      <c r="V28" s="7">
        <f t="shared" si="5"/>
        <v>0</v>
      </c>
      <c r="W28" s="3"/>
      <c r="X28" s="8">
        <f t="shared" si="6"/>
        <v>-166.49712307693062</v>
      </c>
      <c r="Y28" s="3"/>
      <c r="Z28" s="7">
        <f t="shared" si="7"/>
        <v>-3.7643677198380729E-2</v>
      </c>
    </row>
    <row r="29" spans="1:26" s="24" customFormat="1" hidden="1" outlineLevel="2" x14ac:dyDescent="0.3">
      <c r="A29" s="29"/>
      <c r="B29" s="11" t="str">
        <f>CONCATENATE("          ", "6120", " - ", "RETIREES HEALTH INSURANCE")</f>
        <v xml:space="preserve">          6120 - RETIREES HEALTH INSURANCE</v>
      </c>
      <c r="C29" s="11"/>
      <c r="D29" s="8">
        <v>27136.06</v>
      </c>
      <c r="E29" s="3"/>
      <c r="F29" s="7">
        <f t="shared" si="0"/>
        <v>0</v>
      </c>
      <c r="G29" s="3"/>
      <c r="H29" s="8">
        <v>35000</v>
      </c>
      <c r="I29" s="3"/>
      <c r="J29" s="7">
        <f t="shared" si="1"/>
        <v>0</v>
      </c>
      <c r="K29" s="3"/>
      <c r="L29" s="8">
        <f t="shared" si="2"/>
        <v>-7863.9399999999987</v>
      </c>
      <c r="M29" s="3"/>
      <c r="N29" s="7">
        <f t="shared" si="3"/>
        <v>-0.22468399999999997</v>
      </c>
      <c r="O29" s="11"/>
      <c r="P29" s="8">
        <v>27136.06</v>
      </c>
      <c r="Q29" s="3"/>
      <c r="R29" s="7">
        <f t="shared" si="4"/>
        <v>0</v>
      </c>
      <c r="S29" s="3"/>
      <c r="T29" s="8">
        <v>35000</v>
      </c>
      <c r="U29" s="3"/>
      <c r="V29" s="7">
        <f t="shared" si="5"/>
        <v>0</v>
      </c>
      <c r="W29" s="3"/>
      <c r="X29" s="8">
        <f t="shared" si="6"/>
        <v>-7863.9399999999987</v>
      </c>
      <c r="Y29" s="3"/>
      <c r="Z29" s="7">
        <f t="shared" si="7"/>
        <v>-0.22468399999999997</v>
      </c>
    </row>
    <row r="30" spans="1:26" s="24" customFormat="1" hidden="1" outlineLevel="2" x14ac:dyDescent="0.3">
      <c r="A30" s="29"/>
      <c r="B30" s="11" t="str">
        <f>CONCATENATE("          ", "6156", " - ", "EMPLOYEE MEALS")</f>
        <v xml:space="preserve">          6156 - EMPLOYEE MEALS</v>
      </c>
      <c r="C30" s="11"/>
      <c r="D30" s="8">
        <v>847.34</v>
      </c>
      <c r="E30" s="3"/>
      <c r="F30" s="7">
        <f t="shared" si="0"/>
        <v>0</v>
      </c>
      <c r="G30" s="3"/>
      <c r="H30" s="8">
        <v>2350</v>
      </c>
      <c r="I30" s="3"/>
      <c r="J30" s="7">
        <f t="shared" si="1"/>
        <v>0</v>
      </c>
      <c r="K30" s="3"/>
      <c r="L30" s="8">
        <f t="shared" si="2"/>
        <v>-1502.6599999999999</v>
      </c>
      <c r="M30" s="3"/>
      <c r="N30" s="7">
        <f t="shared" si="3"/>
        <v>-0.63942978723404253</v>
      </c>
      <c r="O30" s="11"/>
      <c r="P30" s="8">
        <v>847.34</v>
      </c>
      <c r="Q30" s="3"/>
      <c r="R30" s="7">
        <f t="shared" si="4"/>
        <v>0</v>
      </c>
      <c r="S30" s="3"/>
      <c r="T30" s="8">
        <v>2350</v>
      </c>
      <c r="U30" s="3"/>
      <c r="V30" s="7">
        <f t="shared" si="5"/>
        <v>0</v>
      </c>
      <c r="W30" s="3"/>
      <c r="X30" s="8">
        <f t="shared" si="6"/>
        <v>-1502.6599999999999</v>
      </c>
      <c r="Y30" s="3"/>
      <c r="Z30" s="7">
        <f t="shared" si="7"/>
        <v>-0.63942978723404253</v>
      </c>
    </row>
    <row r="31" spans="1:26" s="27" customFormat="1" outlineLevel="1" collapsed="1" x14ac:dyDescent="0.3">
      <c r="A31" s="28"/>
      <c r="B31" s="14" t="str">
        <f>CONCATENATE("     ","*Payroll                                          ")</f>
        <v xml:space="preserve">     *Payroll                                          </v>
      </c>
      <c r="C31" s="14"/>
      <c r="D31" s="1">
        <f>SUM(OSRRefD22_1x_0)</f>
        <v>114654.69</v>
      </c>
      <c r="E31" s="1"/>
      <c r="F31" s="5">
        <f t="shared" ref="F31:F41" si="8">IF(D$12=0,0,D31/D$12)</f>
        <v>0</v>
      </c>
      <c r="G31" s="1"/>
      <c r="H31" s="1">
        <f>SUM(OSRRefH22_1x_0)</f>
        <v>116928.56489230761</v>
      </c>
      <c r="I31" s="1"/>
      <c r="J31" s="5">
        <f t="shared" ref="J31:J41" si="9">IF(H$12=0,0,H31/H$12)</f>
        <v>0</v>
      </c>
      <c r="K31" s="1"/>
      <c r="L31" s="1">
        <f t="shared" ref="L31:L41" si="10">+D31-H31</f>
        <v>-2273.8748923076055</v>
      </c>
      <c r="M31" s="1"/>
      <c r="N31" s="5">
        <f t="shared" ref="N31:N41" si="11">IF(H31=0,0,L31/H31)</f>
        <v>-1.9446701448887764E-2</v>
      </c>
      <c r="O31" s="14"/>
      <c r="P31" s="1">
        <f>SUM(OSRRefP22_1x_0)</f>
        <v>114654.69</v>
      </c>
      <c r="Q31" s="1"/>
      <c r="R31" s="5">
        <f t="shared" ref="R31:R41" si="12">IF(P$12=0,0,P31/P$12)</f>
        <v>0</v>
      </c>
      <c r="S31" s="1"/>
      <c r="T31" s="1">
        <f>SUM(OSRRefT22_1x_0)</f>
        <v>116928.56489230761</v>
      </c>
      <c r="U31" s="1"/>
      <c r="V31" s="5">
        <f t="shared" ref="V31:V41" si="13">IF(T$12=0,0,T31/T$12)</f>
        <v>0</v>
      </c>
      <c r="W31" s="1"/>
      <c r="X31" s="1">
        <f t="shared" ref="X31:X41" si="14">+P31-T31</f>
        <v>-2273.8748923076055</v>
      </c>
      <c r="Y31" s="1"/>
      <c r="Z31" s="5">
        <f t="shared" ref="Z31:Z41" si="15">IF(T31=0,0,X31/T31)</f>
        <v>-1.9446701448887764E-2</v>
      </c>
    </row>
    <row r="32" spans="1:26" s="24" customFormat="1" hidden="1" outlineLevel="2" x14ac:dyDescent="0.3">
      <c r="A32" s="29"/>
      <c r="B32" s="11" t="str">
        <f>CONCATENATE("          ", "6001", " - ", "ADMINISTRATIVE SALARIES")</f>
        <v xml:space="preserve">          6001 - ADMINISTRATIVE SALARIES</v>
      </c>
      <c r="C32" s="11"/>
      <c r="D32" s="8">
        <v>29962.34</v>
      </c>
      <c r="E32" s="3"/>
      <c r="F32" s="7">
        <f t="shared" si="8"/>
        <v>0</v>
      </c>
      <c r="G32" s="3"/>
      <c r="H32" s="8">
        <v>34866.400000000001</v>
      </c>
      <c r="I32" s="3"/>
      <c r="J32" s="7">
        <f t="shared" si="9"/>
        <v>0</v>
      </c>
      <c r="K32" s="3"/>
      <c r="L32" s="8">
        <f t="shared" si="10"/>
        <v>-4904.0600000000013</v>
      </c>
      <c r="M32" s="3"/>
      <c r="N32" s="7">
        <f t="shared" si="11"/>
        <v>-0.14065289218273183</v>
      </c>
      <c r="O32" s="11"/>
      <c r="P32" s="8">
        <v>29962.34</v>
      </c>
      <c r="Q32" s="3"/>
      <c r="R32" s="7">
        <f t="shared" si="12"/>
        <v>0</v>
      </c>
      <c r="S32" s="3"/>
      <c r="T32" s="8">
        <v>34866.400000000001</v>
      </c>
      <c r="U32" s="3"/>
      <c r="V32" s="7">
        <f t="shared" si="13"/>
        <v>0</v>
      </c>
      <c r="W32" s="3"/>
      <c r="X32" s="8">
        <f t="shared" si="14"/>
        <v>-4904.0600000000013</v>
      </c>
      <c r="Y32" s="3"/>
      <c r="Z32" s="7">
        <f t="shared" si="15"/>
        <v>-0.14065289218273183</v>
      </c>
    </row>
    <row r="33" spans="1:26" s="24" customFormat="1" hidden="1" outlineLevel="2" x14ac:dyDescent="0.3">
      <c r="A33" s="29"/>
      <c r="B33" s="11" t="str">
        <f>CONCATENATE("          ", "6002", " - ", "STAFF SALARIES")</f>
        <v xml:space="preserve">          6002 - STAFF SALARIES</v>
      </c>
      <c r="C33" s="11"/>
      <c r="D33" s="8">
        <v>57319.14</v>
      </c>
      <c r="E33" s="3"/>
      <c r="F33" s="7">
        <f t="shared" si="8"/>
        <v>0</v>
      </c>
      <c r="G33" s="3"/>
      <c r="H33" s="8">
        <v>43959.607692307603</v>
      </c>
      <c r="I33" s="3"/>
      <c r="J33" s="7">
        <f t="shared" si="9"/>
        <v>0</v>
      </c>
      <c r="K33" s="3"/>
      <c r="L33" s="8">
        <f t="shared" si="10"/>
        <v>13359.532307692396</v>
      </c>
      <c r="M33" s="3"/>
      <c r="N33" s="7">
        <f t="shared" si="11"/>
        <v>0.30390472092475362</v>
      </c>
      <c r="O33" s="11"/>
      <c r="P33" s="8">
        <v>57319.14</v>
      </c>
      <c r="Q33" s="3"/>
      <c r="R33" s="7">
        <f t="shared" si="12"/>
        <v>0</v>
      </c>
      <c r="S33" s="3"/>
      <c r="T33" s="8">
        <v>43959.607692307603</v>
      </c>
      <c r="U33" s="3"/>
      <c r="V33" s="7">
        <f t="shared" si="13"/>
        <v>0</v>
      </c>
      <c r="W33" s="3"/>
      <c r="X33" s="8">
        <f t="shared" si="14"/>
        <v>13359.532307692396</v>
      </c>
      <c r="Y33" s="3"/>
      <c r="Z33" s="7">
        <f t="shared" si="15"/>
        <v>0.30390472092475362</v>
      </c>
    </row>
    <row r="34" spans="1:26" s="24" customFormat="1" hidden="1" outlineLevel="2" x14ac:dyDescent="0.3">
      <c r="A34" s="29"/>
      <c r="B34" s="11" t="str">
        <f>CONCATENATE("          ", "6003", " - ", "STAFF HOURLY-9 MONTH")</f>
        <v xml:space="preserve">          6003 - STAFF HOURLY-9 MONTH</v>
      </c>
      <c r="C34" s="11"/>
      <c r="D34" s="8"/>
      <c r="E34" s="3"/>
      <c r="F34" s="7">
        <f t="shared" si="8"/>
        <v>0</v>
      </c>
      <c r="G34" s="3"/>
      <c r="H34" s="8">
        <v>0</v>
      </c>
      <c r="I34" s="3"/>
      <c r="J34" s="7">
        <f t="shared" si="9"/>
        <v>0</v>
      </c>
      <c r="K34" s="3"/>
      <c r="L34" s="8">
        <f t="shared" si="10"/>
        <v>0</v>
      </c>
      <c r="M34" s="3"/>
      <c r="N34" s="7">
        <f t="shared" si="11"/>
        <v>0</v>
      </c>
      <c r="O34" s="11"/>
      <c r="P34" s="8"/>
      <c r="Q34" s="3"/>
      <c r="R34" s="7">
        <f t="shared" si="12"/>
        <v>0</v>
      </c>
      <c r="S34" s="3"/>
      <c r="T34" s="8">
        <v>0</v>
      </c>
      <c r="U34" s="3"/>
      <c r="V34" s="7">
        <f t="shared" si="13"/>
        <v>0</v>
      </c>
      <c r="W34" s="3"/>
      <c r="X34" s="8">
        <f t="shared" si="14"/>
        <v>0</v>
      </c>
      <c r="Y34" s="3"/>
      <c r="Z34" s="7">
        <f t="shared" si="15"/>
        <v>0</v>
      </c>
    </row>
    <row r="35" spans="1:26" s="24" customFormat="1" hidden="1" outlineLevel="2" x14ac:dyDescent="0.3">
      <c r="A35" s="29"/>
      <c r="B35" s="11" t="str">
        <f>CONCATENATE("          ", "6004", " - ", "STAFF HOURLY")</f>
        <v xml:space="preserve">          6004 - STAFF HOURLY</v>
      </c>
      <c r="C35" s="11"/>
      <c r="D35" s="8">
        <v>18080.89</v>
      </c>
      <c r="E35" s="3"/>
      <c r="F35" s="7">
        <f t="shared" si="8"/>
        <v>0</v>
      </c>
      <c r="G35" s="3"/>
      <c r="H35" s="8">
        <v>30052.557199999999</v>
      </c>
      <c r="I35" s="3"/>
      <c r="J35" s="7">
        <f t="shared" si="9"/>
        <v>0</v>
      </c>
      <c r="K35" s="3"/>
      <c r="L35" s="8">
        <f t="shared" si="10"/>
        <v>-11971.6672</v>
      </c>
      <c r="M35" s="3"/>
      <c r="N35" s="7">
        <f t="shared" si="11"/>
        <v>-0.39835768784428105</v>
      </c>
      <c r="O35" s="11"/>
      <c r="P35" s="8">
        <v>18080.89</v>
      </c>
      <c r="Q35" s="3"/>
      <c r="R35" s="7">
        <f t="shared" si="12"/>
        <v>0</v>
      </c>
      <c r="S35" s="3"/>
      <c r="T35" s="8">
        <v>30052.557199999999</v>
      </c>
      <c r="U35" s="3"/>
      <c r="V35" s="7">
        <f t="shared" si="13"/>
        <v>0</v>
      </c>
      <c r="W35" s="3"/>
      <c r="X35" s="8">
        <f t="shared" si="14"/>
        <v>-11971.6672</v>
      </c>
      <c r="Y35" s="3"/>
      <c r="Z35" s="7">
        <f t="shared" si="15"/>
        <v>-0.39835768784428105</v>
      </c>
    </row>
    <row r="36" spans="1:26" s="24" customFormat="1" hidden="1" outlineLevel="2" x14ac:dyDescent="0.3">
      <c r="A36" s="29"/>
      <c r="B36" s="11" t="str">
        <f>CONCATENATE("          ", "6005", " - ", "TEMPORARY WAGES-HOURLY")</f>
        <v xml:space="preserve">          6005 - TEMPORARY WAGES-HOURLY</v>
      </c>
      <c r="C36" s="11"/>
      <c r="D36" s="8">
        <v>2027</v>
      </c>
      <c r="E36" s="3"/>
      <c r="F36" s="7">
        <f t="shared" si="8"/>
        <v>0</v>
      </c>
      <c r="G36" s="3"/>
      <c r="H36" s="8">
        <v>4850</v>
      </c>
      <c r="I36" s="3"/>
      <c r="J36" s="7">
        <f t="shared" si="9"/>
        <v>0</v>
      </c>
      <c r="K36" s="3"/>
      <c r="L36" s="8">
        <f t="shared" si="10"/>
        <v>-2823</v>
      </c>
      <c r="M36" s="3"/>
      <c r="N36" s="7">
        <f t="shared" si="11"/>
        <v>-0.58206185567010305</v>
      </c>
      <c r="O36" s="11"/>
      <c r="P36" s="8">
        <v>2027</v>
      </c>
      <c r="Q36" s="3"/>
      <c r="R36" s="7">
        <f t="shared" si="12"/>
        <v>0</v>
      </c>
      <c r="S36" s="3"/>
      <c r="T36" s="8">
        <v>4850</v>
      </c>
      <c r="U36" s="3"/>
      <c r="V36" s="7">
        <f t="shared" si="13"/>
        <v>0</v>
      </c>
      <c r="W36" s="3"/>
      <c r="X36" s="8">
        <f t="shared" si="14"/>
        <v>-2823</v>
      </c>
      <c r="Y36" s="3"/>
      <c r="Z36" s="7">
        <f t="shared" si="15"/>
        <v>-0.58206185567010305</v>
      </c>
    </row>
    <row r="37" spans="1:26" s="24" customFormat="1" hidden="1" outlineLevel="2" x14ac:dyDescent="0.3">
      <c r="A37" s="29"/>
      <c r="B37" s="11" t="str">
        <f>CONCATENATE("          ", "6006", " - ", "TEMPORARY PART TIME")</f>
        <v xml:space="preserve">          6006 - TEMPORARY PART TIME</v>
      </c>
      <c r="C37" s="11"/>
      <c r="D37" s="8"/>
      <c r="E37" s="3"/>
      <c r="F37" s="7">
        <f t="shared" si="8"/>
        <v>0</v>
      </c>
      <c r="G37" s="3"/>
      <c r="H37" s="8">
        <v>0</v>
      </c>
      <c r="I37" s="3"/>
      <c r="J37" s="7">
        <f t="shared" si="9"/>
        <v>0</v>
      </c>
      <c r="K37" s="3"/>
      <c r="L37" s="8">
        <f t="shared" si="10"/>
        <v>0</v>
      </c>
      <c r="M37" s="3"/>
      <c r="N37" s="7">
        <f t="shared" si="11"/>
        <v>0</v>
      </c>
      <c r="O37" s="11"/>
      <c r="P37" s="8"/>
      <c r="Q37" s="3"/>
      <c r="R37" s="7">
        <f t="shared" si="12"/>
        <v>0</v>
      </c>
      <c r="S37" s="3"/>
      <c r="T37" s="8">
        <v>0</v>
      </c>
      <c r="U37" s="3"/>
      <c r="V37" s="7">
        <f t="shared" si="13"/>
        <v>0</v>
      </c>
      <c r="W37" s="3"/>
      <c r="X37" s="8">
        <f t="shared" si="14"/>
        <v>0</v>
      </c>
      <c r="Y37" s="3"/>
      <c r="Z37" s="7">
        <f t="shared" si="15"/>
        <v>0</v>
      </c>
    </row>
    <row r="38" spans="1:26" s="24" customFormat="1" hidden="1" outlineLevel="2" x14ac:dyDescent="0.3">
      <c r="A38" s="29"/>
      <c r="B38" s="11" t="str">
        <f>CONCATENATE("          ", "6007", " - ", "STUDENT HOURLY")</f>
        <v xml:space="preserve">          6007 - STUDENT HOURLY</v>
      </c>
      <c r="C38" s="11"/>
      <c r="D38" s="8">
        <v>5494</v>
      </c>
      <c r="E38" s="3"/>
      <c r="F38" s="7">
        <f t="shared" si="8"/>
        <v>0</v>
      </c>
      <c r="G38" s="3"/>
      <c r="H38" s="8">
        <v>3200</v>
      </c>
      <c r="I38" s="3"/>
      <c r="J38" s="7">
        <f t="shared" si="9"/>
        <v>0</v>
      </c>
      <c r="K38" s="3"/>
      <c r="L38" s="8">
        <f t="shared" si="10"/>
        <v>2294</v>
      </c>
      <c r="M38" s="3"/>
      <c r="N38" s="7">
        <f t="shared" si="11"/>
        <v>0.71687500000000004</v>
      </c>
      <c r="O38" s="11"/>
      <c r="P38" s="8">
        <v>5494</v>
      </c>
      <c r="Q38" s="3"/>
      <c r="R38" s="7">
        <f t="shared" si="12"/>
        <v>0</v>
      </c>
      <c r="S38" s="3"/>
      <c r="T38" s="8">
        <v>3200</v>
      </c>
      <c r="U38" s="3"/>
      <c r="V38" s="7">
        <f t="shared" si="13"/>
        <v>0</v>
      </c>
      <c r="W38" s="3"/>
      <c r="X38" s="8">
        <f t="shared" si="14"/>
        <v>2294</v>
      </c>
      <c r="Y38" s="3"/>
      <c r="Z38" s="7">
        <f t="shared" si="15"/>
        <v>0.71687500000000004</v>
      </c>
    </row>
    <row r="39" spans="1:26" s="24" customFormat="1" hidden="1" outlineLevel="2" x14ac:dyDescent="0.3">
      <c r="A39" s="29"/>
      <c r="B39" s="11" t="str">
        <f>CONCATENATE("          ", "6008", " - ", "STUDENT HOURLY-FICA EXEMPT")</f>
        <v xml:space="preserve">          6008 - STUDENT HOURLY-FICA EXEMPT</v>
      </c>
      <c r="C39" s="11"/>
      <c r="D39" s="8">
        <v>1771.32</v>
      </c>
      <c r="E39" s="3"/>
      <c r="F39" s="7">
        <f t="shared" si="8"/>
        <v>0</v>
      </c>
      <c r="G39" s="3"/>
      <c r="H39" s="8">
        <v>0</v>
      </c>
      <c r="I39" s="3"/>
      <c r="J39" s="7">
        <f t="shared" si="9"/>
        <v>0</v>
      </c>
      <c r="K39" s="3"/>
      <c r="L39" s="8">
        <f t="shared" si="10"/>
        <v>1771.32</v>
      </c>
      <c r="M39" s="3"/>
      <c r="N39" s="7">
        <f t="shared" si="11"/>
        <v>0</v>
      </c>
      <c r="O39" s="11"/>
      <c r="P39" s="8">
        <v>1771.32</v>
      </c>
      <c r="Q39" s="3"/>
      <c r="R39" s="7">
        <f t="shared" si="12"/>
        <v>0</v>
      </c>
      <c r="S39" s="3"/>
      <c r="T39" s="8">
        <v>0</v>
      </c>
      <c r="U39" s="3"/>
      <c r="V39" s="7">
        <f t="shared" si="13"/>
        <v>0</v>
      </c>
      <c r="W39" s="3"/>
      <c r="X39" s="8">
        <f t="shared" si="14"/>
        <v>1771.32</v>
      </c>
      <c r="Y39" s="3"/>
      <c r="Z39" s="7">
        <f t="shared" si="15"/>
        <v>0</v>
      </c>
    </row>
    <row r="40" spans="1:26" s="24" customFormat="1" hidden="1" outlineLevel="2" x14ac:dyDescent="0.3">
      <c r="A40" s="29"/>
      <c r="B40" s="11" t="str">
        <f>CONCATENATE("          ", "6009", " - ", "TEMPORARY-SEASONAL")</f>
        <v xml:space="preserve">          6009 - TEMPORARY-SEASONAL</v>
      </c>
      <c r="C40" s="11"/>
      <c r="D40" s="8"/>
      <c r="E40" s="3"/>
      <c r="F40" s="7">
        <f t="shared" si="8"/>
        <v>0</v>
      </c>
      <c r="G40" s="3"/>
      <c r="H40" s="8">
        <v>0</v>
      </c>
      <c r="I40" s="3"/>
      <c r="J40" s="7">
        <f t="shared" si="9"/>
        <v>0</v>
      </c>
      <c r="K40" s="3"/>
      <c r="L40" s="8">
        <f t="shared" si="10"/>
        <v>0</v>
      </c>
      <c r="M40" s="3"/>
      <c r="N40" s="7">
        <f t="shared" si="11"/>
        <v>0</v>
      </c>
      <c r="O40" s="11"/>
      <c r="P40" s="8"/>
      <c r="Q40" s="3"/>
      <c r="R40" s="7">
        <f t="shared" si="12"/>
        <v>0</v>
      </c>
      <c r="S40" s="3"/>
      <c r="T40" s="8">
        <v>0</v>
      </c>
      <c r="U40" s="3"/>
      <c r="V40" s="7">
        <f t="shared" si="13"/>
        <v>0</v>
      </c>
      <c r="W40" s="3"/>
      <c r="X40" s="8">
        <f t="shared" si="14"/>
        <v>0</v>
      </c>
      <c r="Y40" s="3"/>
      <c r="Z40" s="7">
        <f t="shared" si="15"/>
        <v>0</v>
      </c>
    </row>
    <row r="41" spans="1:26" s="24" customFormat="1" hidden="1" outlineLevel="2" x14ac:dyDescent="0.3">
      <c r="A41" s="29"/>
      <c r="B41" s="11" t="str">
        <f>CONCATENATE("          ", "6010", " - ", "GRATUITY")</f>
        <v xml:space="preserve">          6010 - GRATUITY</v>
      </c>
      <c r="C41" s="11"/>
      <c r="D41" s="8"/>
      <c r="E41" s="3"/>
      <c r="F41" s="7">
        <f t="shared" si="8"/>
        <v>0</v>
      </c>
      <c r="G41" s="3"/>
      <c r="H41" s="8">
        <v>0</v>
      </c>
      <c r="I41" s="3"/>
      <c r="J41" s="7">
        <f t="shared" si="9"/>
        <v>0</v>
      </c>
      <c r="K41" s="3"/>
      <c r="L41" s="8">
        <f t="shared" si="10"/>
        <v>0</v>
      </c>
      <c r="M41" s="3"/>
      <c r="N41" s="7">
        <f t="shared" si="11"/>
        <v>0</v>
      </c>
      <c r="O41" s="11"/>
      <c r="P41" s="8"/>
      <c r="Q41" s="3"/>
      <c r="R41" s="7">
        <f t="shared" si="12"/>
        <v>0</v>
      </c>
      <c r="S41" s="3"/>
      <c r="T41" s="8">
        <v>0</v>
      </c>
      <c r="U41" s="3"/>
      <c r="V41" s="7">
        <f t="shared" si="13"/>
        <v>0</v>
      </c>
      <c r="W41" s="3"/>
      <c r="X41" s="8">
        <f t="shared" si="14"/>
        <v>0</v>
      </c>
      <c r="Y41" s="3"/>
      <c r="Z41" s="7">
        <f t="shared" si="15"/>
        <v>0</v>
      </c>
    </row>
    <row r="42" spans="1:26" s="27" customFormat="1" outlineLevel="1" collapsed="1" x14ac:dyDescent="0.3">
      <c r="A42" s="28"/>
      <c r="B42" s="14" t="str">
        <f>CONCATENATE("     ","Advertising/Promo                                 ")</f>
        <v xml:space="preserve">     Advertising/Promo                                 </v>
      </c>
      <c r="C42" s="14"/>
      <c r="D42" s="1">
        <f>SUM(OSRRefD22_2x_0)</f>
        <v>173.21</v>
      </c>
      <c r="E42" s="1"/>
      <c r="F42" s="5">
        <f t="shared" ref="F42:F50" si="16">IF(D$12=0,0,D42/D$12)</f>
        <v>0</v>
      </c>
      <c r="G42" s="1"/>
      <c r="H42" s="1">
        <f>SUM(OSRRefH22_2x_0)</f>
        <v>567</v>
      </c>
      <c r="I42" s="1"/>
      <c r="J42" s="5">
        <f t="shared" ref="J42:J50" si="17">IF(H$12=0,0,H42/H$12)</f>
        <v>0</v>
      </c>
      <c r="K42" s="1"/>
      <c r="L42" s="1">
        <f t="shared" ref="L42:L50" si="18">+D42-H42</f>
        <v>-393.78999999999996</v>
      </c>
      <c r="M42" s="1"/>
      <c r="N42" s="5">
        <f t="shared" ref="N42:N50" si="19">IF(H42=0,0,L42/H42)</f>
        <v>-0.69451499118165783</v>
      </c>
      <c r="O42" s="14"/>
      <c r="P42" s="1">
        <f>SUM(OSRRefP22_2x_0)</f>
        <v>173.21</v>
      </c>
      <c r="Q42" s="1"/>
      <c r="R42" s="5">
        <f t="shared" ref="R42:R50" si="20">IF(P$12=0,0,P42/P$12)</f>
        <v>0</v>
      </c>
      <c r="S42" s="1"/>
      <c r="T42" s="1">
        <f>SUM(OSRRefT22_2x_0)</f>
        <v>567</v>
      </c>
      <c r="U42" s="1"/>
      <c r="V42" s="5">
        <f t="shared" ref="V42:V50" si="21">IF(T$12=0,0,T42/T$12)</f>
        <v>0</v>
      </c>
      <c r="W42" s="1"/>
      <c r="X42" s="1">
        <f t="shared" ref="X42:X50" si="22">+P42-T42</f>
        <v>-393.78999999999996</v>
      </c>
      <c r="Y42" s="1"/>
      <c r="Z42" s="5">
        <f t="shared" ref="Z42:Z50" si="23">IF(T42=0,0,X42/T42)</f>
        <v>-0.69451499118165783</v>
      </c>
    </row>
    <row r="43" spans="1:26" s="24" customFormat="1" hidden="1" outlineLevel="2" x14ac:dyDescent="0.3">
      <c r="A43" s="29"/>
      <c r="B43" s="11" t="str">
        <f>CONCATENATE("          ", "6362", " - ", "ADVERTISING EXPENSE")</f>
        <v xml:space="preserve">          6362 - ADVERTISING EXPENSE</v>
      </c>
      <c r="C43" s="11"/>
      <c r="D43" s="8">
        <v>173.21</v>
      </c>
      <c r="E43" s="3"/>
      <c r="F43" s="7">
        <f t="shared" si="16"/>
        <v>0</v>
      </c>
      <c r="G43" s="3"/>
      <c r="H43" s="8">
        <v>567</v>
      </c>
      <c r="I43" s="3"/>
      <c r="J43" s="7">
        <f t="shared" si="17"/>
        <v>0</v>
      </c>
      <c r="K43" s="3"/>
      <c r="L43" s="8">
        <f t="shared" si="18"/>
        <v>-393.78999999999996</v>
      </c>
      <c r="M43" s="3"/>
      <c r="N43" s="7">
        <f t="shared" si="19"/>
        <v>-0.69451499118165783</v>
      </c>
      <c r="O43" s="11"/>
      <c r="P43" s="8">
        <v>173.21</v>
      </c>
      <c r="Q43" s="3"/>
      <c r="R43" s="7">
        <f t="shared" si="20"/>
        <v>0</v>
      </c>
      <c r="S43" s="3"/>
      <c r="T43" s="8">
        <v>567</v>
      </c>
      <c r="U43" s="3"/>
      <c r="V43" s="7">
        <f t="shared" si="21"/>
        <v>0</v>
      </c>
      <c r="W43" s="3"/>
      <c r="X43" s="8">
        <f t="shared" si="22"/>
        <v>-393.78999999999996</v>
      </c>
      <c r="Y43" s="3"/>
      <c r="Z43" s="7">
        <f t="shared" si="23"/>
        <v>-0.69451499118165783</v>
      </c>
    </row>
    <row r="44" spans="1:26" s="27" customFormat="1" outlineLevel="1" collapsed="1" x14ac:dyDescent="0.3">
      <c r="A44" s="28"/>
      <c r="B44" s="14" t="str">
        <f>CONCATENATE("     ","Bank/card Fees                                    ")</f>
        <v xml:space="preserve">     Bank/card Fees                                    </v>
      </c>
      <c r="C44" s="14"/>
      <c r="D44" s="1">
        <f>SUM(OSRRefD22_3x_0)</f>
        <v>2349.86</v>
      </c>
      <c r="E44" s="1"/>
      <c r="F44" s="5">
        <f t="shared" si="16"/>
        <v>0</v>
      </c>
      <c r="G44" s="1"/>
      <c r="H44" s="1">
        <f>SUM(OSRRefH22_3x_0)</f>
        <v>2000</v>
      </c>
      <c r="I44" s="1"/>
      <c r="J44" s="5">
        <f t="shared" si="17"/>
        <v>0</v>
      </c>
      <c r="K44" s="1"/>
      <c r="L44" s="1">
        <f t="shared" si="18"/>
        <v>349.86000000000013</v>
      </c>
      <c r="M44" s="1"/>
      <c r="N44" s="5">
        <f t="shared" si="19"/>
        <v>0.17493000000000006</v>
      </c>
      <c r="O44" s="14"/>
      <c r="P44" s="1">
        <f>SUM(OSRRefP22_3x_0)</f>
        <v>2349.86</v>
      </c>
      <c r="Q44" s="1"/>
      <c r="R44" s="5">
        <f t="shared" si="20"/>
        <v>0</v>
      </c>
      <c r="S44" s="1"/>
      <c r="T44" s="1">
        <f>SUM(OSRRefT22_3x_0)</f>
        <v>2000</v>
      </c>
      <c r="U44" s="1"/>
      <c r="V44" s="5">
        <f t="shared" si="21"/>
        <v>0</v>
      </c>
      <c r="W44" s="1"/>
      <c r="X44" s="1">
        <f t="shared" si="22"/>
        <v>349.86000000000013</v>
      </c>
      <c r="Y44" s="1"/>
      <c r="Z44" s="5">
        <f t="shared" si="23"/>
        <v>0.17493000000000006</v>
      </c>
    </row>
    <row r="45" spans="1:26" s="24" customFormat="1" hidden="1" outlineLevel="2" x14ac:dyDescent="0.3">
      <c r="A45" s="29"/>
      <c r="B45" s="11" t="str">
        <f>CONCATENATE("          ", "6381", " - ", "BANK/CREDIT CARD FEES")</f>
        <v xml:space="preserve">          6381 - BANK/CREDIT CARD FEES</v>
      </c>
      <c r="C45" s="11"/>
      <c r="D45" s="8">
        <v>2349.86</v>
      </c>
      <c r="E45" s="3"/>
      <c r="F45" s="7">
        <f t="shared" si="16"/>
        <v>0</v>
      </c>
      <c r="G45" s="3"/>
      <c r="H45" s="8">
        <v>2000</v>
      </c>
      <c r="I45" s="3"/>
      <c r="J45" s="7">
        <f t="shared" si="17"/>
        <v>0</v>
      </c>
      <c r="K45" s="3"/>
      <c r="L45" s="8">
        <f t="shared" si="18"/>
        <v>349.86000000000013</v>
      </c>
      <c r="M45" s="3"/>
      <c r="N45" s="7">
        <f t="shared" si="19"/>
        <v>0.17493000000000006</v>
      </c>
      <c r="O45" s="11"/>
      <c r="P45" s="8">
        <v>2349.86</v>
      </c>
      <c r="Q45" s="3"/>
      <c r="R45" s="7">
        <f t="shared" si="20"/>
        <v>0</v>
      </c>
      <c r="S45" s="3"/>
      <c r="T45" s="8">
        <v>2000</v>
      </c>
      <c r="U45" s="3"/>
      <c r="V45" s="7">
        <f t="shared" si="21"/>
        <v>0</v>
      </c>
      <c r="W45" s="3"/>
      <c r="X45" s="8">
        <f t="shared" si="22"/>
        <v>349.86000000000013</v>
      </c>
      <c r="Y45" s="3"/>
      <c r="Z45" s="7">
        <f t="shared" si="23"/>
        <v>0.17493000000000006</v>
      </c>
    </row>
    <row r="46" spans="1:26" s="27" customFormat="1" outlineLevel="1" collapsed="1" x14ac:dyDescent="0.3">
      <c r="A46" s="28"/>
      <c r="B46" s="14" t="str">
        <f>CONCATENATE("     ","Board                                             ")</f>
        <v xml:space="preserve">     Board                                             </v>
      </c>
      <c r="C46" s="14"/>
      <c r="D46" s="1">
        <f>SUM(OSRRefD22_4x_0)</f>
        <v>837.74</v>
      </c>
      <c r="E46" s="1"/>
      <c r="F46" s="5">
        <f t="shared" si="16"/>
        <v>0</v>
      </c>
      <c r="G46" s="1"/>
      <c r="H46" s="1">
        <f>SUM(OSRRefH22_4x_0)</f>
        <v>508</v>
      </c>
      <c r="I46" s="1"/>
      <c r="J46" s="5">
        <f t="shared" si="17"/>
        <v>0</v>
      </c>
      <c r="K46" s="1"/>
      <c r="L46" s="1">
        <f t="shared" si="18"/>
        <v>329.74</v>
      </c>
      <c r="M46" s="1"/>
      <c r="N46" s="5">
        <f t="shared" si="19"/>
        <v>0.64909448818897642</v>
      </c>
      <c r="O46" s="14"/>
      <c r="P46" s="1">
        <f>SUM(OSRRefP22_4x_0)</f>
        <v>837.74</v>
      </c>
      <c r="Q46" s="1"/>
      <c r="R46" s="5">
        <f t="shared" si="20"/>
        <v>0</v>
      </c>
      <c r="S46" s="1"/>
      <c r="T46" s="1">
        <f>SUM(OSRRefT22_4x_0)</f>
        <v>508</v>
      </c>
      <c r="U46" s="1"/>
      <c r="V46" s="5">
        <f t="shared" si="21"/>
        <v>0</v>
      </c>
      <c r="W46" s="1"/>
      <c r="X46" s="1">
        <f t="shared" si="22"/>
        <v>329.74</v>
      </c>
      <c r="Y46" s="1"/>
      <c r="Z46" s="5">
        <f t="shared" si="23"/>
        <v>0.64909448818897642</v>
      </c>
    </row>
    <row r="47" spans="1:26" s="24" customFormat="1" hidden="1" outlineLevel="2" x14ac:dyDescent="0.3">
      <c r="A47" s="29"/>
      <c r="B47" s="11" t="str">
        <f>CONCATENATE("          ", "6397", " - ", "BOARD EXPENSES")</f>
        <v xml:space="preserve">          6397 - BOARD EXPENSES</v>
      </c>
      <c r="C47" s="11"/>
      <c r="D47" s="8">
        <v>837.74</v>
      </c>
      <c r="E47" s="3"/>
      <c r="F47" s="7">
        <f t="shared" si="16"/>
        <v>0</v>
      </c>
      <c r="G47" s="3"/>
      <c r="H47" s="8">
        <v>508</v>
      </c>
      <c r="I47" s="3"/>
      <c r="J47" s="7">
        <f t="shared" si="17"/>
        <v>0</v>
      </c>
      <c r="K47" s="3"/>
      <c r="L47" s="8">
        <f t="shared" si="18"/>
        <v>329.74</v>
      </c>
      <c r="M47" s="3"/>
      <c r="N47" s="7">
        <f t="shared" si="19"/>
        <v>0.64909448818897642</v>
      </c>
      <c r="O47" s="11"/>
      <c r="P47" s="8">
        <v>837.74</v>
      </c>
      <c r="Q47" s="3"/>
      <c r="R47" s="7">
        <f t="shared" si="20"/>
        <v>0</v>
      </c>
      <c r="S47" s="3"/>
      <c r="T47" s="8">
        <v>508</v>
      </c>
      <c r="U47" s="3"/>
      <c r="V47" s="7">
        <f t="shared" si="21"/>
        <v>0</v>
      </c>
      <c r="W47" s="3"/>
      <c r="X47" s="8">
        <f t="shared" si="22"/>
        <v>329.74</v>
      </c>
      <c r="Y47" s="3"/>
      <c r="Z47" s="7">
        <f t="shared" si="23"/>
        <v>0.64909448818897642</v>
      </c>
    </row>
    <row r="48" spans="1:26" s="27" customFormat="1" outlineLevel="1" collapsed="1" x14ac:dyDescent="0.3">
      <c r="A48" s="28"/>
      <c r="B48" s="14" t="str">
        <f>CONCATENATE("     ","Depreciation                                      ")</f>
        <v xml:space="preserve">     Depreciation                                      </v>
      </c>
      <c r="C48" s="14"/>
      <c r="D48" s="1">
        <f>SUM(OSRRefD22_5x_0)</f>
        <v>6972.12</v>
      </c>
      <c r="E48" s="1"/>
      <c r="F48" s="5">
        <f t="shared" si="16"/>
        <v>0</v>
      </c>
      <c r="G48" s="1"/>
      <c r="H48" s="1">
        <f>SUM(OSRRefH22_5x_0)</f>
        <v>6930</v>
      </c>
      <c r="I48" s="1"/>
      <c r="J48" s="5">
        <f t="shared" si="17"/>
        <v>0</v>
      </c>
      <c r="K48" s="1"/>
      <c r="L48" s="1">
        <f t="shared" si="18"/>
        <v>42.119999999999891</v>
      </c>
      <c r="M48" s="1"/>
      <c r="N48" s="5">
        <f t="shared" si="19"/>
        <v>6.0779220779220624E-3</v>
      </c>
      <c r="O48" s="14"/>
      <c r="P48" s="1">
        <f>SUM(OSRRefP22_5x_0)</f>
        <v>6972.12</v>
      </c>
      <c r="Q48" s="1"/>
      <c r="R48" s="5">
        <f t="shared" si="20"/>
        <v>0</v>
      </c>
      <c r="S48" s="1"/>
      <c r="T48" s="1">
        <f>SUM(OSRRefT22_5x_0)</f>
        <v>6930</v>
      </c>
      <c r="U48" s="1"/>
      <c r="V48" s="5">
        <f t="shared" si="21"/>
        <v>0</v>
      </c>
      <c r="W48" s="1"/>
      <c r="X48" s="1">
        <f t="shared" si="22"/>
        <v>42.119999999999891</v>
      </c>
      <c r="Y48" s="1"/>
      <c r="Z48" s="5">
        <f t="shared" si="23"/>
        <v>6.0779220779220624E-3</v>
      </c>
    </row>
    <row r="49" spans="1:26" s="24" customFormat="1" hidden="1" outlineLevel="2" x14ac:dyDescent="0.3">
      <c r="A49" s="29"/>
      <c r="B49" s="11" t="str">
        <f>CONCATENATE("          ", "6322", " - ", "EQUIPMENT DEPRECIATION EXPENSE")</f>
        <v xml:space="preserve">          6322 - EQUIPMENT DEPRECIATION EXPENSE</v>
      </c>
      <c r="C49" s="11"/>
      <c r="D49" s="8">
        <v>6972.12</v>
      </c>
      <c r="E49" s="3"/>
      <c r="F49" s="7">
        <f t="shared" si="16"/>
        <v>0</v>
      </c>
      <c r="G49" s="3"/>
      <c r="H49" s="8">
        <v>6430</v>
      </c>
      <c r="I49" s="3"/>
      <c r="J49" s="7">
        <f t="shared" si="17"/>
        <v>0</v>
      </c>
      <c r="K49" s="3"/>
      <c r="L49" s="8">
        <f t="shared" si="18"/>
        <v>542.11999999999989</v>
      </c>
      <c r="M49" s="3"/>
      <c r="N49" s="7">
        <f t="shared" si="19"/>
        <v>8.4311041990668717E-2</v>
      </c>
      <c r="O49" s="11"/>
      <c r="P49" s="8">
        <v>6972.12</v>
      </c>
      <c r="Q49" s="3"/>
      <c r="R49" s="7">
        <f t="shared" si="20"/>
        <v>0</v>
      </c>
      <c r="S49" s="3"/>
      <c r="T49" s="8">
        <v>6430</v>
      </c>
      <c r="U49" s="3"/>
      <c r="V49" s="7">
        <f t="shared" si="21"/>
        <v>0</v>
      </c>
      <c r="W49" s="3"/>
      <c r="X49" s="8">
        <f t="shared" si="22"/>
        <v>542.11999999999989</v>
      </c>
      <c r="Y49" s="3"/>
      <c r="Z49" s="7">
        <f t="shared" si="23"/>
        <v>8.4311041990668717E-2</v>
      </c>
    </row>
    <row r="50" spans="1:26" s="24" customFormat="1" hidden="1" outlineLevel="2" x14ac:dyDescent="0.3">
      <c r="A50" s="29"/>
      <c r="B50" s="11" t="str">
        <f>CONCATENATE("          ", "6324", " - ", "FURNITURE + FIXT DEPRECIATION")</f>
        <v xml:space="preserve">          6324 - FURNITURE + FIXT DEPRECIATION</v>
      </c>
      <c r="C50" s="11"/>
      <c r="D50" s="8"/>
      <c r="E50" s="3"/>
      <c r="F50" s="7">
        <f t="shared" si="16"/>
        <v>0</v>
      </c>
      <c r="G50" s="3"/>
      <c r="H50" s="8">
        <v>500</v>
      </c>
      <c r="I50" s="3"/>
      <c r="J50" s="7">
        <f t="shared" si="17"/>
        <v>0</v>
      </c>
      <c r="K50" s="3"/>
      <c r="L50" s="8">
        <f t="shared" si="18"/>
        <v>-500</v>
      </c>
      <c r="M50" s="3"/>
      <c r="N50" s="7">
        <f t="shared" si="19"/>
        <v>-1</v>
      </c>
      <c r="O50" s="11"/>
      <c r="P50" s="8"/>
      <c r="Q50" s="3"/>
      <c r="R50" s="7">
        <f t="shared" si="20"/>
        <v>0</v>
      </c>
      <c r="S50" s="3"/>
      <c r="T50" s="8">
        <v>500</v>
      </c>
      <c r="U50" s="3"/>
      <c r="V50" s="7">
        <f t="shared" si="21"/>
        <v>0</v>
      </c>
      <c r="W50" s="3"/>
      <c r="X50" s="8">
        <f t="shared" si="22"/>
        <v>-500</v>
      </c>
      <c r="Y50" s="3"/>
      <c r="Z50" s="7">
        <f t="shared" si="23"/>
        <v>-1</v>
      </c>
    </row>
    <row r="51" spans="1:26" s="27" customFormat="1" outlineLevel="1" collapsed="1" x14ac:dyDescent="0.3">
      <c r="A51" s="28"/>
      <c r="B51" s="14" t="str">
        <f>CONCATENATE("     ","Donations                                         ")</f>
        <v xml:space="preserve">     Donations                                         </v>
      </c>
      <c r="C51" s="14"/>
      <c r="D51" s="1">
        <f>SUM(OSRRefD22_6x_0)</f>
        <v>0</v>
      </c>
      <c r="E51" s="1"/>
      <c r="F51" s="5">
        <f t="shared" ref="F51:F67" si="24">IF(D$12=0,0,D51/D$12)</f>
        <v>0</v>
      </c>
      <c r="G51" s="1"/>
      <c r="H51" s="1">
        <f>SUM(OSRRefH22_6x_0)</f>
        <v>1200</v>
      </c>
      <c r="I51" s="1"/>
      <c r="J51" s="5">
        <f t="shared" ref="J51:J67" si="25">IF(H$12=0,0,H51/H$12)</f>
        <v>0</v>
      </c>
      <c r="K51" s="1"/>
      <c r="L51" s="1">
        <f t="shared" ref="L51:L67" si="26">+D51-H51</f>
        <v>-1200</v>
      </c>
      <c r="M51" s="1"/>
      <c r="N51" s="5">
        <f t="shared" ref="N51:N67" si="27">IF(H51=0,0,L51/H51)</f>
        <v>-1</v>
      </c>
      <c r="O51" s="14"/>
      <c r="P51" s="1">
        <f>SUM(OSRRefP22_6x_0)</f>
        <v>0</v>
      </c>
      <c r="Q51" s="1"/>
      <c r="R51" s="5">
        <f t="shared" ref="R51:R67" si="28">IF(P$12=0,0,P51/P$12)</f>
        <v>0</v>
      </c>
      <c r="S51" s="1"/>
      <c r="T51" s="1">
        <f>SUM(OSRRefT22_6x_0)</f>
        <v>1200</v>
      </c>
      <c r="U51" s="1"/>
      <c r="V51" s="5">
        <f t="shared" ref="V51:V67" si="29">IF(T$12=0,0,T51/T$12)</f>
        <v>0</v>
      </c>
      <c r="W51" s="1"/>
      <c r="X51" s="1">
        <f t="shared" ref="X51:X67" si="30">+P51-T51</f>
        <v>-1200</v>
      </c>
      <c r="Y51" s="1"/>
      <c r="Z51" s="5">
        <f t="shared" ref="Z51:Z67" si="31">IF(T51=0,0,X51/T51)</f>
        <v>-1</v>
      </c>
    </row>
    <row r="52" spans="1:26" s="24" customFormat="1" hidden="1" outlineLevel="2" x14ac:dyDescent="0.3">
      <c r="A52" s="29"/>
      <c r="B52" s="11" t="str">
        <f>CONCATENATE("          ", "6399", " - ", "DONATION-ON CAMPUS")</f>
        <v xml:space="preserve">          6399 - DONATION-ON CAMPUS</v>
      </c>
      <c r="C52" s="11"/>
      <c r="D52" s="8"/>
      <c r="E52" s="3"/>
      <c r="F52" s="7">
        <f t="shared" si="24"/>
        <v>0</v>
      </c>
      <c r="G52" s="3"/>
      <c r="H52" s="8">
        <v>1200</v>
      </c>
      <c r="I52" s="3"/>
      <c r="J52" s="7">
        <f t="shared" si="25"/>
        <v>0</v>
      </c>
      <c r="K52" s="3"/>
      <c r="L52" s="8">
        <f t="shared" si="26"/>
        <v>-1200</v>
      </c>
      <c r="M52" s="3"/>
      <c r="N52" s="7">
        <f t="shared" si="27"/>
        <v>-1</v>
      </c>
      <c r="O52" s="11"/>
      <c r="P52" s="8"/>
      <c r="Q52" s="3"/>
      <c r="R52" s="7">
        <f t="shared" si="28"/>
        <v>0</v>
      </c>
      <c r="S52" s="3"/>
      <c r="T52" s="8">
        <v>1200</v>
      </c>
      <c r="U52" s="3"/>
      <c r="V52" s="7">
        <f t="shared" si="29"/>
        <v>0</v>
      </c>
      <c r="W52" s="3"/>
      <c r="X52" s="8">
        <f t="shared" si="30"/>
        <v>-1200</v>
      </c>
      <c r="Y52" s="3"/>
      <c r="Z52" s="7">
        <f t="shared" si="31"/>
        <v>-1</v>
      </c>
    </row>
    <row r="53" spans="1:26" s="27" customFormat="1" outlineLevel="1" collapsed="1" x14ac:dyDescent="0.3">
      <c r="A53" s="28"/>
      <c r="B53" s="14" t="str">
        <f>CONCATENATE("     ","Employees' Appreciation                           ")</f>
        <v xml:space="preserve">     Employees' Appreciation                           </v>
      </c>
      <c r="C53" s="14"/>
      <c r="D53" s="1">
        <f>SUM(OSRRefD22_7x_0)</f>
        <v>0</v>
      </c>
      <c r="E53" s="1"/>
      <c r="F53" s="5">
        <f t="shared" si="24"/>
        <v>0</v>
      </c>
      <c r="G53" s="1"/>
      <c r="H53" s="1">
        <f>SUM(OSRRefH22_7x_0)</f>
        <v>750</v>
      </c>
      <c r="I53" s="1"/>
      <c r="J53" s="5">
        <f t="shared" si="25"/>
        <v>0</v>
      </c>
      <c r="K53" s="1"/>
      <c r="L53" s="1">
        <f t="shared" si="26"/>
        <v>-750</v>
      </c>
      <c r="M53" s="1"/>
      <c r="N53" s="5">
        <f t="shared" si="27"/>
        <v>-1</v>
      </c>
      <c r="O53" s="14"/>
      <c r="P53" s="1">
        <f>SUM(OSRRefP22_7x_0)</f>
        <v>0</v>
      </c>
      <c r="Q53" s="1"/>
      <c r="R53" s="5">
        <f t="shared" si="28"/>
        <v>0</v>
      </c>
      <c r="S53" s="1"/>
      <c r="T53" s="1">
        <f>SUM(OSRRefT22_7x_0)</f>
        <v>750</v>
      </c>
      <c r="U53" s="1"/>
      <c r="V53" s="5">
        <f t="shared" si="29"/>
        <v>0</v>
      </c>
      <c r="W53" s="1"/>
      <c r="X53" s="1">
        <f t="shared" si="30"/>
        <v>-750</v>
      </c>
      <c r="Y53" s="1"/>
      <c r="Z53" s="5">
        <f t="shared" si="31"/>
        <v>-1</v>
      </c>
    </row>
    <row r="54" spans="1:26" s="24" customFormat="1" hidden="1" outlineLevel="2" x14ac:dyDescent="0.3">
      <c r="A54" s="29"/>
      <c r="B54" s="11" t="str">
        <f>CONCATENATE("          ", "6277", " - ", "EMPLOYEE APPRECIATION")</f>
        <v xml:space="preserve">          6277 - EMPLOYEE APPRECIATION</v>
      </c>
      <c r="C54" s="11"/>
      <c r="D54" s="8"/>
      <c r="E54" s="3"/>
      <c r="F54" s="7">
        <f t="shared" si="24"/>
        <v>0</v>
      </c>
      <c r="G54" s="3"/>
      <c r="H54" s="8">
        <v>750</v>
      </c>
      <c r="I54" s="3"/>
      <c r="J54" s="7">
        <f t="shared" si="25"/>
        <v>0</v>
      </c>
      <c r="K54" s="3"/>
      <c r="L54" s="8">
        <f t="shared" si="26"/>
        <v>-750</v>
      </c>
      <c r="M54" s="3"/>
      <c r="N54" s="7">
        <f t="shared" si="27"/>
        <v>-1</v>
      </c>
      <c r="O54" s="11"/>
      <c r="P54" s="8"/>
      <c r="Q54" s="3"/>
      <c r="R54" s="7">
        <f t="shared" si="28"/>
        <v>0</v>
      </c>
      <c r="S54" s="3"/>
      <c r="T54" s="8">
        <v>750</v>
      </c>
      <c r="U54" s="3"/>
      <c r="V54" s="7">
        <f t="shared" si="29"/>
        <v>0</v>
      </c>
      <c r="W54" s="3"/>
      <c r="X54" s="8">
        <f t="shared" si="30"/>
        <v>-750</v>
      </c>
      <c r="Y54" s="3"/>
      <c r="Z54" s="7">
        <f t="shared" si="31"/>
        <v>-1</v>
      </c>
    </row>
    <row r="55" spans="1:26" s="27" customFormat="1" outlineLevel="1" collapsed="1" x14ac:dyDescent="0.3">
      <c r="A55" s="28"/>
      <c r="B55" s="14" t="str">
        <f>CONCATENATE("     ","Equipment Rental                                  ")</f>
        <v xml:space="preserve">     Equipment Rental                                  </v>
      </c>
      <c r="C55" s="14"/>
      <c r="D55" s="1">
        <f>SUM(OSRRefD22_8x_0)</f>
        <v>208.97</v>
      </c>
      <c r="E55" s="1"/>
      <c r="F55" s="5">
        <f t="shared" si="24"/>
        <v>0</v>
      </c>
      <c r="G55" s="1"/>
      <c r="H55" s="1">
        <f>SUM(OSRRefH22_8x_0)</f>
        <v>284</v>
      </c>
      <c r="I55" s="1"/>
      <c r="J55" s="5">
        <f t="shared" si="25"/>
        <v>0</v>
      </c>
      <c r="K55" s="1"/>
      <c r="L55" s="1">
        <f t="shared" si="26"/>
        <v>-75.03</v>
      </c>
      <c r="M55" s="1"/>
      <c r="N55" s="5">
        <f t="shared" si="27"/>
        <v>-0.26419014084507042</v>
      </c>
      <c r="O55" s="14"/>
      <c r="P55" s="1">
        <f>SUM(OSRRefP22_8x_0)</f>
        <v>208.97</v>
      </c>
      <c r="Q55" s="1"/>
      <c r="R55" s="5">
        <f t="shared" si="28"/>
        <v>0</v>
      </c>
      <c r="S55" s="1"/>
      <c r="T55" s="1">
        <f>SUM(OSRRefT22_8x_0)</f>
        <v>284</v>
      </c>
      <c r="U55" s="1"/>
      <c r="V55" s="5">
        <f t="shared" si="29"/>
        <v>0</v>
      </c>
      <c r="W55" s="1"/>
      <c r="X55" s="1">
        <f t="shared" si="30"/>
        <v>-75.03</v>
      </c>
      <c r="Y55" s="1"/>
      <c r="Z55" s="5">
        <f t="shared" si="31"/>
        <v>-0.26419014084507042</v>
      </c>
    </row>
    <row r="56" spans="1:26" s="24" customFormat="1" hidden="1" outlineLevel="2" x14ac:dyDescent="0.3">
      <c r="A56" s="29"/>
      <c r="B56" s="11" t="str">
        <f>CONCATENATE("          ", "6351", " - ", "EQUIPMENT RENTAL")</f>
        <v xml:space="preserve">          6351 - EQUIPMENT RENTAL</v>
      </c>
      <c r="C56" s="11"/>
      <c r="D56" s="8">
        <v>208.97</v>
      </c>
      <c r="E56" s="3"/>
      <c r="F56" s="7">
        <f t="shared" si="24"/>
        <v>0</v>
      </c>
      <c r="G56" s="3"/>
      <c r="H56" s="8">
        <v>284</v>
      </c>
      <c r="I56" s="3"/>
      <c r="J56" s="7">
        <f t="shared" si="25"/>
        <v>0</v>
      </c>
      <c r="K56" s="3"/>
      <c r="L56" s="8">
        <f t="shared" si="26"/>
        <v>-75.03</v>
      </c>
      <c r="M56" s="3"/>
      <c r="N56" s="7">
        <f t="shared" si="27"/>
        <v>-0.26419014084507042</v>
      </c>
      <c r="O56" s="11"/>
      <c r="P56" s="8">
        <v>208.97</v>
      </c>
      <c r="Q56" s="3"/>
      <c r="R56" s="7">
        <f t="shared" si="28"/>
        <v>0</v>
      </c>
      <c r="S56" s="3"/>
      <c r="T56" s="8">
        <v>284</v>
      </c>
      <c r="U56" s="3"/>
      <c r="V56" s="7">
        <f t="shared" si="29"/>
        <v>0</v>
      </c>
      <c r="W56" s="3"/>
      <c r="X56" s="8">
        <f t="shared" si="30"/>
        <v>-75.03</v>
      </c>
      <c r="Y56" s="3"/>
      <c r="Z56" s="7">
        <f t="shared" si="31"/>
        <v>-0.26419014084507042</v>
      </c>
    </row>
    <row r="57" spans="1:26" s="27" customFormat="1" outlineLevel="1" collapsed="1" x14ac:dyDescent="0.3">
      <c r="A57" s="28"/>
      <c r="B57" s="14" t="str">
        <f>CONCATENATE("     ","Freight out/Postage                               ")</f>
        <v xml:space="preserve">     Freight out/Postage                               </v>
      </c>
      <c r="C57" s="14"/>
      <c r="D57" s="1">
        <f>SUM(OSRRefD22_9x_0)</f>
        <v>102.73</v>
      </c>
      <c r="E57" s="1"/>
      <c r="F57" s="5">
        <f t="shared" si="24"/>
        <v>0</v>
      </c>
      <c r="G57" s="1"/>
      <c r="H57" s="1">
        <f>SUM(OSRRefH22_9x_0)</f>
        <v>125</v>
      </c>
      <c r="I57" s="1"/>
      <c r="J57" s="5">
        <f t="shared" si="25"/>
        <v>0</v>
      </c>
      <c r="K57" s="1"/>
      <c r="L57" s="1">
        <f t="shared" si="26"/>
        <v>-22.269999999999996</v>
      </c>
      <c r="M57" s="1"/>
      <c r="N57" s="5">
        <f t="shared" si="27"/>
        <v>-0.17815999999999996</v>
      </c>
      <c r="O57" s="14"/>
      <c r="P57" s="1">
        <f>SUM(OSRRefP22_9x_0)</f>
        <v>102.73</v>
      </c>
      <c r="Q57" s="1"/>
      <c r="R57" s="5">
        <f t="shared" si="28"/>
        <v>0</v>
      </c>
      <c r="S57" s="1"/>
      <c r="T57" s="1">
        <f>SUM(OSRRefT22_9x_0)</f>
        <v>125</v>
      </c>
      <c r="U57" s="1"/>
      <c r="V57" s="5">
        <f t="shared" si="29"/>
        <v>0</v>
      </c>
      <c r="W57" s="1"/>
      <c r="X57" s="1">
        <f t="shared" si="30"/>
        <v>-22.269999999999996</v>
      </c>
      <c r="Y57" s="1"/>
      <c r="Z57" s="5">
        <f t="shared" si="31"/>
        <v>-0.17815999999999996</v>
      </c>
    </row>
    <row r="58" spans="1:26" s="24" customFormat="1" hidden="1" outlineLevel="2" x14ac:dyDescent="0.3">
      <c r="A58" s="29"/>
      <c r="B58" s="11" t="str">
        <f>CONCATENATE("          ", "6307", " - ", "POSTAGE")</f>
        <v xml:space="preserve">          6307 - POSTAGE</v>
      </c>
      <c r="C58" s="11"/>
      <c r="D58" s="8">
        <v>102.73</v>
      </c>
      <c r="E58" s="3"/>
      <c r="F58" s="7">
        <f t="shared" si="24"/>
        <v>0</v>
      </c>
      <c r="G58" s="3"/>
      <c r="H58" s="8">
        <v>125</v>
      </c>
      <c r="I58" s="3"/>
      <c r="J58" s="7">
        <f t="shared" si="25"/>
        <v>0</v>
      </c>
      <c r="K58" s="3"/>
      <c r="L58" s="8">
        <f t="shared" si="26"/>
        <v>-22.269999999999996</v>
      </c>
      <c r="M58" s="3"/>
      <c r="N58" s="7">
        <f t="shared" si="27"/>
        <v>-0.17815999999999996</v>
      </c>
      <c r="O58" s="11"/>
      <c r="P58" s="8">
        <v>102.73</v>
      </c>
      <c r="Q58" s="3"/>
      <c r="R58" s="7">
        <f t="shared" si="28"/>
        <v>0</v>
      </c>
      <c r="S58" s="3"/>
      <c r="T58" s="8">
        <v>125</v>
      </c>
      <c r="U58" s="3"/>
      <c r="V58" s="7">
        <f t="shared" si="29"/>
        <v>0</v>
      </c>
      <c r="W58" s="3"/>
      <c r="X58" s="8">
        <f t="shared" si="30"/>
        <v>-22.269999999999996</v>
      </c>
      <c r="Y58" s="3"/>
      <c r="Z58" s="7">
        <f t="shared" si="31"/>
        <v>-0.17815999999999996</v>
      </c>
    </row>
    <row r="59" spans="1:26" s="27" customFormat="1" outlineLevel="1" collapsed="1" x14ac:dyDescent="0.3">
      <c r="A59" s="28"/>
      <c r="B59" s="14" t="str">
        <f>CONCATENATE("     ","General                                           ")</f>
        <v xml:space="preserve">     General                                           </v>
      </c>
      <c r="C59" s="14"/>
      <c r="D59" s="1">
        <f>SUM(OSRRefD22_10x_0)</f>
        <v>1029.5</v>
      </c>
      <c r="E59" s="1"/>
      <c r="F59" s="5">
        <f t="shared" si="24"/>
        <v>0</v>
      </c>
      <c r="G59" s="1"/>
      <c r="H59" s="1">
        <f>SUM(OSRRefH22_10x_0)</f>
        <v>0</v>
      </c>
      <c r="I59" s="1"/>
      <c r="J59" s="5">
        <f t="shared" si="25"/>
        <v>0</v>
      </c>
      <c r="K59" s="1"/>
      <c r="L59" s="1">
        <f t="shared" si="26"/>
        <v>1029.5</v>
      </c>
      <c r="M59" s="1"/>
      <c r="N59" s="5">
        <f t="shared" si="27"/>
        <v>0</v>
      </c>
      <c r="O59" s="14"/>
      <c r="P59" s="1">
        <f>SUM(OSRRefP22_10x_0)</f>
        <v>1029.5</v>
      </c>
      <c r="Q59" s="1"/>
      <c r="R59" s="5">
        <f t="shared" si="28"/>
        <v>0</v>
      </c>
      <c r="S59" s="1"/>
      <c r="T59" s="1">
        <f>SUM(OSRRefT22_10x_0)</f>
        <v>0</v>
      </c>
      <c r="U59" s="1"/>
      <c r="V59" s="5">
        <f t="shared" si="29"/>
        <v>0</v>
      </c>
      <c r="W59" s="1"/>
      <c r="X59" s="1">
        <f t="shared" si="30"/>
        <v>1029.5</v>
      </c>
      <c r="Y59" s="1"/>
      <c r="Z59" s="5">
        <f t="shared" si="31"/>
        <v>0</v>
      </c>
    </row>
    <row r="60" spans="1:26" s="24" customFormat="1" hidden="1" outlineLevel="2" x14ac:dyDescent="0.3">
      <c r="A60" s="29"/>
      <c r="B60" s="11" t="str">
        <f>CONCATENATE("          ", "6279", " - ", "GENERAL EXPENSE")</f>
        <v xml:space="preserve">          6279 - GENERAL EXPENSE</v>
      </c>
      <c r="C60" s="11"/>
      <c r="D60" s="8">
        <v>1029.5</v>
      </c>
      <c r="E60" s="3"/>
      <c r="F60" s="7">
        <f t="shared" si="24"/>
        <v>0</v>
      </c>
      <c r="G60" s="3"/>
      <c r="H60" s="8">
        <v>0</v>
      </c>
      <c r="I60" s="3"/>
      <c r="J60" s="7">
        <f t="shared" si="25"/>
        <v>0</v>
      </c>
      <c r="K60" s="3"/>
      <c r="L60" s="8">
        <f t="shared" si="26"/>
        <v>1029.5</v>
      </c>
      <c r="M60" s="3"/>
      <c r="N60" s="7">
        <f t="shared" si="27"/>
        <v>0</v>
      </c>
      <c r="O60" s="11"/>
      <c r="P60" s="8">
        <v>1029.5</v>
      </c>
      <c r="Q60" s="3"/>
      <c r="R60" s="7">
        <f t="shared" si="28"/>
        <v>0</v>
      </c>
      <c r="S60" s="3"/>
      <c r="T60" s="8">
        <v>0</v>
      </c>
      <c r="U60" s="3"/>
      <c r="V60" s="7">
        <f t="shared" si="29"/>
        <v>0</v>
      </c>
      <c r="W60" s="3"/>
      <c r="X60" s="8">
        <f t="shared" si="30"/>
        <v>1029.5</v>
      </c>
      <c r="Y60" s="3"/>
      <c r="Z60" s="7">
        <f t="shared" si="31"/>
        <v>0</v>
      </c>
    </row>
    <row r="61" spans="1:26" s="27" customFormat="1" outlineLevel="1" collapsed="1" x14ac:dyDescent="0.3">
      <c r="A61" s="28"/>
      <c r="B61" s="14" t="str">
        <f>CONCATENATE("     ","Insurance                                         ")</f>
        <v xml:space="preserve">     Insurance                                         </v>
      </c>
      <c r="C61" s="14"/>
      <c r="D61" s="1">
        <f>SUM(OSRRefD22_11x_0)</f>
        <v>535.05999999999995</v>
      </c>
      <c r="E61" s="1"/>
      <c r="F61" s="5">
        <f t="shared" si="24"/>
        <v>0</v>
      </c>
      <c r="G61" s="1"/>
      <c r="H61" s="1">
        <f>SUM(OSRRefH22_11x_0)</f>
        <v>530</v>
      </c>
      <c r="I61" s="1"/>
      <c r="J61" s="5">
        <f t="shared" si="25"/>
        <v>0</v>
      </c>
      <c r="K61" s="1"/>
      <c r="L61" s="1">
        <f t="shared" si="26"/>
        <v>5.0599999999999454</v>
      </c>
      <c r="M61" s="1"/>
      <c r="N61" s="5">
        <f t="shared" si="27"/>
        <v>9.5471698113206525E-3</v>
      </c>
      <c r="O61" s="14"/>
      <c r="P61" s="1">
        <f>SUM(OSRRefP22_11x_0)</f>
        <v>535.05999999999995</v>
      </c>
      <c r="Q61" s="1"/>
      <c r="R61" s="5">
        <f t="shared" si="28"/>
        <v>0</v>
      </c>
      <c r="S61" s="1"/>
      <c r="T61" s="1">
        <f>SUM(OSRRefT22_11x_0)</f>
        <v>530</v>
      </c>
      <c r="U61" s="1"/>
      <c r="V61" s="5">
        <f t="shared" si="29"/>
        <v>0</v>
      </c>
      <c r="W61" s="1"/>
      <c r="X61" s="1">
        <f t="shared" si="30"/>
        <v>5.0599999999999454</v>
      </c>
      <c r="Y61" s="1"/>
      <c r="Z61" s="5">
        <f t="shared" si="31"/>
        <v>9.5471698113206525E-3</v>
      </c>
    </row>
    <row r="62" spans="1:26" s="24" customFormat="1" hidden="1" outlineLevel="2" x14ac:dyDescent="0.3">
      <c r="A62" s="29"/>
      <c r="B62" s="11" t="str">
        <f>CONCATENATE("          ", "6314", " - ", "LIABILITY INSURANCE")</f>
        <v xml:space="preserve">          6314 - LIABILITY INSURANCE</v>
      </c>
      <c r="C62" s="11"/>
      <c r="D62" s="8">
        <v>535.05999999999995</v>
      </c>
      <c r="E62" s="3"/>
      <c r="F62" s="7">
        <f t="shared" si="24"/>
        <v>0</v>
      </c>
      <c r="G62" s="3"/>
      <c r="H62" s="8">
        <v>530</v>
      </c>
      <c r="I62" s="3"/>
      <c r="J62" s="7">
        <f t="shared" si="25"/>
        <v>0</v>
      </c>
      <c r="K62" s="3"/>
      <c r="L62" s="8">
        <f t="shared" si="26"/>
        <v>5.0599999999999454</v>
      </c>
      <c r="M62" s="3"/>
      <c r="N62" s="7">
        <f t="shared" si="27"/>
        <v>9.5471698113206525E-3</v>
      </c>
      <c r="O62" s="11"/>
      <c r="P62" s="8">
        <v>535.05999999999995</v>
      </c>
      <c r="Q62" s="3"/>
      <c r="R62" s="7">
        <f t="shared" si="28"/>
        <v>0</v>
      </c>
      <c r="S62" s="3"/>
      <c r="T62" s="8">
        <v>530</v>
      </c>
      <c r="U62" s="3"/>
      <c r="V62" s="7">
        <f t="shared" si="29"/>
        <v>0</v>
      </c>
      <c r="W62" s="3"/>
      <c r="X62" s="8">
        <f t="shared" si="30"/>
        <v>5.0599999999999454</v>
      </c>
      <c r="Y62" s="3"/>
      <c r="Z62" s="7">
        <f t="shared" si="31"/>
        <v>9.5471698113206525E-3</v>
      </c>
    </row>
    <row r="63" spans="1:26" s="27" customFormat="1" outlineLevel="1" collapsed="1" x14ac:dyDescent="0.3">
      <c r="A63" s="28"/>
      <c r="B63" s="14" t="str">
        <f>CONCATENATE("     ","Professional Services                             ")</f>
        <v xml:space="preserve">     Professional Services                             </v>
      </c>
      <c r="C63" s="14"/>
      <c r="D63" s="1">
        <f>SUM(OSRRefD22_12x_0)</f>
        <v>4950</v>
      </c>
      <c r="E63" s="1"/>
      <c r="F63" s="5">
        <f t="shared" si="24"/>
        <v>0</v>
      </c>
      <c r="G63" s="1"/>
      <c r="H63" s="1">
        <f>SUM(OSRRefH22_12x_0)</f>
        <v>17666</v>
      </c>
      <c r="I63" s="1"/>
      <c r="J63" s="5">
        <f t="shared" si="25"/>
        <v>0</v>
      </c>
      <c r="K63" s="1"/>
      <c r="L63" s="1">
        <f t="shared" si="26"/>
        <v>-12716</v>
      </c>
      <c r="M63" s="1"/>
      <c r="N63" s="5">
        <f t="shared" si="27"/>
        <v>-0.71980074719800746</v>
      </c>
      <c r="O63" s="14"/>
      <c r="P63" s="1">
        <f>SUM(OSRRefP22_12x_0)</f>
        <v>4950</v>
      </c>
      <c r="Q63" s="1"/>
      <c r="R63" s="5">
        <f t="shared" si="28"/>
        <v>0</v>
      </c>
      <c r="S63" s="1"/>
      <c r="T63" s="1">
        <f>SUM(OSRRefT22_12x_0)</f>
        <v>17666</v>
      </c>
      <c r="U63" s="1"/>
      <c r="V63" s="5">
        <f t="shared" si="29"/>
        <v>0</v>
      </c>
      <c r="W63" s="1"/>
      <c r="X63" s="1">
        <f t="shared" si="30"/>
        <v>-12716</v>
      </c>
      <c r="Y63" s="1"/>
      <c r="Z63" s="5">
        <f t="shared" si="31"/>
        <v>-0.71980074719800746</v>
      </c>
    </row>
    <row r="64" spans="1:26" s="24" customFormat="1" hidden="1" outlineLevel="2" x14ac:dyDescent="0.3">
      <c r="A64" s="29"/>
      <c r="B64" s="11" t="str">
        <f>CONCATENATE("          ", "6331", " - ", "INDIRECT COSTS-AUXILIARY ORGAN")</f>
        <v xml:space="preserve">          6331 - INDIRECT COSTS-AUXILIARY ORGAN</v>
      </c>
      <c r="C64" s="11"/>
      <c r="D64" s="8"/>
      <c r="E64" s="3"/>
      <c r="F64" s="7">
        <f t="shared" si="24"/>
        <v>0</v>
      </c>
      <c r="G64" s="3"/>
      <c r="H64" s="8">
        <v>13000</v>
      </c>
      <c r="I64" s="3"/>
      <c r="J64" s="7">
        <f t="shared" si="25"/>
        <v>0</v>
      </c>
      <c r="K64" s="3"/>
      <c r="L64" s="8">
        <f t="shared" si="26"/>
        <v>-13000</v>
      </c>
      <c r="M64" s="3"/>
      <c r="N64" s="7">
        <f t="shared" si="27"/>
        <v>-1</v>
      </c>
      <c r="O64" s="11"/>
      <c r="P64" s="8"/>
      <c r="Q64" s="3"/>
      <c r="R64" s="7">
        <f t="shared" si="28"/>
        <v>0</v>
      </c>
      <c r="S64" s="3"/>
      <c r="T64" s="8">
        <v>13000</v>
      </c>
      <c r="U64" s="3"/>
      <c r="V64" s="7">
        <f t="shared" si="29"/>
        <v>0</v>
      </c>
      <c r="W64" s="3"/>
      <c r="X64" s="8">
        <f t="shared" si="30"/>
        <v>-13000</v>
      </c>
      <c r="Y64" s="3"/>
      <c r="Z64" s="7">
        <f t="shared" si="31"/>
        <v>-1</v>
      </c>
    </row>
    <row r="65" spans="1:26" s="24" customFormat="1" hidden="1" outlineLevel="2" x14ac:dyDescent="0.3">
      <c r="A65" s="29"/>
      <c r="B65" s="11" t="str">
        <f>CONCATENATE("          ", "6332", " - ", "CONSULTANT FEES")</f>
        <v xml:space="preserve">          6332 - CONSULTANT FEES</v>
      </c>
      <c r="C65" s="11"/>
      <c r="D65" s="8"/>
      <c r="E65" s="3"/>
      <c r="F65" s="7">
        <f t="shared" si="24"/>
        <v>0</v>
      </c>
      <c r="G65" s="3"/>
      <c r="H65" s="8">
        <v>3000</v>
      </c>
      <c r="I65" s="3"/>
      <c r="J65" s="7">
        <f t="shared" si="25"/>
        <v>0</v>
      </c>
      <c r="K65" s="3"/>
      <c r="L65" s="8">
        <f t="shared" si="26"/>
        <v>-3000</v>
      </c>
      <c r="M65" s="3"/>
      <c r="N65" s="7">
        <f t="shared" si="27"/>
        <v>-1</v>
      </c>
      <c r="O65" s="11"/>
      <c r="P65" s="8"/>
      <c r="Q65" s="3"/>
      <c r="R65" s="7">
        <f t="shared" si="28"/>
        <v>0</v>
      </c>
      <c r="S65" s="3"/>
      <c r="T65" s="8">
        <v>3000</v>
      </c>
      <c r="U65" s="3"/>
      <c r="V65" s="7">
        <f t="shared" si="29"/>
        <v>0</v>
      </c>
      <c r="W65" s="3"/>
      <c r="X65" s="8">
        <f t="shared" si="30"/>
        <v>-3000</v>
      </c>
      <c r="Y65" s="3"/>
      <c r="Z65" s="7">
        <f t="shared" si="31"/>
        <v>-1</v>
      </c>
    </row>
    <row r="66" spans="1:26" s="24" customFormat="1" hidden="1" outlineLevel="2" x14ac:dyDescent="0.3">
      <c r="A66" s="29"/>
      <c r="B66" s="11" t="str">
        <f>CONCATENATE("          ", "6334", " - ", "LEGAL COUNCIL EXPENSE")</f>
        <v xml:space="preserve">          6334 - LEGAL COUNCIL EXPENSE</v>
      </c>
      <c r="C66" s="11"/>
      <c r="D66" s="8">
        <v>3255</v>
      </c>
      <c r="E66" s="3"/>
      <c r="F66" s="7">
        <f t="shared" si="24"/>
        <v>0</v>
      </c>
      <c r="G66" s="3"/>
      <c r="H66" s="8">
        <v>833</v>
      </c>
      <c r="I66" s="3"/>
      <c r="J66" s="7">
        <f t="shared" si="25"/>
        <v>0</v>
      </c>
      <c r="K66" s="3"/>
      <c r="L66" s="8">
        <f t="shared" si="26"/>
        <v>2422</v>
      </c>
      <c r="M66" s="3"/>
      <c r="N66" s="7">
        <f t="shared" si="27"/>
        <v>2.9075630252100839</v>
      </c>
      <c r="O66" s="11"/>
      <c r="P66" s="8">
        <v>3255</v>
      </c>
      <c r="Q66" s="3"/>
      <c r="R66" s="7">
        <f t="shared" si="28"/>
        <v>0</v>
      </c>
      <c r="S66" s="3"/>
      <c r="T66" s="8">
        <v>833</v>
      </c>
      <c r="U66" s="3"/>
      <c r="V66" s="7">
        <f t="shared" si="29"/>
        <v>0</v>
      </c>
      <c r="W66" s="3"/>
      <c r="X66" s="8">
        <f t="shared" si="30"/>
        <v>2422</v>
      </c>
      <c r="Y66" s="3"/>
      <c r="Z66" s="7">
        <f t="shared" si="31"/>
        <v>2.9075630252100839</v>
      </c>
    </row>
    <row r="67" spans="1:26" s="24" customFormat="1" hidden="1" outlineLevel="2" x14ac:dyDescent="0.3">
      <c r="A67" s="29"/>
      <c r="B67" s="11" t="str">
        <f>CONCATENATE("          ", "6336", " - ", "PROFESSIONAL SERVICES")</f>
        <v xml:space="preserve">          6336 - PROFESSIONAL SERVICES</v>
      </c>
      <c r="C67" s="11"/>
      <c r="D67" s="8">
        <v>1695</v>
      </c>
      <c r="E67" s="3"/>
      <c r="F67" s="7">
        <f t="shared" si="24"/>
        <v>0</v>
      </c>
      <c r="G67" s="3"/>
      <c r="H67" s="8">
        <v>833</v>
      </c>
      <c r="I67" s="3"/>
      <c r="J67" s="7">
        <f t="shared" si="25"/>
        <v>0</v>
      </c>
      <c r="K67" s="3"/>
      <c r="L67" s="8">
        <f t="shared" si="26"/>
        <v>862</v>
      </c>
      <c r="M67" s="3"/>
      <c r="N67" s="7">
        <f t="shared" si="27"/>
        <v>1.034813925570228</v>
      </c>
      <c r="O67" s="11"/>
      <c r="P67" s="8">
        <v>1695</v>
      </c>
      <c r="Q67" s="3"/>
      <c r="R67" s="7">
        <f t="shared" si="28"/>
        <v>0</v>
      </c>
      <c r="S67" s="3"/>
      <c r="T67" s="8">
        <v>833</v>
      </c>
      <c r="U67" s="3"/>
      <c r="V67" s="7">
        <f t="shared" si="29"/>
        <v>0</v>
      </c>
      <c r="W67" s="3"/>
      <c r="X67" s="8">
        <f t="shared" si="30"/>
        <v>862</v>
      </c>
      <c r="Y67" s="3"/>
      <c r="Z67" s="7">
        <f t="shared" si="31"/>
        <v>1.034813925570228</v>
      </c>
    </row>
    <row r="68" spans="1:26" s="27" customFormat="1" outlineLevel="1" collapsed="1" x14ac:dyDescent="0.3">
      <c r="A68" s="28"/>
      <c r="B68" s="14" t="str">
        <f>CONCATENATE("     ","Repair and Maintenance                            ")</f>
        <v xml:space="preserve">     Repair and Maintenance                            </v>
      </c>
      <c r="C68" s="14"/>
      <c r="D68" s="1">
        <f>SUM(OSRRefD22_13x_0)</f>
        <v>16734.04</v>
      </c>
      <c r="E68" s="1"/>
      <c r="F68" s="5">
        <f t="shared" ref="F68:F72" si="32">IF(D$12=0,0,D68/D$12)</f>
        <v>0</v>
      </c>
      <c r="G68" s="1"/>
      <c r="H68" s="1">
        <f>SUM(OSRRefH22_13x_0)</f>
        <v>24607</v>
      </c>
      <c r="I68" s="1"/>
      <c r="J68" s="5">
        <f t="shared" ref="J68:J72" si="33">IF(H$12=0,0,H68/H$12)</f>
        <v>0</v>
      </c>
      <c r="K68" s="1"/>
      <c r="L68" s="1">
        <f t="shared" ref="L68:L72" si="34">+D68-H68</f>
        <v>-7872.9599999999991</v>
      </c>
      <c r="M68" s="1"/>
      <c r="N68" s="5">
        <f t="shared" ref="N68:N72" si="35">IF(H68=0,0,L68/H68)</f>
        <v>-0.31994798228146459</v>
      </c>
      <c r="O68" s="14"/>
      <c r="P68" s="1">
        <f>SUM(OSRRefP22_13x_0)</f>
        <v>16734.04</v>
      </c>
      <c r="Q68" s="1"/>
      <c r="R68" s="5">
        <f t="shared" ref="R68:R72" si="36">IF(P$12=0,0,P68/P$12)</f>
        <v>0</v>
      </c>
      <c r="S68" s="1"/>
      <c r="T68" s="1">
        <f>SUM(OSRRefT22_13x_0)</f>
        <v>24607</v>
      </c>
      <c r="U68" s="1"/>
      <c r="V68" s="5">
        <f t="shared" ref="V68:V72" si="37">IF(T$12=0,0,T68/T$12)</f>
        <v>0</v>
      </c>
      <c r="W68" s="1"/>
      <c r="X68" s="1">
        <f t="shared" ref="X68:X72" si="38">+P68-T68</f>
        <v>-7872.9599999999991</v>
      </c>
      <c r="Y68" s="1"/>
      <c r="Z68" s="5">
        <f t="shared" ref="Z68:Z72" si="39">IF(T68=0,0,X68/T68)</f>
        <v>-0.31994798228146459</v>
      </c>
    </row>
    <row r="69" spans="1:26" s="24" customFormat="1" hidden="1" outlineLevel="2" x14ac:dyDescent="0.3">
      <c r="A69" s="29"/>
      <c r="B69" s="11" t="str">
        <f>CONCATENATE("          ", "6371", " - ", "COMPUTER SOFTWARE MAINTENANCE")</f>
        <v xml:space="preserve">          6371 - COMPUTER SOFTWARE MAINTENANCE</v>
      </c>
      <c r="C69" s="11"/>
      <c r="D69" s="8">
        <v>3783.88</v>
      </c>
      <c r="E69" s="3"/>
      <c r="F69" s="7">
        <f t="shared" si="32"/>
        <v>0</v>
      </c>
      <c r="G69" s="3"/>
      <c r="H69" s="8">
        <v>9600</v>
      </c>
      <c r="I69" s="3"/>
      <c r="J69" s="7">
        <f t="shared" si="33"/>
        <v>0</v>
      </c>
      <c r="K69" s="3"/>
      <c r="L69" s="8">
        <f t="shared" si="34"/>
        <v>-5816.12</v>
      </c>
      <c r="M69" s="3"/>
      <c r="N69" s="7">
        <f t="shared" si="35"/>
        <v>-0.60584583333333331</v>
      </c>
      <c r="O69" s="11"/>
      <c r="P69" s="8">
        <v>3783.88</v>
      </c>
      <c r="Q69" s="3"/>
      <c r="R69" s="7">
        <f t="shared" si="36"/>
        <v>0</v>
      </c>
      <c r="S69" s="3"/>
      <c r="T69" s="8">
        <v>9600</v>
      </c>
      <c r="U69" s="3"/>
      <c r="V69" s="7">
        <f t="shared" si="37"/>
        <v>0</v>
      </c>
      <c r="W69" s="3"/>
      <c r="X69" s="8">
        <f t="shared" si="38"/>
        <v>-5816.12</v>
      </c>
      <c r="Y69" s="3"/>
      <c r="Z69" s="7">
        <f t="shared" si="39"/>
        <v>-0.60584583333333331</v>
      </c>
    </row>
    <row r="70" spans="1:26" s="24" customFormat="1" hidden="1" outlineLevel="2" x14ac:dyDescent="0.3">
      <c r="A70" s="29"/>
      <c r="B70" s="11" t="str">
        <f>CONCATENATE("          ", "6372", " - ", "COMPUTER HARDWARE MAINTENANCE")</f>
        <v xml:space="preserve">          6372 - COMPUTER HARDWARE MAINTENANCE</v>
      </c>
      <c r="C70" s="11"/>
      <c r="D70" s="8"/>
      <c r="E70" s="3"/>
      <c r="F70" s="7">
        <f t="shared" si="32"/>
        <v>0</v>
      </c>
      <c r="G70" s="3"/>
      <c r="H70" s="8">
        <v>3000</v>
      </c>
      <c r="I70" s="3"/>
      <c r="J70" s="7">
        <f t="shared" si="33"/>
        <v>0</v>
      </c>
      <c r="K70" s="3"/>
      <c r="L70" s="8">
        <f t="shared" si="34"/>
        <v>-3000</v>
      </c>
      <c r="M70" s="3"/>
      <c r="N70" s="7">
        <f t="shared" si="35"/>
        <v>-1</v>
      </c>
      <c r="O70" s="11"/>
      <c r="P70" s="8"/>
      <c r="Q70" s="3"/>
      <c r="R70" s="7">
        <f t="shared" si="36"/>
        <v>0</v>
      </c>
      <c r="S70" s="3"/>
      <c r="T70" s="8">
        <v>3000</v>
      </c>
      <c r="U70" s="3"/>
      <c r="V70" s="7">
        <f t="shared" si="37"/>
        <v>0</v>
      </c>
      <c r="W70" s="3"/>
      <c r="X70" s="8">
        <f t="shared" si="38"/>
        <v>-3000</v>
      </c>
      <c r="Y70" s="3"/>
      <c r="Z70" s="7">
        <f t="shared" si="39"/>
        <v>-1</v>
      </c>
    </row>
    <row r="71" spans="1:26" s="24" customFormat="1" hidden="1" outlineLevel="2" x14ac:dyDescent="0.3">
      <c r="A71" s="29"/>
      <c r="B71" s="11" t="str">
        <f>CONCATENATE("          ", "6373", " - ", "MAINTENANCE CONTRACTS")</f>
        <v xml:space="preserve">          6373 - MAINTENANCE CONTRACTS</v>
      </c>
      <c r="C71" s="11"/>
      <c r="D71" s="8">
        <v>12950.16</v>
      </c>
      <c r="E71" s="3"/>
      <c r="F71" s="7">
        <f t="shared" si="32"/>
        <v>0</v>
      </c>
      <c r="G71" s="3"/>
      <c r="H71" s="8">
        <v>11857</v>
      </c>
      <c r="I71" s="3"/>
      <c r="J71" s="7">
        <f t="shared" si="33"/>
        <v>0</v>
      </c>
      <c r="K71" s="3"/>
      <c r="L71" s="8">
        <f t="shared" si="34"/>
        <v>1093.1599999999999</v>
      </c>
      <c r="M71" s="3"/>
      <c r="N71" s="7">
        <f t="shared" si="35"/>
        <v>9.2195327654550047E-2</v>
      </c>
      <c r="O71" s="11"/>
      <c r="P71" s="8">
        <v>12950.16</v>
      </c>
      <c r="Q71" s="3"/>
      <c r="R71" s="7">
        <f t="shared" si="36"/>
        <v>0</v>
      </c>
      <c r="S71" s="3"/>
      <c r="T71" s="8">
        <v>11857</v>
      </c>
      <c r="U71" s="3"/>
      <c r="V71" s="7">
        <f t="shared" si="37"/>
        <v>0</v>
      </c>
      <c r="W71" s="3"/>
      <c r="X71" s="8">
        <f t="shared" si="38"/>
        <v>1093.1599999999999</v>
      </c>
      <c r="Y71" s="3"/>
      <c r="Z71" s="7">
        <f t="shared" si="39"/>
        <v>9.2195327654550047E-2</v>
      </c>
    </row>
    <row r="72" spans="1:26" s="24" customFormat="1" hidden="1" outlineLevel="2" x14ac:dyDescent="0.3">
      <c r="A72" s="29"/>
      <c r="B72" s="11" t="str">
        <f>CONCATENATE("          ", "6375", " - ", "OUTSIDE REPAIRS &amp; MAINTENANCE")</f>
        <v xml:space="preserve">          6375 - OUTSIDE REPAIRS &amp; MAINTENANCE</v>
      </c>
      <c r="C72" s="11"/>
      <c r="D72" s="8">
        <v>0</v>
      </c>
      <c r="E72" s="3"/>
      <c r="F72" s="7">
        <f t="shared" si="32"/>
        <v>0</v>
      </c>
      <c r="G72" s="3"/>
      <c r="H72" s="8">
        <v>150</v>
      </c>
      <c r="I72" s="3"/>
      <c r="J72" s="7">
        <f t="shared" si="33"/>
        <v>0</v>
      </c>
      <c r="K72" s="3"/>
      <c r="L72" s="8">
        <f t="shared" si="34"/>
        <v>-150</v>
      </c>
      <c r="M72" s="3"/>
      <c r="N72" s="7">
        <f t="shared" si="35"/>
        <v>-1</v>
      </c>
      <c r="O72" s="11"/>
      <c r="P72" s="8">
        <v>0</v>
      </c>
      <c r="Q72" s="3"/>
      <c r="R72" s="7">
        <f t="shared" si="36"/>
        <v>0</v>
      </c>
      <c r="S72" s="3"/>
      <c r="T72" s="8">
        <v>150</v>
      </c>
      <c r="U72" s="3"/>
      <c r="V72" s="7">
        <f t="shared" si="37"/>
        <v>0</v>
      </c>
      <c r="W72" s="3"/>
      <c r="X72" s="8">
        <f t="shared" si="38"/>
        <v>-150</v>
      </c>
      <c r="Y72" s="3"/>
      <c r="Z72" s="7">
        <f t="shared" si="39"/>
        <v>-1</v>
      </c>
    </row>
    <row r="73" spans="1:26" s="27" customFormat="1" outlineLevel="1" collapsed="1" x14ac:dyDescent="0.3">
      <c r="A73" s="28"/>
      <c r="B73" s="14" t="str">
        <f>CONCATENATE("     ","Services                                          ")</f>
        <v xml:space="preserve">     Services                                          </v>
      </c>
      <c r="C73" s="14"/>
      <c r="D73" s="1">
        <f>SUM(OSRRefD22_14x_0)</f>
        <v>0</v>
      </c>
      <c r="E73" s="1"/>
      <c r="F73" s="5">
        <f t="shared" ref="F73:F75" si="40">IF(D$12=0,0,D73/D$12)</f>
        <v>0</v>
      </c>
      <c r="G73" s="1"/>
      <c r="H73" s="1">
        <f>SUM(OSRRefH22_14x_0)</f>
        <v>650</v>
      </c>
      <c r="I73" s="1"/>
      <c r="J73" s="5">
        <f t="shared" ref="J73:J75" si="41">IF(H$12=0,0,H73/H$12)</f>
        <v>0</v>
      </c>
      <c r="K73" s="1"/>
      <c r="L73" s="1">
        <f t="shared" ref="L73:L75" si="42">+D73-H73</f>
        <v>-650</v>
      </c>
      <c r="M73" s="1"/>
      <c r="N73" s="5">
        <f t="shared" ref="N73:N75" si="43">IF(H73=0,0,L73/H73)</f>
        <v>-1</v>
      </c>
      <c r="O73" s="14"/>
      <c r="P73" s="1">
        <f>SUM(OSRRefP22_14x_0)</f>
        <v>0</v>
      </c>
      <c r="Q73" s="1"/>
      <c r="R73" s="5">
        <f t="shared" ref="R73:R75" si="44">IF(P$12=0,0,P73/P$12)</f>
        <v>0</v>
      </c>
      <c r="S73" s="1"/>
      <c r="T73" s="1">
        <f>SUM(OSRRefT22_14x_0)</f>
        <v>650</v>
      </c>
      <c r="U73" s="1"/>
      <c r="V73" s="5">
        <f t="shared" ref="V73:V75" si="45">IF(T$12=0,0,T73/T$12)</f>
        <v>0</v>
      </c>
      <c r="W73" s="1"/>
      <c r="X73" s="1">
        <f t="shared" ref="X73:X75" si="46">+P73-T73</f>
        <v>-650</v>
      </c>
      <c r="Y73" s="1"/>
      <c r="Z73" s="5">
        <f t="shared" ref="Z73:Z75" si="47">IF(T73=0,0,X73/T73)</f>
        <v>-1</v>
      </c>
    </row>
    <row r="74" spans="1:26" s="24" customFormat="1" hidden="1" outlineLevel="2" x14ac:dyDescent="0.3">
      <c r="A74" s="29"/>
      <c r="B74" s="11" t="str">
        <f>CONCATENATE("          ", "6281", " - ", "STORAGE FEE")</f>
        <v xml:space="preserve">          6281 - STORAGE FEE</v>
      </c>
      <c r="C74" s="11"/>
      <c r="D74" s="8"/>
      <c r="E74" s="3"/>
      <c r="F74" s="7">
        <f t="shared" si="40"/>
        <v>0</v>
      </c>
      <c r="G74" s="3"/>
      <c r="H74" s="8">
        <v>625</v>
      </c>
      <c r="I74" s="3"/>
      <c r="J74" s="7">
        <f t="shared" si="41"/>
        <v>0</v>
      </c>
      <c r="K74" s="3"/>
      <c r="L74" s="8">
        <f t="shared" si="42"/>
        <v>-625</v>
      </c>
      <c r="M74" s="3"/>
      <c r="N74" s="7">
        <f t="shared" si="43"/>
        <v>-1</v>
      </c>
      <c r="O74" s="11"/>
      <c r="P74" s="8"/>
      <c r="Q74" s="3"/>
      <c r="R74" s="7">
        <f t="shared" si="44"/>
        <v>0</v>
      </c>
      <c r="S74" s="3"/>
      <c r="T74" s="8">
        <v>625</v>
      </c>
      <c r="U74" s="3"/>
      <c r="V74" s="7">
        <f t="shared" si="45"/>
        <v>0</v>
      </c>
      <c r="W74" s="3"/>
      <c r="X74" s="8">
        <f t="shared" si="46"/>
        <v>-625</v>
      </c>
      <c r="Y74" s="3"/>
      <c r="Z74" s="7">
        <f t="shared" si="47"/>
        <v>-1</v>
      </c>
    </row>
    <row r="75" spans="1:26" s="24" customFormat="1" hidden="1" outlineLevel="2" x14ac:dyDescent="0.3">
      <c r="A75" s="29"/>
      <c r="B75" s="11" t="str">
        <f>CONCATENATE("          ", "6286", " - ", "LAUNDRY EXPENSE")</f>
        <v xml:space="preserve">          6286 - LAUNDRY EXPENSE</v>
      </c>
      <c r="C75" s="11"/>
      <c r="D75" s="8"/>
      <c r="E75" s="3"/>
      <c r="F75" s="7">
        <f t="shared" si="40"/>
        <v>0</v>
      </c>
      <c r="G75" s="3"/>
      <c r="H75" s="8">
        <v>25</v>
      </c>
      <c r="I75" s="3"/>
      <c r="J75" s="7">
        <f t="shared" si="41"/>
        <v>0</v>
      </c>
      <c r="K75" s="3"/>
      <c r="L75" s="8">
        <f t="shared" si="42"/>
        <v>-25</v>
      </c>
      <c r="M75" s="3"/>
      <c r="N75" s="7">
        <f t="shared" si="43"/>
        <v>-1</v>
      </c>
      <c r="O75" s="11"/>
      <c r="P75" s="8"/>
      <c r="Q75" s="3"/>
      <c r="R75" s="7">
        <f t="shared" si="44"/>
        <v>0</v>
      </c>
      <c r="S75" s="3"/>
      <c r="T75" s="8">
        <v>25</v>
      </c>
      <c r="U75" s="3"/>
      <c r="V75" s="7">
        <f t="shared" si="45"/>
        <v>0</v>
      </c>
      <c r="W75" s="3"/>
      <c r="X75" s="8">
        <f t="shared" si="46"/>
        <v>-25</v>
      </c>
      <c r="Y75" s="3"/>
      <c r="Z75" s="7">
        <f t="shared" si="47"/>
        <v>-1</v>
      </c>
    </row>
    <row r="76" spans="1:26" s="27" customFormat="1" outlineLevel="1" collapsed="1" x14ac:dyDescent="0.3">
      <c r="A76" s="28"/>
      <c r="B76" s="14" t="str">
        <f>CONCATENATE("     ","Subscriptions &amp; Dues                              ")</f>
        <v xml:space="preserve">     Subscriptions &amp; Dues                              </v>
      </c>
      <c r="C76" s="14"/>
      <c r="D76" s="1">
        <f>SUM(OSRRefD22_15x_0)</f>
        <v>219</v>
      </c>
      <c r="E76" s="1"/>
      <c r="F76" s="5">
        <f t="shared" ref="F76:F84" si="48">IF(D$12=0,0,D76/D$12)</f>
        <v>0</v>
      </c>
      <c r="G76" s="1"/>
      <c r="H76" s="1">
        <f>SUM(OSRRefH22_15x_0)</f>
        <v>250</v>
      </c>
      <c r="I76" s="1"/>
      <c r="J76" s="5">
        <f t="shared" ref="J76:J84" si="49">IF(H$12=0,0,H76/H$12)</f>
        <v>0</v>
      </c>
      <c r="K76" s="1"/>
      <c r="L76" s="1">
        <f t="shared" ref="L76:L84" si="50">+D76-H76</f>
        <v>-31</v>
      </c>
      <c r="M76" s="1"/>
      <c r="N76" s="5">
        <f t="shared" ref="N76:N84" si="51">IF(H76=0,0,L76/H76)</f>
        <v>-0.124</v>
      </c>
      <c r="O76" s="14"/>
      <c r="P76" s="1">
        <f>SUM(OSRRefP22_15x_0)</f>
        <v>219</v>
      </c>
      <c r="Q76" s="1"/>
      <c r="R76" s="5">
        <f t="shared" ref="R76:R84" si="52">IF(P$12=0,0,P76/P$12)</f>
        <v>0</v>
      </c>
      <c r="S76" s="1"/>
      <c r="T76" s="1">
        <f>SUM(OSRRefT22_15x_0)</f>
        <v>250</v>
      </c>
      <c r="U76" s="1"/>
      <c r="V76" s="5">
        <f t="shared" ref="V76:V84" si="53">IF(T$12=0,0,T76/T$12)</f>
        <v>0</v>
      </c>
      <c r="W76" s="1"/>
      <c r="X76" s="1">
        <f t="shared" ref="X76:X84" si="54">+P76-T76</f>
        <v>-31</v>
      </c>
      <c r="Y76" s="1"/>
      <c r="Z76" s="5">
        <f t="shared" ref="Z76:Z84" si="55">IF(T76=0,0,X76/T76)</f>
        <v>-0.124</v>
      </c>
    </row>
    <row r="77" spans="1:26" s="24" customFormat="1" hidden="1" outlineLevel="2" x14ac:dyDescent="0.3">
      <c r="A77" s="29"/>
      <c r="B77" s="11" t="str">
        <f>CONCATENATE("          ", "6258", " - ", "MEMBERSHIP DUES")</f>
        <v xml:space="preserve">          6258 - MEMBERSHIP DUES</v>
      </c>
      <c r="C77" s="11"/>
      <c r="D77" s="8">
        <v>219</v>
      </c>
      <c r="E77" s="3"/>
      <c r="F77" s="7">
        <f t="shared" si="48"/>
        <v>0</v>
      </c>
      <c r="G77" s="3"/>
      <c r="H77" s="8">
        <v>250</v>
      </c>
      <c r="I77" s="3"/>
      <c r="J77" s="7">
        <f t="shared" si="49"/>
        <v>0</v>
      </c>
      <c r="K77" s="3"/>
      <c r="L77" s="8">
        <f t="shared" si="50"/>
        <v>-31</v>
      </c>
      <c r="M77" s="3"/>
      <c r="N77" s="7">
        <f t="shared" si="51"/>
        <v>-0.124</v>
      </c>
      <c r="O77" s="11"/>
      <c r="P77" s="8">
        <v>219</v>
      </c>
      <c r="Q77" s="3"/>
      <c r="R77" s="7">
        <f t="shared" si="52"/>
        <v>0</v>
      </c>
      <c r="S77" s="3"/>
      <c r="T77" s="8">
        <v>250</v>
      </c>
      <c r="U77" s="3"/>
      <c r="V77" s="7">
        <f t="shared" si="53"/>
        <v>0</v>
      </c>
      <c r="W77" s="3"/>
      <c r="X77" s="8">
        <f t="shared" si="54"/>
        <v>-31</v>
      </c>
      <c r="Y77" s="3"/>
      <c r="Z77" s="7">
        <f t="shared" si="55"/>
        <v>-0.124</v>
      </c>
    </row>
    <row r="78" spans="1:26" s="27" customFormat="1" outlineLevel="1" collapsed="1" x14ac:dyDescent="0.3">
      <c r="A78" s="28"/>
      <c r="B78" s="14" t="str">
        <f>CONCATENATE("     ","Supplies                                          ")</f>
        <v xml:space="preserve">     Supplies                                          </v>
      </c>
      <c r="C78" s="14"/>
      <c r="D78" s="1">
        <f>SUM(OSRRefD22_16x_0)</f>
        <v>3414.08</v>
      </c>
      <c r="E78" s="1"/>
      <c r="F78" s="5">
        <f t="shared" si="48"/>
        <v>0</v>
      </c>
      <c r="G78" s="1"/>
      <c r="H78" s="1">
        <f>SUM(OSRRefH22_16x_0)</f>
        <v>7784</v>
      </c>
      <c r="I78" s="1"/>
      <c r="J78" s="5">
        <f t="shared" si="49"/>
        <v>0</v>
      </c>
      <c r="K78" s="1"/>
      <c r="L78" s="1">
        <f t="shared" si="50"/>
        <v>-4369.92</v>
      </c>
      <c r="M78" s="1"/>
      <c r="N78" s="5">
        <f t="shared" si="51"/>
        <v>-0.56139773895169576</v>
      </c>
      <c r="O78" s="14"/>
      <c r="P78" s="1">
        <f>SUM(OSRRefP22_16x_0)</f>
        <v>3414.08</v>
      </c>
      <c r="Q78" s="1"/>
      <c r="R78" s="5">
        <f t="shared" si="52"/>
        <v>0</v>
      </c>
      <c r="S78" s="1"/>
      <c r="T78" s="1">
        <f>SUM(OSRRefT22_16x_0)</f>
        <v>7784</v>
      </c>
      <c r="U78" s="1"/>
      <c r="V78" s="5">
        <f t="shared" si="53"/>
        <v>0</v>
      </c>
      <c r="W78" s="1"/>
      <c r="X78" s="1">
        <f t="shared" si="54"/>
        <v>-4369.92</v>
      </c>
      <c r="Y78" s="1"/>
      <c r="Z78" s="5">
        <f t="shared" si="55"/>
        <v>-0.56139773895169576</v>
      </c>
    </row>
    <row r="79" spans="1:26" s="24" customFormat="1" hidden="1" outlineLevel="2" x14ac:dyDescent="0.3">
      <c r="A79" s="29"/>
      <c r="B79" s="11" t="str">
        <f>CONCATENATE("          ", "6234", " - ", "EXPENDABLE SUPPLIES &amp; EQUIPMEN")</f>
        <v xml:space="preserve">          6234 - EXPENDABLE SUPPLIES &amp; EQUIPMEN</v>
      </c>
      <c r="C79" s="11"/>
      <c r="D79" s="8"/>
      <c r="E79" s="3"/>
      <c r="F79" s="7">
        <f t="shared" si="48"/>
        <v>0</v>
      </c>
      <c r="G79" s="3"/>
      <c r="H79" s="8">
        <v>125</v>
      </c>
      <c r="I79" s="3"/>
      <c r="J79" s="7">
        <f t="shared" si="49"/>
        <v>0</v>
      </c>
      <c r="K79" s="3"/>
      <c r="L79" s="8">
        <f t="shared" si="50"/>
        <v>-125</v>
      </c>
      <c r="M79" s="3"/>
      <c r="N79" s="7">
        <f t="shared" si="51"/>
        <v>-1</v>
      </c>
      <c r="O79" s="11"/>
      <c r="P79" s="8"/>
      <c r="Q79" s="3"/>
      <c r="R79" s="7">
        <f t="shared" si="52"/>
        <v>0</v>
      </c>
      <c r="S79" s="3"/>
      <c r="T79" s="8">
        <v>125</v>
      </c>
      <c r="U79" s="3"/>
      <c r="V79" s="7">
        <f t="shared" si="53"/>
        <v>0</v>
      </c>
      <c r="W79" s="3"/>
      <c r="X79" s="8">
        <f t="shared" si="54"/>
        <v>-125</v>
      </c>
      <c r="Y79" s="3"/>
      <c r="Z79" s="7">
        <f t="shared" si="55"/>
        <v>-1</v>
      </c>
    </row>
    <row r="80" spans="1:26" s="24" customFormat="1" hidden="1" outlineLevel="2" x14ac:dyDescent="0.3">
      <c r="A80" s="29"/>
      <c r="B80" s="11" t="str">
        <f>CONCATENATE("          ", "6235", " - ", "COVID-19 EXPENSES")</f>
        <v xml:space="preserve">          6235 - COVID-19 EXPENSES</v>
      </c>
      <c r="C80" s="11"/>
      <c r="D80" s="8">
        <v>2447.77</v>
      </c>
      <c r="E80" s="3"/>
      <c r="F80" s="7">
        <f t="shared" si="48"/>
        <v>0</v>
      </c>
      <c r="G80" s="3"/>
      <c r="H80" s="8"/>
      <c r="I80" s="3"/>
      <c r="J80" s="7">
        <f t="shared" si="49"/>
        <v>0</v>
      </c>
      <c r="K80" s="3"/>
      <c r="L80" s="8">
        <f t="shared" si="50"/>
        <v>2447.77</v>
      </c>
      <c r="M80" s="3"/>
      <c r="N80" s="7">
        <f t="shared" si="51"/>
        <v>0</v>
      </c>
      <c r="O80" s="11"/>
      <c r="P80" s="8">
        <v>2447.77</v>
      </c>
      <c r="Q80" s="3"/>
      <c r="R80" s="7">
        <f t="shared" si="52"/>
        <v>0</v>
      </c>
      <c r="S80" s="3"/>
      <c r="T80" s="8"/>
      <c r="U80" s="3"/>
      <c r="V80" s="7">
        <f t="shared" si="53"/>
        <v>0</v>
      </c>
      <c r="W80" s="3"/>
      <c r="X80" s="8">
        <f t="shared" si="54"/>
        <v>2447.77</v>
      </c>
      <c r="Y80" s="3"/>
      <c r="Z80" s="7">
        <f t="shared" si="55"/>
        <v>0</v>
      </c>
    </row>
    <row r="81" spans="1:26" s="24" customFormat="1" hidden="1" outlineLevel="2" x14ac:dyDescent="0.3">
      <c r="A81" s="29"/>
      <c r="B81" s="11" t="str">
        <f>CONCATENATE("          ", "6241", " - ", "OFFICE EXPENSE")</f>
        <v xml:space="preserve">          6241 - OFFICE EXPENSE</v>
      </c>
      <c r="C81" s="11"/>
      <c r="D81" s="8">
        <v>791.31</v>
      </c>
      <c r="E81" s="3"/>
      <c r="F81" s="7">
        <f t="shared" si="48"/>
        <v>0</v>
      </c>
      <c r="G81" s="3"/>
      <c r="H81" s="8">
        <v>2242</v>
      </c>
      <c r="I81" s="3"/>
      <c r="J81" s="7">
        <f t="shared" si="49"/>
        <v>0</v>
      </c>
      <c r="K81" s="3"/>
      <c r="L81" s="8">
        <f t="shared" si="50"/>
        <v>-1450.69</v>
      </c>
      <c r="M81" s="3"/>
      <c r="N81" s="7">
        <f t="shared" si="51"/>
        <v>-0.64705173951828732</v>
      </c>
      <c r="O81" s="11"/>
      <c r="P81" s="8">
        <v>791.31</v>
      </c>
      <c r="Q81" s="3"/>
      <c r="R81" s="7">
        <f t="shared" si="52"/>
        <v>0</v>
      </c>
      <c r="S81" s="3"/>
      <c r="T81" s="8">
        <v>2242</v>
      </c>
      <c r="U81" s="3"/>
      <c r="V81" s="7">
        <f t="shared" si="53"/>
        <v>0</v>
      </c>
      <c r="W81" s="3"/>
      <c r="X81" s="8">
        <f t="shared" si="54"/>
        <v>-1450.69</v>
      </c>
      <c r="Y81" s="3"/>
      <c r="Z81" s="7">
        <f t="shared" si="55"/>
        <v>-0.64705173951828732</v>
      </c>
    </row>
    <row r="82" spans="1:26" s="24" customFormat="1" hidden="1" outlineLevel="2" x14ac:dyDescent="0.3">
      <c r="A82" s="29"/>
      <c r="B82" s="11" t="str">
        <f>CONCATENATE("          ", "6244", " - ", "SAFETY SUPPLY EXPENSE")</f>
        <v xml:space="preserve">          6244 - SAFETY SUPPLY EXPENSE</v>
      </c>
      <c r="C82" s="11"/>
      <c r="D82" s="8">
        <v>175</v>
      </c>
      <c r="E82" s="3"/>
      <c r="F82" s="7">
        <f t="shared" si="48"/>
        <v>0</v>
      </c>
      <c r="G82" s="3"/>
      <c r="H82" s="8">
        <v>417</v>
      </c>
      <c r="I82" s="3"/>
      <c r="J82" s="7">
        <f t="shared" si="49"/>
        <v>0</v>
      </c>
      <c r="K82" s="3"/>
      <c r="L82" s="8">
        <f t="shared" si="50"/>
        <v>-242</v>
      </c>
      <c r="M82" s="3"/>
      <c r="N82" s="7">
        <f t="shared" si="51"/>
        <v>-0.58033573141486805</v>
      </c>
      <c r="O82" s="11"/>
      <c r="P82" s="8">
        <v>175</v>
      </c>
      <c r="Q82" s="3"/>
      <c r="R82" s="7">
        <f t="shared" si="52"/>
        <v>0</v>
      </c>
      <c r="S82" s="3"/>
      <c r="T82" s="8">
        <v>417</v>
      </c>
      <c r="U82" s="3"/>
      <c r="V82" s="7">
        <f t="shared" si="53"/>
        <v>0</v>
      </c>
      <c r="W82" s="3"/>
      <c r="X82" s="8">
        <f t="shared" si="54"/>
        <v>-242</v>
      </c>
      <c r="Y82" s="3"/>
      <c r="Z82" s="7">
        <f t="shared" si="55"/>
        <v>-0.58033573141486805</v>
      </c>
    </row>
    <row r="83" spans="1:26" s="24" customFormat="1" hidden="1" outlineLevel="2" x14ac:dyDescent="0.3">
      <c r="A83" s="29"/>
      <c r="B83" s="11" t="str">
        <f>CONCATENATE("          ", "6247", " - ", "STORE SUPPLIES")</f>
        <v xml:space="preserve">          6247 - STORE SUPPLIES</v>
      </c>
      <c r="C83" s="11"/>
      <c r="D83" s="8"/>
      <c r="E83" s="3"/>
      <c r="F83" s="7">
        <f t="shared" si="48"/>
        <v>0</v>
      </c>
      <c r="G83" s="3"/>
      <c r="H83" s="8">
        <v>5000</v>
      </c>
      <c r="I83" s="3"/>
      <c r="J83" s="7">
        <f t="shared" si="49"/>
        <v>0</v>
      </c>
      <c r="K83" s="3"/>
      <c r="L83" s="8">
        <f t="shared" si="50"/>
        <v>-5000</v>
      </c>
      <c r="M83" s="3"/>
      <c r="N83" s="7">
        <f t="shared" si="51"/>
        <v>-1</v>
      </c>
      <c r="O83" s="11"/>
      <c r="P83" s="8"/>
      <c r="Q83" s="3"/>
      <c r="R83" s="7">
        <f t="shared" si="52"/>
        <v>0</v>
      </c>
      <c r="S83" s="3"/>
      <c r="T83" s="8">
        <v>5000</v>
      </c>
      <c r="U83" s="3"/>
      <c r="V83" s="7">
        <f t="shared" si="53"/>
        <v>0</v>
      </c>
      <c r="W83" s="3"/>
      <c r="X83" s="8">
        <f t="shared" si="54"/>
        <v>-5000</v>
      </c>
      <c r="Y83" s="3"/>
      <c r="Z83" s="7">
        <f t="shared" si="55"/>
        <v>-1</v>
      </c>
    </row>
    <row r="84" spans="1:26" s="24" customFormat="1" hidden="1" outlineLevel="2" x14ac:dyDescent="0.3">
      <c r="A84" s="29"/>
      <c r="B84" s="11" t="str">
        <f>CONCATENATE("          ", "6248", " - ", "UNIFORMS")</f>
        <v xml:space="preserve">          6248 - UNIFORMS</v>
      </c>
      <c r="C84" s="11"/>
      <c r="D84" s="8">
        <v>0</v>
      </c>
      <c r="E84" s="3"/>
      <c r="F84" s="7">
        <f t="shared" si="48"/>
        <v>0</v>
      </c>
      <c r="G84" s="3"/>
      <c r="H84" s="8"/>
      <c r="I84" s="3"/>
      <c r="J84" s="7">
        <f t="shared" si="49"/>
        <v>0</v>
      </c>
      <c r="K84" s="3"/>
      <c r="L84" s="8">
        <f t="shared" si="50"/>
        <v>0</v>
      </c>
      <c r="M84" s="3"/>
      <c r="N84" s="7">
        <f t="shared" si="51"/>
        <v>0</v>
      </c>
      <c r="O84" s="11"/>
      <c r="P84" s="8">
        <v>0</v>
      </c>
      <c r="Q84" s="3"/>
      <c r="R84" s="7">
        <f t="shared" si="52"/>
        <v>0</v>
      </c>
      <c r="S84" s="3"/>
      <c r="T84" s="8"/>
      <c r="U84" s="3"/>
      <c r="V84" s="7">
        <f t="shared" si="53"/>
        <v>0</v>
      </c>
      <c r="W84" s="3"/>
      <c r="X84" s="8">
        <f t="shared" si="54"/>
        <v>0</v>
      </c>
      <c r="Y84" s="3"/>
      <c r="Z84" s="7">
        <f t="shared" si="55"/>
        <v>0</v>
      </c>
    </row>
    <row r="85" spans="1:26" s="27" customFormat="1" outlineLevel="1" collapsed="1" x14ac:dyDescent="0.3">
      <c r="A85" s="28"/>
      <c r="B85" s="14" t="str">
        <f>CONCATENATE("     ","Telephone/Data Lines                              ")</f>
        <v xml:space="preserve">     Telephone/Data Lines                              </v>
      </c>
      <c r="C85" s="14"/>
      <c r="D85" s="1">
        <f>SUM(OSRRefD22_17x_0)</f>
        <v>2515.34</v>
      </c>
      <c r="E85" s="1"/>
      <c r="F85" s="5">
        <f t="shared" ref="F85:F87" si="56">IF(D$12=0,0,D85/D$12)</f>
        <v>0</v>
      </c>
      <c r="G85" s="1"/>
      <c r="H85" s="1">
        <f>SUM(OSRRefH22_17x_0)</f>
        <v>1805</v>
      </c>
      <c r="I85" s="1"/>
      <c r="J85" s="5">
        <f t="shared" ref="J85:J87" si="57">IF(H$12=0,0,H85/H$12)</f>
        <v>0</v>
      </c>
      <c r="K85" s="1"/>
      <c r="L85" s="1">
        <f t="shared" ref="L85:L87" si="58">+D85-H85</f>
        <v>710.34000000000015</v>
      </c>
      <c r="M85" s="1"/>
      <c r="N85" s="5">
        <f t="shared" ref="N85:N87" si="59">IF(H85=0,0,L85/H85)</f>
        <v>0.39354016620498622</v>
      </c>
      <c r="O85" s="14"/>
      <c r="P85" s="1">
        <f>SUM(OSRRefP22_17x_0)</f>
        <v>2515.34</v>
      </c>
      <c r="Q85" s="1"/>
      <c r="R85" s="5">
        <f t="shared" ref="R85:R87" si="60">IF(P$12=0,0,P85/P$12)</f>
        <v>0</v>
      </c>
      <c r="S85" s="1"/>
      <c r="T85" s="1">
        <f>SUM(OSRRefT22_17x_0)</f>
        <v>1805</v>
      </c>
      <c r="U85" s="1"/>
      <c r="V85" s="5">
        <f t="shared" ref="V85:V87" si="61">IF(T$12=0,0,T85/T$12)</f>
        <v>0</v>
      </c>
      <c r="W85" s="1"/>
      <c r="X85" s="1">
        <f t="shared" ref="X85:X87" si="62">+P85-T85</f>
        <v>710.34000000000015</v>
      </c>
      <c r="Y85" s="1"/>
      <c r="Z85" s="5">
        <f t="shared" ref="Z85:Z87" si="63">IF(T85=0,0,X85/T85)</f>
        <v>0.39354016620498622</v>
      </c>
    </row>
    <row r="86" spans="1:26" s="24" customFormat="1" hidden="1" outlineLevel="2" x14ac:dyDescent="0.3">
      <c r="A86" s="29"/>
      <c r="B86" s="11" t="str">
        <f>CONCATENATE("          ", "6303", " - ", "DATA PHONE LINES")</f>
        <v xml:space="preserve">          6303 - DATA PHONE LINES</v>
      </c>
      <c r="C86" s="11"/>
      <c r="D86" s="8">
        <v>161.97999999999999</v>
      </c>
      <c r="E86" s="3"/>
      <c r="F86" s="7">
        <f t="shared" si="56"/>
        <v>0</v>
      </c>
      <c r="G86" s="3"/>
      <c r="H86" s="8">
        <v>236</v>
      </c>
      <c r="I86" s="3"/>
      <c r="J86" s="7">
        <f t="shared" si="57"/>
        <v>0</v>
      </c>
      <c r="K86" s="3"/>
      <c r="L86" s="8">
        <f t="shared" si="58"/>
        <v>-74.02000000000001</v>
      </c>
      <c r="M86" s="3"/>
      <c r="N86" s="7">
        <f t="shared" si="59"/>
        <v>-0.31364406779661019</v>
      </c>
      <c r="O86" s="11"/>
      <c r="P86" s="8">
        <v>161.97999999999999</v>
      </c>
      <c r="Q86" s="3"/>
      <c r="R86" s="7">
        <f t="shared" si="60"/>
        <v>0</v>
      </c>
      <c r="S86" s="3"/>
      <c r="T86" s="8">
        <v>236</v>
      </c>
      <c r="U86" s="3"/>
      <c r="V86" s="7">
        <f t="shared" si="61"/>
        <v>0</v>
      </c>
      <c r="W86" s="3"/>
      <c r="X86" s="8">
        <f t="shared" si="62"/>
        <v>-74.02000000000001</v>
      </c>
      <c r="Y86" s="3"/>
      <c r="Z86" s="7">
        <f t="shared" si="63"/>
        <v>-0.31364406779661019</v>
      </c>
    </row>
    <row r="87" spans="1:26" s="24" customFormat="1" hidden="1" outlineLevel="2" x14ac:dyDescent="0.3">
      <c r="A87" s="29"/>
      <c r="B87" s="11" t="str">
        <f>CONCATENATE("          ", "6309", " - ", "TELEPHONE")</f>
        <v xml:space="preserve">          6309 - TELEPHONE</v>
      </c>
      <c r="C87" s="11"/>
      <c r="D87" s="8">
        <v>2353.36</v>
      </c>
      <c r="E87" s="3"/>
      <c r="F87" s="7">
        <f t="shared" si="56"/>
        <v>0</v>
      </c>
      <c r="G87" s="3"/>
      <c r="H87" s="8">
        <v>1569</v>
      </c>
      <c r="I87" s="3"/>
      <c r="J87" s="7">
        <f t="shared" si="57"/>
        <v>0</v>
      </c>
      <c r="K87" s="3"/>
      <c r="L87" s="8">
        <f t="shared" si="58"/>
        <v>784.36000000000013</v>
      </c>
      <c r="M87" s="3"/>
      <c r="N87" s="7">
        <f t="shared" si="59"/>
        <v>0.49991077119184202</v>
      </c>
      <c r="O87" s="11"/>
      <c r="P87" s="8">
        <v>2353.36</v>
      </c>
      <c r="Q87" s="3"/>
      <c r="R87" s="7">
        <f t="shared" si="60"/>
        <v>0</v>
      </c>
      <c r="S87" s="3"/>
      <c r="T87" s="8">
        <v>1569</v>
      </c>
      <c r="U87" s="3"/>
      <c r="V87" s="7">
        <f t="shared" si="61"/>
        <v>0</v>
      </c>
      <c r="W87" s="3"/>
      <c r="X87" s="8">
        <f t="shared" si="62"/>
        <v>784.36000000000013</v>
      </c>
      <c r="Y87" s="3"/>
      <c r="Z87" s="7">
        <f t="shared" si="63"/>
        <v>0.49991077119184202</v>
      </c>
    </row>
    <row r="88" spans="1:26" s="27" customFormat="1" outlineLevel="1" collapsed="1" x14ac:dyDescent="0.3">
      <c r="A88" s="28"/>
      <c r="B88" s="14" t="str">
        <f>CONCATENATE("     ","Training                                          ")</f>
        <v xml:space="preserve">     Training                                          </v>
      </c>
      <c r="C88" s="14"/>
      <c r="D88" s="1">
        <f>SUM(OSRRefD22_18x_0)</f>
        <v>0</v>
      </c>
      <c r="E88" s="1"/>
      <c r="F88" s="5">
        <f t="shared" ref="F88:F91" si="64">IF(D$12=0,0,D88/D$12)</f>
        <v>0</v>
      </c>
      <c r="G88" s="1"/>
      <c r="H88" s="1">
        <f>SUM(OSRRefH22_18x_0)</f>
        <v>1333</v>
      </c>
      <c r="I88" s="1"/>
      <c r="J88" s="5">
        <f t="shared" ref="J88:J91" si="65">IF(H$12=0,0,H88/H$12)</f>
        <v>0</v>
      </c>
      <c r="K88" s="1"/>
      <c r="L88" s="1">
        <f t="shared" ref="L88:L91" si="66">+D88-H88</f>
        <v>-1333</v>
      </c>
      <c r="M88" s="1"/>
      <c r="N88" s="5">
        <f t="shared" ref="N88:N91" si="67">IF(H88=0,0,L88/H88)</f>
        <v>-1</v>
      </c>
      <c r="O88" s="14"/>
      <c r="P88" s="1">
        <f>SUM(OSRRefP22_18x_0)</f>
        <v>0</v>
      </c>
      <c r="Q88" s="1"/>
      <c r="R88" s="5">
        <f t="shared" ref="R88:R91" si="68">IF(P$12=0,0,P88/P$12)</f>
        <v>0</v>
      </c>
      <c r="S88" s="1"/>
      <c r="T88" s="1">
        <f>SUM(OSRRefT22_18x_0)</f>
        <v>1333</v>
      </c>
      <c r="U88" s="1"/>
      <c r="V88" s="5">
        <f t="shared" ref="V88:V91" si="69">IF(T$12=0,0,T88/T$12)</f>
        <v>0</v>
      </c>
      <c r="W88" s="1"/>
      <c r="X88" s="1">
        <f t="shared" ref="X88:X91" si="70">+P88-T88</f>
        <v>-1333</v>
      </c>
      <c r="Y88" s="1"/>
      <c r="Z88" s="5">
        <f t="shared" ref="Z88:Z91" si="71">IF(T88=0,0,X88/T88)</f>
        <v>-1</v>
      </c>
    </row>
    <row r="89" spans="1:26" s="24" customFormat="1" hidden="1" outlineLevel="2" x14ac:dyDescent="0.3">
      <c r="A89" s="29"/>
      <c r="B89" s="11" t="str">
        <f>CONCATENATE("          ", "6376", " - ", "TRAINING")</f>
        <v xml:space="preserve">          6376 - TRAINING</v>
      </c>
      <c r="C89" s="11"/>
      <c r="D89" s="8"/>
      <c r="E89" s="3"/>
      <c r="F89" s="7">
        <f t="shared" si="64"/>
        <v>0</v>
      </c>
      <c r="G89" s="3"/>
      <c r="H89" s="8">
        <v>1333</v>
      </c>
      <c r="I89" s="3"/>
      <c r="J89" s="7">
        <f t="shared" si="65"/>
        <v>0</v>
      </c>
      <c r="K89" s="3"/>
      <c r="L89" s="8">
        <f t="shared" si="66"/>
        <v>-1333</v>
      </c>
      <c r="M89" s="3"/>
      <c r="N89" s="7">
        <f t="shared" si="67"/>
        <v>-1</v>
      </c>
      <c r="O89" s="11"/>
      <c r="P89" s="8"/>
      <c r="Q89" s="3"/>
      <c r="R89" s="7">
        <f t="shared" si="68"/>
        <v>0</v>
      </c>
      <c r="S89" s="3"/>
      <c r="T89" s="8">
        <v>1333</v>
      </c>
      <c r="U89" s="3"/>
      <c r="V89" s="7">
        <f t="shared" si="69"/>
        <v>0</v>
      </c>
      <c r="W89" s="3"/>
      <c r="X89" s="8">
        <f t="shared" si="70"/>
        <v>-1333</v>
      </c>
      <c r="Y89" s="3"/>
      <c r="Z89" s="7">
        <f t="shared" si="71"/>
        <v>-1</v>
      </c>
    </row>
    <row r="90" spans="1:26" s="27" customFormat="1" outlineLevel="1" collapsed="1" x14ac:dyDescent="0.3">
      <c r="A90" s="28"/>
      <c r="B90" s="14" t="str">
        <f>CONCATENATE("     ","Travel                                            ")</f>
        <v xml:space="preserve">     Travel                                            </v>
      </c>
      <c r="C90" s="14"/>
      <c r="D90" s="1">
        <f>SUM(OSRRefD22_19x_0)</f>
        <v>17.100000000000001</v>
      </c>
      <c r="E90" s="1"/>
      <c r="F90" s="5">
        <f t="shared" si="64"/>
        <v>0</v>
      </c>
      <c r="G90" s="1"/>
      <c r="H90" s="1">
        <f>SUM(OSRRefH22_19x_0)</f>
        <v>0</v>
      </c>
      <c r="I90" s="1"/>
      <c r="J90" s="5">
        <f t="shared" si="65"/>
        <v>0</v>
      </c>
      <c r="K90" s="1"/>
      <c r="L90" s="1">
        <f t="shared" si="66"/>
        <v>17.100000000000001</v>
      </c>
      <c r="M90" s="1"/>
      <c r="N90" s="5">
        <f t="shared" si="67"/>
        <v>0</v>
      </c>
      <c r="O90" s="14"/>
      <c r="P90" s="1">
        <f>SUM(OSRRefP22_19x_0)</f>
        <v>17.100000000000001</v>
      </c>
      <c r="Q90" s="1"/>
      <c r="R90" s="5">
        <f t="shared" si="68"/>
        <v>0</v>
      </c>
      <c r="S90" s="1"/>
      <c r="T90" s="1">
        <f>SUM(OSRRefT22_19x_0)</f>
        <v>0</v>
      </c>
      <c r="U90" s="1"/>
      <c r="V90" s="5">
        <f t="shared" si="69"/>
        <v>0</v>
      </c>
      <c r="W90" s="1"/>
      <c r="X90" s="1">
        <f t="shared" si="70"/>
        <v>17.100000000000001</v>
      </c>
      <c r="Y90" s="1"/>
      <c r="Z90" s="5">
        <f t="shared" si="71"/>
        <v>0</v>
      </c>
    </row>
    <row r="91" spans="1:26" s="24" customFormat="1" hidden="1" outlineLevel="2" x14ac:dyDescent="0.3">
      <c r="A91" s="29"/>
      <c r="B91" s="11" t="str">
        <f>CONCATENATE("          ", "6294", " - ", "TRAVEL OPERATIONAL")</f>
        <v xml:space="preserve">          6294 - TRAVEL OPERATIONAL</v>
      </c>
      <c r="C91" s="11"/>
      <c r="D91" s="8">
        <v>17.100000000000001</v>
      </c>
      <c r="E91" s="3"/>
      <c r="F91" s="7">
        <f t="shared" si="64"/>
        <v>0</v>
      </c>
      <c r="G91" s="3"/>
      <c r="H91" s="8"/>
      <c r="I91" s="3"/>
      <c r="J91" s="7">
        <f t="shared" si="65"/>
        <v>0</v>
      </c>
      <c r="K91" s="3"/>
      <c r="L91" s="8">
        <f t="shared" si="66"/>
        <v>17.100000000000001</v>
      </c>
      <c r="M91" s="3"/>
      <c r="N91" s="7">
        <f t="shared" si="67"/>
        <v>0</v>
      </c>
      <c r="O91" s="11"/>
      <c r="P91" s="8">
        <v>17.100000000000001</v>
      </c>
      <c r="Q91" s="3"/>
      <c r="R91" s="7">
        <f t="shared" si="68"/>
        <v>0</v>
      </c>
      <c r="S91" s="3"/>
      <c r="T91" s="8"/>
      <c r="U91" s="3"/>
      <c r="V91" s="7">
        <f t="shared" si="69"/>
        <v>0</v>
      </c>
      <c r="W91" s="3"/>
      <c r="X91" s="8">
        <f t="shared" si="70"/>
        <v>17.100000000000001</v>
      </c>
      <c r="Y91" s="3"/>
      <c r="Z91" s="7">
        <f t="shared" si="71"/>
        <v>0</v>
      </c>
    </row>
    <row r="92" spans="1:26" s="62" customFormat="1" x14ac:dyDescent="0.3">
      <c r="A92" s="36"/>
      <c r="B92" s="36"/>
      <c r="C92" s="36"/>
      <c r="D92" s="1"/>
      <c r="E92" s="1"/>
      <c r="F92" s="5"/>
      <c r="G92" s="1"/>
      <c r="H92" s="1"/>
      <c r="I92" s="1"/>
      <c r="J92" s="5"/>
      <c r="K92" s="1"/>
      <c r="L92" s="1"/>
      <c r="M92" s="1"/>
      <c r="N92" s="5"/>
      <c r="O92" s="36"/>
      <c r="P92" s="1"/>
      <c r="Q92" s="1"/>
      <c r="R92" s="5"/>
      <c r="S92" s="1"/>
      <c r="T92" s="1"/>
      <c r="U92" s="1"/>
      <c r="V92" s="5"/>
      <c r="W92" s="1"/>
      <c r="X92" s="1"/>
      <c r="Y92" s="1"/>
      <c r="Z92" s="5"/>
    </row>
    <row r="93" spans="1:26" s="23" customFormat="1" x14ac:dyDescent="0.3">
      <c r="A93" s="10"/>
      <c r="B93" s="25" t="s">
        <v>293</v>
      </c>
      <c r="C93" s="10"/>
      <c r="D93" s="4">
        <f>SUM(0)</f>
        <v>0</v>
      </c>
      <c r="E93" s="4"/>
      <c r="F93" s="12">
        <f>IF(D$12=0,0,D93/D$12)</f>
        <v>0</v>
      </c>
      <c r="G93" s="4"/>
      <c r="H93" s="4">
        <f>SUM(0)</f>
        <v>0</v>
      </c>
      <c r="I93" s="4"/>
      <c r="J93" s="12">
        <f>IF(H$12=0,0,H93/H$12)</f>
        <v>0</v>
      </c>
      <c r="K93" s="4"/>
      <c r="L93" s="4">
        <f>+D93-H93</f>
        <v>0</v>
      </c>
      <c r="M93" s="4"/>
      <c r="N93" s="12">
        <f>IF(H93=0,0,L93/H93)</f>
        <v>0</v>
      </c>
      <c r="O93" s="10"/>
      <c r="P93" s="4">
        <f>SUM(0)</f>
        <v>0</v>
      </c>
      <c r="Q93" s="4"/>
      <c r="R93" s="12">
        <f>IF(P$12=0,0,P93/P$12)</f>
        <v>0</v>
      </c>
      <c r="S93" s="4"/>
      <c r="T93" s="4">
        <f>SUM(0)</f>
        <v>0</v>
      </c>
      <c r="U93" s="4"/>
      <c r="V93" s="12">
        <f>IF(T$12=0,0,T93/T$12)</f>
        <v>0</v>
      </c>
      <c r="W93" s="4"/>
      <c r="X93" s="4">
        <f>+P93-T93</f>
        <v>0</v>
      </c>
      <c r="Y93" s="4"/>
      <c r="Z93" s="12">
        <f>IF(T93=0,0,X93/T93)</f>
        <v>0</v>
      </c>
    </row>
    <row r="94" spans="1:26" x14ac:dyDescent="0.3">
      <c r="A94" s="9"/>
      <c r="B94" s="10"/>
      <c r="C94" s="10"/>
      <c r="D94" s="2"/>
      <c r="E94" s="2"/>
      <c r="F94" s="6"/>
      <c r="G94" s="2"/>
      <c r="H94" s="2"/>
      <c r="I94" s="2"/>
      <c r="J94" s="6"/>
      <c r="K94" s="2"/>
      <c r="L94" s="2"/>
      <c r="M94" s="2"/>
      <c r="N94" s="6"/>
      <c r="O94" s="10"/>
      <c r="P94" s="2"/>
      <c r="Q94" s="2"/>
      <c r="R94" s="6"/>
      <c r="S94" s="2"/>
      <c r="T94" s="2"/>
      <c r="U94" s="2"/>
      <c r="V94" s="6"/>
      <c r="W94" s="2"/>
      <c r="X94" s="2"/>
      <c r="Y94" s="2"/>
      <c r="Z94" s="6"/>
    </row>
    <row r="95" spans="1:26" s="23" customFormat="1" x14ac:dyDescent="0.3">
      <c r="A95" s="10"/>
      <c r="B95" s="26" t="s">
        <v>277</v>
      </c>
      <c r="C95" s="26"/>
      <c r="D95" s="21">
        <f>+D16-D18+D93</f>
        <v>-232914.85999999996</v>
      </c>
      <c r="E95" s="13"/>
      <c r="F95" s="22">
        <f>IF(D$12=0,0,D95/D$12)</f>
        <v>0</v>
      </c>
      <c r="G95" s="13"/>
      <c r="H95" s="21">
        <f>+H16-H18+H93</f>
        <v>-273465.01949979994</v>
      </c>
      <c r="I95" s="13"/>
      <c r="J95" s="22">
        <f>IF(H$12=0,0,H95/H$12)</f>
        <v>0</v>
      </c>
      <c r="K95" s="16"/>
      <c r="L95" s="21">
        <f>+D95-H95</f>
        <v>40550.159499799978</v>
      </c>
      <c r="M95" s="16"/>
      <c r="N95" s="22">
        <f>IF(H95=0,0,L95/H95)</f>
        <v>-0.14828280258283508</v>
      </c>
      <c r="O95" s="25"/>
      <c r="P95" s="21">
        <f>+P16-P18+P93</f>
        <v>-232914.85999999996</v>
      </c>
      <c r="Q95" s="13"/>
      <c r="R95" s="22">
        <f>IF(P$12=0,0,P95/P$12)</f>
        <v>0</v>
      </c>
      <c r="S95" s="13"/>
      <c r="T95" s="21">
        <f>+T16-T18+T93</f>
        <v>-273465.01949979994</v>
      </c>
      <c r="U95" s="13"/>
      <c r="V95" s="22">
        <f>IF(T$12=0,0,T95/T$12)</f>
        <v>0</v>
      </c>
      <c r="W95" s="16"/>
      <c r="X95" s="21">
        <f>+P95-T95</f>
        <v>40550.159499799978</v>
      </c>
      <c r="Y95" s="16"/>
      <c r="Z95" s="22">
        <f>IF(T95=0,0,X95/T95)</f>
        <v>-0.14828280258283508</v>
      </c>
    </row>
    <row r="96" spans="1:26" x14ac:dyDescent="0.3">
      <c r="A96" s="9"/>
      <c r="B96" s="10"/>
      <c r="C96" s="9"/>
      <c r="D96" s="2"/>
      <c r="E96" s="2"/>
      <c r="F96" s="6"/>
      <c r="G96" s="2"/>
      <c r="H96" s="2"/>
      <c r="I96" s="2"/>
      <c r="J96" s="6"/>
      <c r="K96" s="2"/>
      <c r="L96" s="2"/>
      <c r="M96" s="2"/>
      <c r="N96" s="6"/>
      <c r="P96" s="2"/>
      <c r="Q96" s="2"/>
      <c r="R96" s="6"/>
      <c r="S96" s="2"/>
      <c r="T96" s="2"/>
      <c r="U96" s="2"/>
      <c r="V96" s="6"/>
      <c r="W96" s="2"/>
      <c r="X96" s="2"/>
      <c r="Y96" s="2"/>
      <c r="Z96" s="6"/>
    </row>
    <row r="97" spans="1:26" s="23" customFormat="1" x14ac:dyDescent="0.3">
      <c r="A97" s="52"/>
      <c r="B97" s="10" t="s">
        <v>128</v>
      </c>
      <c r="C97" s="10"/>
      <c r="D97" s="4"/>
      <c r="E97" s="4"/>
      <c r="F97" s="12">
        <f>IF(D$12=0,0,D97/D$12)</f>
        <v>0</v>
      </c>
      <c r="G97" s="4"/>
      <c r="H97" s="4"/>
      <c r="I97" s="4"/>
      <c r="J97" s="12">
        <f>IF(H$12=0,0,H97/H$12)</f>
        <v>0</v>
      </c>
      <c r="K97" s="4"/>
      <c r="L97" s="4">
        <f>+D97-H97</f>
        <v>0</v>
      </c>
      <c r="M97" s="4"/>
      <c r="N97" s="12">
        <f>IF(H97=0,0,L97/H97)</f>
        <v>0</v>
      </c>
      <c r="O97" s="10"/>
      <c r="P97" s="4"/>
      <c r="Q97" s="4"/>
      <c r="R97" s="12">
        <f>IF(P$12=0,0,P97/P$12)</f>
        <v>0</v>
      </c>
      <c r="S97" s="4"/>
      <c r="T97" s="4"/>
      <c r="U97" s="4"/>
      <c r="V97" s="12">
        <f>IF(T$12=0,0,T97/T$12)</f>
        <v>0</v>
      </c>
      <c r="W97" s="4"/>
      <c r="X97" s="4">
        <f>+P97-T97</f>
        <v>0</v>
      </c>
      <c r="Y97" s="4"/>
      <c r="Z97" s="12">
        <f>IF(T97=0,0,X97/T97)</f>
        <v>0</v>
      </c>
    </row>
    <row r="98" spans="1:26" x14ac:dyDescent="0.3">
      <c r="A98" s="9"/>
      <c r="B98" s="10"/>
      <c r="C98" s="10"/>
      <c r="D98" s="2"/>
      <c r="E98" s="2"/>
      <c r="F98" s="6"/>
      <c r="G98" s="2"/>
      <c r="H98" s="2"/>
      <c r="I98" s="2"/>
      <c r="J98" s="6"/>
      <c r="K98" s="2"/>
      <c r="L98" s="2"/>
      <c r="M98" s="2"/>
      <c r="N98" s="6"/>
      <c r="O98" s="10"/>
      <c r="P98" s="2"/>
      <c r="Q98" s="2"/>
      <c r="R98" s="6"/>
      <c r="S98" s="2"/>
      <c r="T98" s="2"/>
      <c r="U98" s="2"/>
      <c r="V98" s="6"/>
      <c r="W98" s="2"/>
      <c r="X98" s="2"/>
      <c r="Y98" s="2"/>
      <c r="Z98" s="6"/>
    </row>
    <row r="99" spans="1:26" s="23" customFormat="1" ht="15" thickBot="1" x14ac:dyDescent="0.35">
      <c r="A99" s="10"/>
      <c r="B99" s="26" t="s">
        <v>126</v>
      </c>
      <c r="C99" s="26"/>
      <c r="D99" s="35">
        <f>+D95-D97</f>
        <v>-232914.85999999996</v>
      </c>
      <c r="E99" s="13"/>
      <c r="F99" s="30">
        <f>IF(D$12=0,0,D99/D$12)</f>
        <v>0</v>
      </c>
      <c r="G99" s="13"/>
      <c r="H99" s="35">
        <f>+H95-H97</f>
        <v>-273465.01949979994</v>
      </c>
      <c r="I99" s="13"/>
      <c r="J99" s="30">
        <f>IF(H$12=0,0,H99/H$12)</f>
        <v>0</v>
      </c>
      <c r="K99" s="16"/>
      <c r="L99" s="35">
        <f>D99-H99</f>
        <v>40550.159499799978</v>
      </c>
      <c r="M99" s="16"/>
      <c r="N99" s="30">
        <f>IF(H99=0,0,L99/H99)</f>
        <v>-0.14828280258283508</v>
      </c>
      <c r="O99" s="25"/>
      <c r="P99" s="35">
        <f>+P95-P97</f>
        <v>-232914.85999999996</v>
      </c>
      <c r="Q99" s="13"/>
      <c r="R99" s="30">
        <f>IF(P$12=0,0,P99/P$12)</f>
        <v>0</v>
      </c>
      <c r="S99" s="13"/>
      <c r="T99" s="35">
        <f>+T95-T97</f>
        <v>-273465.01949979994</v>
      </c>
      <c r="U99" s="13"/>
      <c r="V99" s="30">
        <f>IF(T$12=0,0,T99/T$12)</f>
        <v>0</v>
      </c>
      <c r="W99" s="16"/>
      <c r="X99" s="35">
        <f>P99-T99</f>
        <v>40550.159499799978</v>
      </c>
      <c r="Y99" s="16"/>
      <c r="Z99" s="30">
        <f>IF(T99=0,0,X99/T99)</f>
        <v>-0.14828280258283508</v>
      </c>
    </row>
    <row r="100" spans="1:26" ht="15" thickTop="1" x14ac:dyDescent="0.3">
      <c r="A100" s="9"/>
      <c r="B100" s="9"/>
      <c r="C100" s="9"/>
      <c r="D100" s="2"/>
      <c r="E100" s="2"/>
      <c r="F100" s="6"/>
      <c r="G100" s="2"/>
      <c r="H100" s="2"/>
      <c r="I100" s="2"/>
      <c r="J100" s="6"/>
      <c r="K100" s="2"/>
      <c r="L100" s="2"/>
      <c r="M100" s="2"/>
      <c r="N100" s="6"/>
      <c r="P100" s="2"/>
      <c r="Q100" s="2"/>
      <c r="R100" s="6"/>
      <c r="S100" s="2"/>
      <c r="T100" s="2"/>
      <c r="U100" s="2"/>
      <c r="V100" s="6"/>
      <c r="W100" s="2"/>
      <c r="X100" s="2"/>
      <c r="Y100" s="2"/>
      <c r="Z100" s="6"/>
    </row>
    <row r="101" spans="1:26" x14ac:dyDescent="0.3">
      <c r="A101" s="9"/>
      <c r="B101" s="9"/>
      <c r="C101" s="9"/>
      <c r="D101" s="2"/>
      <c r="E101" s="2"/>
      <c r="F101" s="6"/>
      <c r="G101" s="2"/>
      <c r="H101" s="2"/>
      <c r="I101" s="2"/>
      <c r="J101" s="6"/>
      <c r="K101" s="2"/>
      <c r="L101" s="2"/>
      <c r="M101" s="2"/>
      <c r="N101" s="6"/>
      <c r="P101" s="2"/>
      <c r="Q101" s="2"/>
      <c r="R101" s="6"/>
      <c r="S101" s="2"/>
      <c r="T101" s="2"/>
      <c r="U101" s="2"/>
      <c r="V101" s="6"/>
      <c r="W101" s="2"/>
      <c r="X101" s="2"/>
      <c r="Y101" s="2"/>
      <c r="Z101" s="6"/>
    </row>
    <row r="102" spans="1:26" s="23" customFormat="1" ht="15" thickBot="1" x14ac:dyDescent="0.35">
      <c r="A102" s="10"/>
      <c r="B102" s="26" t="s">
        <v>294</v>
      </c>
      <c r="C102" s="26"/>
      <c r="D102" s="33">
        <f>SUM(D99:D101)</f>
        <v>-232914.85999999996</v>
      </c>
      <c r="E102" s="13"/>
      <c r="F102" s="31">
        <f>IF(D$12=0,0,D102/D$12)</f>
        <v>0</v>
      </c>
      <c r="G102" s="13"/>
      <c r="H102" s="33">
        <f>SUM(H99:H101)</f>
        <v>-273465.01949979994</v>
      </c>
      <c r="I102" s="13"/>
      <c r="J102" s="31">
        <f>IF(H$12=0,0,H102/H$12)</f>
        <v>0</v>
      </c>
      <c r="K102" s="16"/>
      <c r="L102" s="33">
        <f>+D102-H102</f>
        <v>40550.159499799978</v>
      </c>
      <c r="M102" s="16"/>
      <c r="N102" s="31">
        <f>IF(H102=0,0,L102/H102)</f>
        <v>-0.14828280258283508</v>
      </c>
      <c r="O102" s="25"/>
      <c r="P102" s="33">
        <f>SUM(P99:P101)</f>
        <v>-232914.85999999996</v>
      </c>
      <c r="Q102" s="13"/>
      <c r="R102" s="31">
        <f>IF(P$12=0,0,P102/P$12)</f>
        <v>0</v>
      </c>
      <c r="S102" s="13"/>
      <c r="T102" s="33">
        <f>SUM(T99:T101)</f>
        <v>-273465.01949979994</v>
      </c>
      <c r="U102" s="13"/>
      <c r="V102" s="31">
        <f>IF(T$12=0,0,T102/T$12)</f>
        <v>0</v>
      </c>
      <c r="W102" s="16"/>
      <c r="X102" s="33">
        <f>+P102-T102</f>
        <v>40550.159499799978</v>
      </c>
      <c r="Y102" s="16"/>
      <c r="Z102" s="31">
        <f>IF(T102=0,0,X102/T102)</f>
        <v>-0.14828280258283508</v>
      </c>
    </row>
    <row r="103" spans="1:26" ht="15" thickTop="1" x14ac:dyDescent="0.3">
      <c r="A103" s="9"/>
      <c r="C103" s="9"/>
      <c r="D103" s="18"/>
      <c r="E103" s="18"/>
      <c r="G103" s="18"/>
      <c r="H103" s="18"/>
      <c r="I103" s="18"/>
      <c r="J103" s="43"/>
      <c r="K103" s="18"/>
      <c r="L103" s="18"/>
      <c r="M103" s="18"/>
      <c r="P103" s="18"/>
      <c r="Q103" s="18"/>
      <c r="R103" s="43"/>
      <c r="S103" s="18"/>
      <c r="T103" s="18"/>
      <c r="U103" s="18"/>
      <c r="V103" s="43"/>
      <c r="W103" s="18"/>
      <c r="X103" s="18"/>
    </row>
    <row r="104" spans="1:26" x14ac:dyDescent="0.3">
      <c r="A104" s="9"/>
      <c r="B104" s="54">
        <v>44462.645460150467</v>
      </c>
      <c r="D104" s="18"/>
      <c r="E104" s="18"/>
      <c r="G104" s="18"/>
      <c r="H104" s="18"/>
      <c r="I104" s="18"/>
      <c r="J104" s="43"/>
      <c r="K104" s="18"/>
      <c r="L104" s="18"/>
      <c r="M104" s="18"/>
      <c r="P104" s="18"/>
      <c r="Q104" s="18"/>
      <c r="R104" s="43"/>
      <c r="S104" s="18"/>
      <c r="T104" s="18"/>
      <c r="U104" s="18"/>
      <c r="V104" s="43"/>
      <c r="W104" s="18"/>
      <c r="X104" s="18"/>
    </row>
    <row r="105" spans="1:26" x14ac:dyDescent="0.3">
      <c r="A105" s="9"/>
      <c r="B105" s="59" t="s">
        <v>56</v>
      </c>
      <c r="D105" s="18"/>
      <c r="E105" s="18"/>
      <c r="G105" s="18"/>
      <c r="H105" s="18"/>
      <c r="I105" s="18"/>
      <c r="J105" s="43"/>
      <c r="K105" s="18"/>
      <c r="L105" s="18"/>
      <c r="M105" s="18"/>
      <c r="P105" s="18"/>
      <c r="Q105" s="18"/>
      <c r="R105" s="43"/>
      <c r="S105" s="18"/>
      <c r="T105" s="18"/>
      <c r="U105" s="18"/>
      <c r="V105" s="43"/>
      <c r="W105" s="18"/>
      <c r="X105" s="18"/>
    </row>
    <row r="106" spans="1:26" x14ac:dyDescent="0.3">
      <c r="A106" s="9"/>
      <c r="B106" s="55"/>
      <c r="D106" s="18"/>
      <c r="E106" s="18"/>
      <c r="G106" s="18"/>
      <c r="H106" s="18"/>
      <c r="I106" s="18"/>
      <c r="J106" s="43"/>
      <c r="K106" s="18"/>
      <c r="L106" s="18"/>
      <c r="M106" s="18"/>
      <c r="P106" s="18"/>
      <c r="Q106" s="18"/>
      <c r="R106" s="43"/>
      <c r="S106" s="18"/>
      <c r="T106" s="18"/>
      <c r="U106" s="18"/>
      <c r="V106" s="43"/>
      <c r="W106" s="18"/>
      <c r="X106" s="18"/>
    </row>
    <row r="107" spans="1:26" x14ac:dyDescent="0.3">
      <c r="D107" s="18"/>
      <c r="E107" s="18"/>
      <c r="G107" s="18"/>
      <c r="H107" s="18"/>
      <c r="I107" s="18"/>
      <c r="J107" s="43"/>
      <c r="K107" s="18"/>
      <c r="L107" s="18"/>
      <c r="M107" s="18"/>
      <c r="P107" s="18"/>
      <c r="Q107" s="18"/>
      <c r="R107" s="43"/>
      <c r="S107" s="18"/>
      <c r="T107" s="18"/>
      <c r="U107" s="18"/>
      <c r="V107" s="43"/>
      <c r="W107" s="18"/>
      <c r="X107" s="18"/>
    </row>
  </sheetData>
  <pageMargins left="0.25" right="0.25" top="0.75" bottom="0.75" header="0.3" footer="0.3"/>
  <pageSetup scale="55" fitToWidth="2" orientation="landscape"/>
  <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>
    <tabColor rgb="FF92D050"/>
    <outlinePr summaryBelow="0" summaryRight="0"/>
  </sheetPr>
  <dimension ref="A2:Z43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50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7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50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7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7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7" customWidth="1" outlineLevel="1"/>
  </cols>
  <sheetData>
    <row r="2" spans="1:26" x14ac:dyDescent="0.3">
      <c r="D2" s="57" t="s">
        <v>23</v>
      </c>
    </row>
    <row r="3" spans="1:26" x14ac:dyDescent="0.3">
      <c r="D3" s="57" t="s">
        <v>237</v>
      </c>
      <c r="E3" s="17"/>
      <c r="F3" s="51"/>
      <c r="G3" s="17"/>
      <c r="H3" s="17"/>
      <c r="I3" s="17"/>
      <c r="J3" s="39"/>
      <c r="K3" s="17"/>
      <c r="L3" s="17"/>
      <c r="M3" s="17"/>
      <c r="N3" s="51"/>
      <c r="O3" s="61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3">
      <c r="D4" s="57" t="str">
        <f>CONCATENATE("Period ",RIGHT(202201,2),", ",2022)</f>
        <v>Period 01, 2022</v>
      </c>
      <c r="E4" s="17"/>
      <c r="F4" s="51"/>
      <c r="G4" s="17"/>
      <c r="H4" s="17"/>
      <c r="I4" s="17"/>
      <c r="J4" s="39"/>
      <c r="K4" s="17"/>
      <c r="L4" s="17"/>
      <c r="M4" s="17"/>
      <c r="N4" s="51"/>
      <c r="O4" s="61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3">
      <c r="A5" s="23"/>
      <c r="D5" s="64">
        <v>44408</v>
      </c>
      <c r="E5" s="17"/>
      <c r="F5" s="51"/>
      <c r="G5" s="17"/>
      <c r="H5" s="17"/>
      <c r="I5" s="17"/>
      <c r="J5" s="39"/>
      <c r="K5" s="17"/>
      <c r="L5" s="17"/>
      <c r="M5" s="17"/>
      <c r="N5" s="51"/>
      <c r="O5" s="61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3">
      <c r="A6" s="23"/>
      <c r="B6" s="47"/>
      <c r="C6" s="47"/>
      <c r="D6" s="23" t="str">
        <f>CONCATENATE("Department ","200", " - ", "Corporate Expense")</f>
        <v>Department 200 - Corporate Expense</v>
      </c>
      <c r="E6" s="17"/>
      <c r="F6" s="51"/>
      <c r="G6" s="17"/>
      <c r="H6" s="17"/>
      <c r="I6" s="17"/>
      <c r="J6" s="39"/>
      <c r="K6" s="17"/>
      <c r="L6" s="17"/>
      <c r="M6" s="17"/>
      <c r="N6" s="51"/>
      <c r="O6" s="60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3">
      <c r="B7" s="63"/>
    </row>
    <row r="8" spans="1:26" x14ac:dyDescent="0.3">
      <c r="B8" s="63"/>
    </row>
    <row r="9" spans="1:26" x14ac:dyDescent="0.3">
      <c r="B9" s="9"/>
      <c r="C9" s="9"/>
      <c r="D9" s="15" t="s">
        <v>292</v>
      </c>
      <c r="E9" s="15"/>
      <c r="F9" s="38"/>
      <c r="G9" s="15"/>
      <c r="H9" s="15"/>
      <c r="I9" s="15"/>
      <c r="J9" s="49"/>
      <c r="K9" s="15"/>
      <c r="L9" s="15"/>
      <c r="M9" s="15"/>
      <c r="N9" s="38"/>
      <c r="P9" s="15" t="s">
        <v>39</v>
      </c>
      <c r="Q9" s="15"/>
      <c r="R9" s="38"/>
      <c r="S9" s="15"/>
      <c r="T9" s="15"/>
      <c r="U9" s="15"/>
      <c r="V9" s="49"/>
      <c r="W9" s="15"/>
      <c r="X9" s="15"/>
      <c r="Y9" s="15"/>
      <c r="Z9" s="38"/>
    </row>
    <row r="10" spans="1:26" x14ac:dyDescent="0.3">
      <c r="A10" s="10"/>
      <c r="B10" s="53"/>
      <c r="C10" s="10"/>
      <c r="D10" s="42" t="s">
        <v>57</v>
      </c>
      <c r="E10" s="34"/>
      <c r="F10" s="40" t="s">
        <v>40</v>
      </c>
      <c r="G10" s="34"/>
      <c r="H10" s="45" t="s">
        <v>238</v>
      </c>
      <c r="I10" s="34"/>
      <c r="J10" s="48" t="s">
        <v>58</v>
      </c>
      <c r="K10" s="10"/>
      <c r="L10" s="42" t="s">
        <v>127</v>
      </c>
      <c r="M10" s="10"/>
      <c r="N10" s="40" t="s">
        <v>258</v>
      </c>
      <c r="O10" s="10"/>
      <c r="P10" s="56" t="s">
        <v>57</v>
      </c>
      <c r="Q10" s="34"/>
      <c r="R10" s="40" t="s">
        <v>40</v>
      </c>
      <c r="S10" s="34"/>
      <c r="T10" s="45" t="s">
        <v>238</v>
      </c>
      <c r="U10" s="34"/>
      <c r="V10" s="48" t="s">
        <v>58</v>
      </c>
      <c r="W10" s="10"/>
      <c r="X10" s="42" t="s">
        <v>127</v>
      </c>
      <c r="Y10" s="10"/>
      <c r="Z10" s="40" t="s">
        <v>258</v>
      </c>
    </row>
    <row r="11" spans="1:26" ht="15.6" x14ac:dyDescent="0.3">
      <c r="A11" s="9"/>
      <c r="B11" s="58"/>
      <c r="C11" s="9"/>
      <c r="D11" s="9"/>
      <c r="E11" s="9"/>
      <c r="F11" s="6"/>
      <c r="G11" s="9"/>
      <c r="H11" s="9"/>
      <c r="I11" s="9"/>
      <c r="J11" s="46"/>
      <c r="K11" s="9"/>
      <c r="L11" s="9"/>
      <c r="M11" s="9"/>
      <c r="N11" s="6"/>
      <c r="P11" s="9"/>
      <c r="Q11" s="9"/>
      <c r="R11" s="6"/>
      <c r="S11" s="9"/>
      <c r="T11" s="9"/>
      <c r="U11" s="9"/>
      <c r="V11" s="46"/>
      <c r="W11" s="9"/>
      <c r="X11" s="9"/>
      <c r="Y11" s="9"/>
      <c r="Z11" s="6"/>
    </row>
    <row r="12" spans="1:26" s="23" customFormat="1" x14ac:dyDescent="0.3">
      <c r="A12" s="10"/>
      <c r="B12" s="25" t="s">
        <v>140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3">
      <c r="A13" s="9"/>
      <c r="B13" s="10"/>
      <c r="C13" s="9"/>
      <c r="D13" s="2"/>
      <c r="E13" s="2"/>
      <c r="F13" s="6"/>
      <c r="G13" s="2"/>
      <c r="H13" s="2"/>
      <c r="I13" s="2"/>
      <c r="J13" s="6"/>
      <c r="K13" s="2"/>
      <c r="L13" s="2"/>
      <c r="M13" s="2"/>
      <c r="N13" s="6"/>
      <c r="P13" s="2"/>
      <c r="Q13" s="2"/>
      <c r="R13" s="6"/>
      <c r="S13" s="2"/>
      <c r="T13" s="2"/>
      <c r="U13" s="2"/>
      <c r="V13" s="6"/>
      <c r="W13" s="2"/>
      <c r="X13" s="2"/>
      <c r="Y13" s="2"/>
      <c r="Z13" s="6"/>
    </row>
    <row r="14" spans="1:26" s="23" customFormat="1" x14ac:dyDescent="0.3">
      <c r="A14" s="10"/>
      <c r="B14" s="25" t="s">
        <v>257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3">
      <c r="A15" s="9"/>
      <c r="B15" s="10"/>
      <c r="C15" s="10"/>
      <c r="D15" s="2"/>
      <c r="E15" s="2"/>
      <c r="F15" s="6"/>
      <c r="G15" s="2"/>
      <c r="H15" s="2"/>
      <c r="I15" s="2"/>
      <c r="J15" s="6"/>
      <c r="K15" s="2"/>
      <c r="L15" s="2"/>
      <c r="M15" s="2"/>
      <c r="N15" s="6"/>
      <c r="O15" s="10"/>
      <c r="P15" s="2"/>
      <c r="Q15" s="2"/>
      <c r="R15" s="6"/>
      <c r="S15" s="2"/>
      <c r="T15" s="2"/>
      <c r="U15" s="2"/>
      <c r="V15" s="6"/>
      <c r="W15" s="2"/>
      <c r="X15" s="2"/>
      <c r="Y15" s="2"/>
      <c r="Z15" s="6"/>
    </row>
    <row r="16" spans="1:26" s="23" customFormat="1" x14ac:dyDescent="0.3">
      <c r="A16" s="10"/>
      <c r="B16" s="26" t="s">
        <v>108</v>
      </c>
      <c r="C16" s="26"/>
      <c r="D16" s="21">
        <f>D12-D14</f>
        <v>0</v>
      </c>
      <c r="E16" s="13"/>
      <c r="F16" s="22">
        <f>IF(D$12=0,0,D16/D$12)</f>
        <v>0</v>
      </c>
      <c r="G16" s="13"/>
      <c r="H16" s="21">
        <f>H12-H14</f>
        <v>0</v>
      </c>
      <c r="I16" s="13"/>
      <c r="J16" s="22">
        <f>IF(H$12=0,0,H16/H$12)</f>
        <v>0</v>
      </c>
      <c r="K16" s="16"/>
      <c r="L16" s="21">
        <f>+D16-H16</f>
        <v>0</v>
      </c>
      <c r="M16" s="16"/>
      <c r="N16" s="22">
        <f>IF(H16=0,0,L16/H16)</f>
        <v>0</v>
      </c>
      <c r="O16" s="25"/>
      <c r="P16" s="21">
        <f>P12-P14</f>
        <v>0</v>
      </c>
      <c r="Q16" s="13"/>
      <c r="R16" s="22">
        <f>IF(P$12=0,0,P16/P$12)</f>
        <v>0</v>
      </c>
      <c r="S16" s="13"/>
      <c r="T16" s="21">
        <f>T12-T14</f>
        <v>0</v>
      </c>
      <c r="U16" s="13"/>
      <c r="V16" s="22">
        <f>IF(T$12=0,0,T16/T$12)</f>
        <v>0</v>
      </c>
      <c r="W16" s="16"/>
      <c r="X16" s="21">
        <f>+P16-T16</f>
        <v>0</v>
      </c>
      <c r="Y16" s="16"/>
      <c r="Z16" s="22">
        <f>IF(T16=0,0,X16/T16)</f>
        <v>0</v>
      </c>
    </row>
    <row r="17" spans="1:26" x14ac:dyDescent="0.3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3">
      <c r="A18" s="10"/>
      <c r="B18" s="25" t="s">
        <v>295</v>
      </c>
      <c r="C18" s="10"/>
      <c r="D18" s="20">
        <f>SUM(OSRRefD22x_0)</f>
        <v>30323.660000000003</v>
      </c>
      <c r="E18" s="20"/>
      <c r="F18" s="32">
        <f t="shared" ref="F18:F27" si="0">IF(D$12=0,0,D18/D$12)</f>
        <v>0</v>
      </c>
      <c r="G18" s="20"/>
      <c r="H18" s="20">
        <f>SUM(OSRRefH22x_0)</f>
        <v>53508</v>
      </c>
      <c r="I18" s="20"/>
      <c r="J18" s="32">
        <f t="shared" ref="J18:J27" si="1">IF(H$12=0,0,H18/H$12)</f>
        <v>0</v>
      </c>
      <c r="K18" s="4"/>
      <c r="L18" s="20">
        <f t="shared" ref="L18:L27" si="2">+D18-H18</f>
        <v>-23184.339999999997</v>
      </c>
      <c r="M18" s="4"/>
      <c r="N18" s="32">
        <f t="shared" ref="N18:N27" si="3">IF(H18=0,0,L18/H18)</f>
        <v>-0.43328735889960374</v>
      </c>
      <c r="O18" s="10"/>
      <c r="P18" s="20">
        <f>SUM(OSRRefP22x_0)</f>
        <v>30323.660000000003</v>
      </c>
      <c r="Q18" s="20"/>
      <c r="R18" s="32">
        <f t="shared" ref="R18:R27" si="4">IF(P$12=0,0,P18/P$12)</f>
        <v>0</v>
      </c>
      <c r="S18" s="20"/>
      <c r="T18" s="20">
        <f>SUM(OSRRefT22x_0)</f>
        <v>53508</v>
      </c>
      <c r="U18" s="20"/>
      <c r="V18" s="32">
        <f t="shared" ref="V18:V27" si="5">IF(T$12=0,0,T18/T$12)</f>
        <v>0</v>
      </c>
      <c r="W18" s="4"/>
      <c r="X18" s="20">
        <f t="shared" ref="X18:X27" si="6">+P18-T18</f>
        <v>-23184.339999999997</v>
      </c>
      <c r="Y18" s="4"/>
      <c r="Z18" s="32">
        <f t="shared" ref="Z18:Z27" si="7">IF(T18=0,0,X18/T18)</f>
        <v>-0.43328735889960374</v>
      </c>
    </row>
    <row r="19" spans="1:26" s="27" customFormat="1" outlineLevel="1" collapsed="1" x14ac:dyDescent="0.3">
      <c r="A19" s="28"/>
      <c r="B19" s="14" t="str">
        <f>CONCATENATE("     ","*Benefits                                         ")</f>
        <v xml:space="preserve">     *Benefits                                         </v>
      </c>
      <c r="C19" s="14"/>
      <c r="D19" s="1">
        <f>SUM(OSRRefD22_0x_0)</f>
        <v>27136.06</v>
      </c>
      <c r="E19" s="1"/>
      <c r="F19" s="5">
        <f t="shared" si="0"/>
        <v>0</v>
      </c>
      <c r="G19" s="1"/>
      <c r="H19" s="1">
        <f>SUM(OSRRefH22_0x_0)</f>
        <v>35000</v>
      </c>
      <c r="I19" s="1"/>
      <c r="J19" s="5">
        <f t="shared" si="1"/>
        <v>0</v>
      </c>
      <c r="K19" s="1"/>
      <c r="L19" s="1">
        <f t="shared" si="2"/>
        <v>-7863.9399999999987</v>
      </c>
      <c r="M19" s="1"/>
      <c r="N19" s="5">
        <f t="shared" si="3"/>
        <v>-0.22468399999999997</v>
      </c>
      <c r="O19" s="14"/>
      <c r="P19" s="1">
        <f>SUM(OSRRefP22_0x_0)</f>
        <v>27136.06</v>
      </c>
      <c r="Q19" s="1"/>
      <c r="R19" s="5">
        <f t="shared" si="4"/>
        <v>0</v>
      </c>
      <c r="S19" s="1"/>
      <c r="T19" s="1">
        <f>SUM(OSRRefT22_0x_0)</f>
        <v>35000</v>
      </c>
      <c r="U19" s="1"/>
      <c r="V19" s="5">
        <f t="shared" si="5"/>
        <v>0</v>
      </c>
      <c r="W19" s="1"/>
      <c r="X19" s="1">
        <f t="shared" si="6"/>
        <v>-7863.9399999999987</v>
      </c>
      <c r="Y19" s="1"/>
      <c r="Z19" s="5">
        <f t="shared" si="7"/>
        <v>-0.22468399999999997</v>
      </c>
    </row>
    <row r="20" spans="1:26" s="24" customFormat="1" hidden="1" outlineLevel="2" x14ac:dyDescent="0.3">
      <c r="A20" s="29"/>
      <c r="B20" s="11" t="str">
        <f>CONCATENATE("          ", "6120", " - ", "RETIREES HEALTH INSURANCE")</f>
        <v xml:space="preserve">          6120 - RETIREES HEALTH INSURANCE</v>
      </c>
      <c r="C20" s="11"/>
      <c r="D20" s="8">
        <v>27136.06</v>
      </c>
      <c r="E20" s="3"/>
      <c r="F20" s="7">
        <f t="shared" si="0"/>
        <v>0</v>
      </c>
      <c r="G20" s="3"/>
      <c r="H20" s="8">
        <v>35000</v>
      </c>
      <c r="I20" s="3"/>
      <c r="J20" s="7">
        <f t="shared" si="1"/>
        <v>0</v>
      </c>
      <c r="K20" s="3"/>
      <c r="L20" s="8">
        <f t="shared" si="2"/>
        <v>-7863.9399999999987</v>
      </c>
      <c r="M20" s="3"/>
      <c r="N20" s="7">
        <f t="shared" si="3"/>
        <v>-0.22468399999999997</v>
      </c>
      <c r="O20" s="11"/>
      <c r="P20" s="8">
        <v>27136.06</v>
      </c>
      <c r="Q20" s="3"/>
      <c r="R20" s="7">
        <f t="shared" si="4"/>
        <v>0</v>
      </c>
      <c r="S20" s="3"/>
      <c r="T20" s="8">
        <v>35000</v>
      </c>
      <c r="U20" s="3"/>
      <c r="V20" s="7">
        <f t="shared" si="5"/>
        <v>0</v>
      </c>
      <c r="W20" s="3"/>
      <c r="X20" s="8">
        <f t="shared" si="6"/>
        <v>-7863.9399999999987</v>
      </c>
      <c r="Y20" s="3"/>
      <c r="Z20" s="7">
        <f t="shared" si="7"/>
        <v>-0.22468399999999997</v>
      </c>
    </row>
    <row r="21" spans="1:26" s="27" customFormat="1" outlineLevel="1" collapsed="1" x14ac:dyDescent="0.3">
      <c r="A21" s="28"/>
      <c r="B21" s="14" t="str">
        <f>CONCATENATE("     ","Bank/card Fees                                    ")</f>
        <v xml:space="preserve">     Bank/card Fees                                    </v>
      </c>
      <c r="C21" s="14"/>
      <c r="D21" s="1">
        <f>SUM(OSRRefD22_1x_0)</f>
        <v>2349.86</v>
      </c>
      <c r="E21" s="1"/>
      <c r="F21" s="5">
        <f t="shared" si="0"/>
        <v>0</v>
      </c>
      <c r="G21" s="1"/>
      <c r="H21" s="1">
        <f>SUM(OSRRefH22_1x_0)</f>
        <v>2000</v>
      </c>
      <c r="I21" s="1"/>
      <c r="J21" s="5">
        <f t="shared" si="1"/>
        <v>0</v>
      </c>
      <c r="K21" s="1"/>
      <c r="L21" s="1">
        <f t="shared" si="2"/>
        <v>349.86000000000013</v>
      </c>
      <c r="M21" s="1"/>
      <c r="N21" s="5">
        <f t="shared" si="3"/>
        <v>0.17493000000000006</v>
      </c>
      <c r="O21" s="14"/>
      <c r="P21" s="1">
        <f>SUM(OSRRefP22_1x_0)</f>
        <v>2349.86</v>
      </c>
      <c r="Q21" s="1"/>
      <c r="R21" s="5">
        <f t="shared" si="4"/>
        <v>0</v>
      </c>
      <c r="S21" s="1"/>
      <c r="T21" s="1">
        <f>SUM(OSRRefT22_1x_0)</f>
        <v>2000</v>
      </c>
      <c r="U21" s="1"/>
      <c r="V21" s="5">
        <f t="shared" si="5"/>
        <v>0</v>
      </c>
      <c r="W21" s="1"/>
      <c r="X21" s="1">
        <f t="shared" si="6"/>
        <v>349.86000000000013</v>
      </c>
      <c r="Y21" s="1"/>
      <c r="Z21" s="5">
        <f t="shared" si="7"/>
        <v>0.17493000000000006</v>
      </c>
    </row>
    <row r="22" spans="1:26" s="24" customFormat="1" hidden="1" outlineLevel="2" x14ac:dyDescent="0.3">
      <c r="A22" s="29"/>
      <c r="B22" s="11" t="str">
        <f>CONCATENATE("          ", "6381", " - ", "BANK/CREDIT CARD FEES")</f>
        <v xml:space="preserve">          6381 - BANK/CREDIT CARD FEES</v>
      </c>
      <c r="C22" s="11"/>
      <c r="D22" s="8">
        <v>2349.86</v>
      </c>
      <c r="E22" s="3"/>
      <c r="F22" s="7">
        <f t="shared" si="0"/>
        <v>0</v>
      </c>
      <c r="G22" s="3"/>
      <c r="H22" s="8">
        <v>2000</v>
      </c>
      <c r="I22" s="3"/>
      <c r="J22" s="7">
        <f t="shared" si="1"/>
        <v>0</v>
      </c>
      <c r="K22" s="3"/>
      <c r="L22" s="8">
        <f t="shared" si="2"/>
        <v>349.86000000000013</v>
      </c>
      <c r="M22" s="3"/>
      <c r="N22" s="7">
        <f t="shared" si="3"/>
        <v>0.17493000000000006</v>
      </c>
      <c r="O22" s="11"/>
      <c r="P22" s="8">
        <v>2349.86</v>
      </c>
      <c r="Q22" s="3"/>
      <c r="R22" s="7">
        <f t="shared" si="4"/>
        <v>0</v>
      </c>
      <c r="S22" s="3"/>
      <c r="T22" s="8">
        <v>2000</v>
      </c>
      <c r="U22" s="3"/>
      <c r="V22" s="7">
        <f t="shared" si="5"/>
        <v>0</v>
      </c>
      <c r="W22" s="3"/>
      <c r="X22" s="8">
        <f t="shared" si="6"/>
        <v>349.86000000000013</v>
      </c>
      <c r="Y22" s="3"/>
      <c r="Z22" s="7">
        <f t="shared" si="7"/>
        <v>0.17493000000000006</v>
      </c>
    </row>
    <row r="23" spans="1:26" s="27" customFormat="1" outlineLevel="1" collapsed="1" x14ac:dyDescent="0.3">
      <c r="A23" s="28"/>
      <c r="B23" s="14" t="str">
        <f>CONCATENATE("     ","Board                                             ")</f>
        <v xml:space="preserve">     Board                                             </v>
      </c>
      <c r="C23" s="14"/>
      <c r="D23" s="1">
        <f>SUM(OSRRefD22_2x_0)</f>
        <v>837.74</v>
      </c>
      <c r="E23" s="1"/>
      <c r="F23" s="5">
        <f t="shared" si="0"/>
        <v>0</v>
      </c>
      <c r="G23" s="1"/>
      <c r="H23" s="1">
        <f>SUM(OSRRefH22_2x_0)</f>
        <v>508</v>
      </c>
      <c r="I23" s="1"/>
      <c r="J23" s="5">
        <f t="shared" si="1"/>
        <v>0</v>
      </c>
      <c r="K23" s="1"/>
      <c r="L23" s="1">
        <f t="shared" si="2"/>
        <v>329.74</v>
      </c>
      <c r="M23" s="1"/>
      <c r="N23" s="5">
        <f t="shared" si="3"/>
        <v>0.64909448818897642</v>
      </c>
      <c r="O23" s="14"/>
      <c r="P23" s="1">
        <f>SUM(OSRRefP22_2x_0)</f>
        <v>837.74</v>
      </c>
      <c r="Q23" s="1"/>
      <c r="R23" s="5">
        <f t="shared" si="4"/>
        <v>0</v>
      </c>
      <c r="S23" s="1"/>
      <c r="T23" s="1">
        <f>SUM(OSRRefT22_2x_0)</f>
        <v>508</v>
      </c>
      <c r="U23" s="1"/>
      <c r="V23" s="5">
        <f t="shared" si="5"/>
        <v>0</v>
      </c>
      <c r="W23" s="1"/>
      <c r="X23" s="1">
        <f t="shared" si="6"/>
        <v>329.74</v>
      </c>
      <c r="Y23" s="1"/>
      <c r="Z23" s="5">
        <f t="shared" si="7"/>
        <v>0.64909448818897642</v>
      </c>
    </row>
    <row r="24" spans="1:26" s="24" customFormat="1" hidden="1" outlineLevel="2" x14ac:dyDescent="0.3">
      <c r="A24" s="29"/>
      <c r="B24" s="11" t="str">
        <f>CONCATENATE("          ", "6397", " - ", "BOARD EXPENSES")</f>
        <v xml:space="preserve">          6397 - BOARD EXPENSES</v>
      </c>
      <c r="C24" s="11"/>
      <c r="D24" s="8">
        <v>837.74</v>
      </c>
      <c r="E24" s="3"/>
      <c r="F24" s="7">
        <f t="shared" si="0"/>
        <v>0</v>
      </c>
      <c r="G24" s="3"/>
      <c r="H24" s="8">
        <v>508</v>
      </c>
      <c r="I24" s="3"/>
      <c r="J24" s="7">
        <f t="shared" si="1"/>
        <v>0</v>
      </c>
      <c r="K24" s="3"/>
      <c r="L24" s="8">
        <f t="shared" si="2"/>
        <v>329.74</v>
      </c>
      <c r="M24" s="3"/>
      <c r="N24" s="7">
        <f t="shared" si="3"/>
        <v>0.64909448818897642</v>
      </c>
      <c r="O24" s="11"/>
      <c r="P24" s="8">
        <v>837.74</v>
      </c>
      <c r="Q24" s="3"/>
      <c r="R24" s="7">
        <f t="shared" si="4"/>
        <v>0</v>
      </c>
      <c r="S24" s="3"/>
      <c r="T24" s="8">
        <v>508</v>
      </c>
      <c r="U24" s="3"/>
      <c r="V24" s="7">
        <f t="shared" si="5"/>
        <v>0</v>
      </c>
      <c r="W24" s="3"/>
      <c r="X24" s="8">
        <f t="shared" si="6"/>
        <v>329.74</v>
      </c>
      <c r="Y24" s="3"/>
      <c r="Z24" s="7">
        <f t="shared" si="7"/>
        <v>0.64909448818897642</v>
      </c>
    </row>
    <row r="25" spans="1:26" s="27" customFormat="1" outlineLevel="1" collapsed="1" x14ac:dyDescent="0.3">
      <c r="A25" s="28"/>
      <c r="B25" s="14" t="str">
        <f>CONCATENATE("     ","Professional Services                             ")</f>
        <v xml:space="preserve">     Professional Services                             </v>
      </c>
      <c r="C25" s="14"/>
      <c r="D25" s="1">
        <f>SUM(OSRRefD22_3x_0)</f>
        <v>0</v>
      </c>
      <c r="E25" s="1"/>
      <c r="F25" s="5">
        <f t="shared" si="0"/>
        <v>0</v>
      </c>
      <c r="G25" s="1"/>
      <c r="H25" s="1">
        <f>SUM(OSRRefH22_3x_0)</f>
        <v>16000</v>
      </c>
      <c r="I25" s="1"/>
      <c r="J25" s="5">
        <f t="shared" si="1"/>
        <v>0</v>
      </c>
      <c r="K25" s="1"/>
      <c r="L25" s="1">
        <f t="shared" si="2"/>
        <v>-16000</v>
      </c>
      <c r="M25" s="1"/>
      <c r="N25" s="5">
        <f t="shared" si="3"/>
        <v>-1</v>
      </c>
      <c r="O25" s="14"/>
      <c r="P25" s="1">
        <f>SUM(OSRRefP22_3x_0)</f>
        <v>0</v>
      </c>
      <c r="Q25" s="1"/>
      <c r="R25" s="5">
        <f t="shared" si="4"/>
        <v>0</v>
      </c>
      <c r="S25" s="1"/>
      <c r="T25" s="1">
        <f>SUM(OSRRefT22_3x_0)</f>
        <v>16000</v>
      </c>
      <c r="U25" s="1"/>
      <c r="V25" s="5">
        <f t="shared" si="5"/>
        <v>0</v>
      </c>
      <c r="W25" s="1"/>
      <c r="X25" s="1">
        <f t="shared" si="6"/>
        <v>-16000</v>
      </c>
      <c r="Y25" s="1"/>
      <c r="Z25" s="5">
        <f t="shared" si="7"/>
        <v>-1</v>
      </c>
    </row>
    <row r="26" spans="1:26" s="24" customFormat="1" hidden="1" outlineLevel="2" x14ac:dyDescent="0.3">
      <c r="A26" s="29"/>
      <c r="B26" s="11" t="str">
        <f>CONCATENATE("          ", "6331", " - ", "INDIRECT COSTS-AUXILIARY ORGAN")</f>
        <v xml:space="preserve">          6331 - INDIRECT COSTS-AUXILIARY ORGAN</v>
      </c>
      <c r="C26" s="11"/>
      <c r="D26" s="8"/>
      <c r="E26" s="3"/>
      <c r="F26" s="7">
        <f t="shared" si="0"/>
        <v>0</v>
      </c>
      <c r="G26" s="3"/>
      <c r="H26" s="8">
        <v>13000</v>
      </c>
      <c r="I26" s="3"/>
      <c r="J26" s="7">
        <f t="shared" si="1"/>
        <v>0</v>
      </c>
      <c r="K26" s="3"/>
      <c r="L26" s="8">
        <f t="shared" si="2"/>
        <v>-13000</v>
      </c>
      <c r="M26" s="3"/>
      <c r="N26" s="7">
        <f t="shared" si="3"/>
        <v>-1</v>
      </c>
      <c r="O26" s="11"/>
      <c r="P26" s="8"/>
      <c r="Q26" s="3"/>
      <c r="R26" s="7">
        <f t="shared" si="4"/>
        <v>0</v>
      </c>
      <c r="S26" s="3"/>
      <c r="T26" s="8">
        <v>13000</v>
      </c>
      <c r="U26" s="3"/>
      <c r="V26" s="7">
        <f t="shared" si="5"/>
        <v>0</v>
      </c>
      <c r="W26" s="3"/>
      <c r="X26" s="8">
        <f t="shared" si="6"/>
        <v>-13000</v>
      </c>
      <c r="Y26" s="3"/>
      <c r="Z26" s="7">
        <f t="shared" si="7"/>
        <v>-1</v>
      </c>
    </row>
    <row r="27" spans="1:26" s="24" customFormat="1" hidden="1" outlineLevel="2" x14ac:dyDescent="0.3">
      <c r="A27" s="29"/>
      <c r="B27" s="11" t="str">
        <f>CONCATENATE("          ", "6332", " - ", "CONSULTANT FEES")</f>
        <v xml:space="preserve">          6332 - CONSULTANT FEES</v>
      </c>
      <c r="C27" s="11"/>
      <c r="D27" s="8"/>
      <c r="E27" s="3"/>
      <c r="F27" s="7">
        <f t="shared" si="0"/>
        <v>0</v>
      </c>
      <c r="G27" s="3"/>
      <c r="H27" s="8">
        <v>3000</v>
      </c>
      <c r="I27" s="3"/>
      <c r="J27" s="7">
        <f t="shared" si="1"/>
        <v>0</v>
      </c>
      <c r="K27" s="3"/>
      <c r="L27" s="8">
        <f t="shared" si="2"/>
        <v>-3000</v>
      </c>
      <c r="M27" s="3"/>
      <c r="N27" s="7">
        <f t="shared" si="3"/>
        <v>-1</v>
      </c>
      <c r="O27" s="11"/>
      <c r="P27" s="8"/>
      <c r="Q27" s="3"/>
      <c r="R27" s="7">
        <f t="shared" si="4"/>
        <v>0</v>
      </c>
      <c r="S27" s="3"/>
      <c r="T27" s="8">
        <v>3000</v>
      </c>
      <c r="U27" s="3"/>
      <c r="V27" s="7">
        <f t="shared" si="5"/>
        <v>0</v>
      </c>
      <c r="W27" s="3"/>
      <c r="X27" s="8">
        <f t="shared" si="6"/>
        <v>-3000</v>
      </c>
      <c r="Y27" s="3"/>
      <c r="Z27" s="7">
        <f t="shared" si="7"/>
        <v>-1</v>
      </c>
    </row>
    <row r="28" spans="1:26" s="62" customFormat="1" x14ac:dyDescent="0.3">
      <c r="A28" s="36"/>
      <c r="B28" s="36"/>
      <c r="C28" s="36"/>
      <c r="D28" s="1"/>
      <c r="E28" s="1"/>
      <c r="F28" s="5"/>
      <c r="G28" s="1"/>
      <c r="H28" s="1"/>
      <c r="I28" s="1"/>
      <c r="J28" s="5"/>
      <c r="K28" s="1"/>
      <c r="L28" s="1"/>
      <c r="M28" s="1"/>
      <c r="N28" s="5"/>
      <c r="O28" s="36"/>
      <c r="P28" s="1"/>
      <c r="Q28" s="1"/>
      <c r="R28" s="5"/>
      <c r="S28" s="1"/>
      <c r="T28" s="1"/>
      <c r="U28" s="1"/>
      <c r="V28" s="5"/>
      <c r="W28" s="1"/>
      <c r="X28" s="1"/>
      <c r="Y28" s="1"/>
      <c r="Z28" s="5"/>
    </row>
    <row r="29" spans="1:26" s="23" customFormat="1" x14ac:dyDescent="0.3">
      <c r="A29" s="10"/>
      <c r="B29" s="25" t="s">
        <v>293</v>
      </c>
      <c r="C29" s="10"/>
      <c r="D29" s="4">
        <f>SUM(0)</f>
        <v>0</v>
      </c>
      <c r="E29" s="4"/>
      <c r="F29" s="12">
        <f>IF(D$12=0,0,D29/D$12)</f>
        <v>0</v>
      </c>
      <c r="G29" s="4"/>
      <c r="H29" s="4">
        <f>SUM(0)</f>
        <v>0</v>
      </c>
      <c r="I29" s="4"/>
      <c r="J29" s="12">
        <f>IF(H$12=0,0,H29/H$12)</f>
        <v>0</v>
      </c>
      <c r="K29" s="4"/>
      <c r="L29" s="4">
        <f>+D29-H29</f>
        <v>0</v>
      </c>
      <c r="M29" s="4"/>
      <c r="N29" s="12">
        <f>IF(H29=0,0,L29/H29)</f>
        <v>0</v>
      </c>
      <c r="O29" s="10"/>
      <c r="P29" s="4">
        <f>SUM(0)</f>
        <v>0</v>
      </c>
      <c r="Q29" s="4"/>
      <c r="R29" s="12">
        <f>IF(P$12=0,0,P29/P$12)</f>
        <v>0</v>
      </c>
      <c r="S29" s="4"/>
      <c r="T29" s="4">
        <f>SUM(0)</f>
        <v>0</v>
      </c>
      <c r="U29" s="4"/>
      <c r="V29" s="12">
        <f>IF(T$12=0,0,T29/T$12)</f>
        <v>0</v>
      </c>
      <c r="W29" s="4"/>
      <c r="X29" s="4">
        <f>+P29-T29</f>
        <v>0</v>
      </c>
      <c r="Y29" s="4"/>
      <c r="Z29" s="12">
        <f>IF(T29=0,0,X29/T29)</f>
        <v>0</v>
      </c>
    </row>
    <row r="30" spans="1:26" x14ac:dyDescent="0.3">
      <c r="A30" s="9"/>
      <c r="B30" s="10"/>
      <c r="C30" s="10"/>
      <c r="D30" s="2"/>
      <c r="E30" s="2"/>
      <c r="F30" s="6"/>
      <c r="G30" s="2"/>
      <c r="H30" s="2"/>
      <c r="I30" s="2"/>
      <c r="J30" s="6"/>
      <c r="K30" s="2"/>
      <c r="L30" s="2"/>
      <c r="M30" s="2"/>
      <c r="N30" s="6"/>
      <c r="O30" s="10"/>
      <c r="P30" s="2"/>
      <c r="Q30" s="2"/>
      <c r="R30" s="6"/>
      <c r="S30" s="2"/>
      <c r="T30" s="2"/>
      <c r="U30" s="2"/>
      <c r="V30" s="6"/>
      <c r="W30" s="2"/>
      <c r="X30" s="2"/>
      <c r="Y30" s="2"/>
      <c r="Z30" s="6"/>
    </row>
    <row r="31" spans="1:26" s="23" customFormat="1" x14ac:dyDescent="0.3">
      <c r="A31" s="10"/>
      <c r="B31" s="26" t="s">
        <v>277</v>
      </c>
      <c r="C31" s="26"/>
      <c r="D31" s="21">
        <f>+D16-D18+D29</f>
        <v>-30323.660000000003</v>
      </c>
      <c r="E31" s="13"/>
      <c r="F31" s="22">
        <f>IF(D$12=0,0,D31/D$12)</f>
        <v>0</v>
      </c>
      <c r="G31" s="13"/>
      <c r="H31" s="21">
        <f>+H16-H18+H29</f>
        <v>-53508</v>
      </c>
      <c r="I31" s="13"/>
      <c r="J31" s="22">
        <f>IF(H$12=0,0,H31/H$12)</f>
        <v>0</v>
      </c>
      <c r="K31" s="16"/>
      <c r="L31" s="21">
        <f>+D31-H31</f>
        <v>23184.339999999997</v>
      </c>
      <c r="M31" s="16"/>
      <c r="N31" s="22">
        <f>IF(H31=0,0,L31/H31)</f>
        <v>-0.43328735889960374</v>
      </c>
      <c r="O31" s="25"/>
      <c r="P31" s="21">
        <f>+P16-P18+P29</f>
        <v>-30323.660000000003</v>
      </c>
      <c r="Q31" s="13"/>
      <c r="R31" s="22">
        <f>IF(P$12=0,0,P31/P$12)</f>
        <v>0</v>
      </c>
      <c r="S31" s="13"/>
      <c r="T31" s="21">
        <f>+T16-T18+T29</f>
        <v>-53508</v>
      </c>
      <c r="U31" s="13"/>
      <c r="V31" s="22">
        <f>IF(T$12=0,0,T31/T$12)</f>
        <v>0</v>
      </c>
      <c r="W31" s="16"/>
      <c r="X31" s="21">
        <f>+P31-T31</f>
        <v>23184.339999999997</v>
      </c>
      <c r="Y31" s="16"/>
      <c r="Z31" s="22">
        <f>IF(T31=0,0,X31/T31)</f>
        <v>-0.43328735889960374</v>
      </c>
    </row>
    <row r="32" spans="1:26" x14ac:dyDescent="0.3">
      <c r="A32" s="9"/>
      <c r="B32" s="10"/>
      <c r="C32" s="9"/>
      <c r="D32" s="2"/>
      <c r="E32" s="2"/>
      <c r="F32" s="6"/>
      <c r="G32" s="2"/>
      <c r="H32" s="2"/>
      <c r="I32" s="2"/>
      <c r="J32" s="6"/>
      <c r="K32" s="2"/>
      <c r="L32" s="2"/>
      <c r="M32" s="2"/>
      <c r="N32" s="6"/>
      <c r="P32" s="2"/>
      <c r="Q32" s="2"/>
      <c r="R32" s="6"/>
      <c r="S32" s="2"/>
      <c r="T32" s="2"/>
      <c r="U32" s="2"/>
      <c r="V32" s="6"/>
      <c r="W32" s="2"/>
      <c r="X32" s="2"/>
      <c r="Y32" s="2"/>
      <c r="Z32" s="6"/>
    </row>
    <row r="33" spans="1:26" s="23" customFormat="1" x14ac:dyDescent="0.3">
      <c r="A33" s="52"/>
      <c r="B33" s="10" t="s">
        <v>128</v>
      </c>
      <c r="C33" s="10"/>
      <c r="D33" s="4"/>
      <c r="E33" s="4"/>
      <c r="F33" s="12">
        <f>IF(D$12=0,0,D33/D$12)</f>
        <v>0</v>
      </c>
      <c r="G33" s="4"/>
      <c r="H33" s="4"/>
      <c r="I33" s="4"/>
      <c r="J33" s="12">
        <f>IF(H$12=0,0,H33/H$12)</f>
        <v>0</v>
      </c>
      <c r="K33" s="4"/>
      <c r="L33" s="4">
        <f>+D33-H33</f>
        <v>0</v>
      </c>
      <c r="M33" s="4"/>
      <c r="N33" s="12">
        <f>IF(H33=0,0,L33/H33)</f>
        <v>0</v>
      </c>
      <c r="O33" s="10"/>
      <c r="P33" s="4"/>
      <c r="Q33" s="4"/>
      <c r="R33" s="12">
        <f>IF(P$12=0,0,P33/P$12)</f>
        <v>0</v>
      </c>
      <c r="S33" s="4"/>
      <c r="T33" s="4"/>
      <c r="U33" s="4"/>
      <c r="V33" s="12">
        <f>IF(T$12=0,0,T33/T$12)</f>
        <v>0</v>
      </c>
      <c r="W33" s="4"/>
      <c r="X33" s="4">
        <f>+P33-T33</f>
        <v>0</v>
      </c>
      <c r="Y33" s="4"/>
      <c r="Z33" s="12">
        <f>IF(T33=0,0,X33/T33)</f>
        <v>0</v>
      </c>
    </row>
    <row r="34" spans="1:26" x14ac:dyDescent="0.3">
      <c r="A34" s="9"/>
      <c r="B34" s="10"/>
      <c r="C34" s="10"/>
      <c r="D34" s="2"/>
      <c r="E34" s="2"/>
      <c r="F34" s="6"/>
      <c r="G34" s="2"/>
      <c r="H34" s="2"/>
      <c r="I34" s="2"/>
      <c r="J34" s="6"/>
      <c r="K34" s="2"/>
      <c r="L34" s="2"/>
      <c r="M34" s="2"/>
      <c r="N34" s="6"/>
      <c r="O34" s="10"/>
      <c r="P34" s="2"/>
      <c r="Q34" s="2"/>
      <c r="R34" s="6"/>
      <c r="S34" s="2"/>
      <c r="T34" s="2"/>
      <c r="U34" s="2"/>
      <c r="V34" s="6"/>
      <c r="W34" s="2"/>
      <c r="X34" s="2"/>
      <c r="Y34" s="2"/>
      <c r="Z34" s="6"/>
    </row>
    <row r="35" spans="1:26" s="23" customFormat="1" ht="15" thickBot="1" x14ac:dyDescent="0.35">
      <c r="A35" s="10"/>
      <c r="B35" s="26" t="s">
        <v>126</v>
      </c>
      <c r="C35" s="26"/>
      <c r="D35" s="35">
        <f>+D31-D33</f>
        <v>-30323.660000000003</v>
      </c>
      <c r="E35" s="13"/>
      <c r="F35" s="30">
        <f>IF(D$12=0,0,D35/D$12)</f>
        <v>0</v>
      </c>
      <c r="G35" s="13"/>
      <c r="H35" s="35">
        <f>+H31-H33</f>
        <v>-53508</v>
      </c>
      <c r="I35" s="13"/>
      <c r="J35" s="30">
        <f>IF(H$12=0,0,H35/H$12)</f>
        <v>0</v>
      </c>
      <c r="K35" s="16"/>
      <c r="L35" s="35">
        <f>D35-H35</f>
        <v>23184.339999999997</v>
      </c>
      <c r="M35" s="16"/>
      <c r="N35" s="30">
        <f>IF(H35=0,0,L35/H35)</f>
        <v>-0.43328735889960374</v>
      </c>
      <c r="O35" s="25"/>
      <c r="P35" s="35">
        <f>+P31-P33</f>
        <v>-30323.660000000003</v>
      </c>
      <c r="Q35" s="13"/>
      <c r="R35" s="30">
        <f>IF(P$12=0,0,P35/P$12)</f>
        <v>0</v>
      </c>
      <c r="S35" s="13"/>
      <c r="T35" s="35">
        <f>+T31-T33</f>
        <v>-53508</v>
      </c>
      <c r="U35" s="13"/>
      <c r="V35" s="30">
        <f>IF(T$12=0,0,T35/T$12)</f>
        <v>0</v>
      </c>
      <c r="W35" s="16"/>
      <c r="X35" s="35">
        <f>P35-T35</f>
        <v>23184.339999999997</v>
      </c>
      <c r="Y35" s="16"/>
      <c r="Z35" s="30">
        <f>IF(T35=0,0,X35/T35)</f>
        <v>-0.43328735889960374</v>
      </c>
    </row>
    <row r="36" spans="1:26" ht="15" thickTop="1" x14ac:dyDescent="0.3">
      <c r="A36" s="9"/>
      <c r="B36" s="9"/>
      <c r="C36" s="9"/>
      <c r="D36" s="2"/>
      <c r="E36" s="2"/>
      <c r="F36" s="6"/>
      <c r="G36" s="2"/>
      <c r="H36" s="2"/>
      <c r="I36" s="2"/>
      <c r="J36" s="6"/>
      <c r="K36" s="2"/>
      <c r="L36" s="2"/>
      <c r="M36" s="2"/>
      <c r="N36" s="6"/>
      <c r="P36" s="2"/>
      <c r="Q36" s="2"/>
      <c r="R36" s="6"/>
      <c r="S36" s="2"/>
      <c r="T36" s="2"/>
      <c r="U36" s="2"/>
      <c r="V36" s="6"/>
      <c r="W36" s="2"/>
      <c r="X36" s="2"/>
      <c r="Y36" s="2"/>
      <c r="Z36" s="6"/>
    </row>
    <row r="37" spans="1:26" x14ac:dyDescent="0.3">
      <c r="A37" s="9"/>
      <c r="B37" s="9"/>
      <c r="C37" s="9"/>
      <c r="D37" s="2"/>
      <c r="E37" s="2"/>
      <c r="F37" s="6"/>
      <c r="G37" s="2"/>
      <c r="H37" s="2"/>
      <c r="I37" s="2"/>
      <c r="J37" s="6"/>
      <c r="K37" s="2"/>
      <c r="L37" s="2"/>
      <c r="M37" s="2"/>
      <c r="N37" s="6"/>
      <c r="P37" s="2"/>
      <c r="Q37" s="2"/>
      <c r="R37" s="6"/>
      <c r="S37" s="2"/>
      <c r="T37" s="2"/>
      <c r="U37" s="2"/>
      <c r="V37" s="6"/>
      <c r="W37" s="2"/>
      <c r="X37" s="2"/>
      <c r="Y37" s="2"/>
      <c r="Z37" s="6"/>
    </row>
    <row r="38" spans="1:26" s="23" customFormat="1" ht="15" thickBot="1" x14ac:dyDescent="0.35">
      <c r="A38" s="10"/>
      <c r="B38" s="26" t="s">
        <v>294</v>
      </c>
      <c r="C38" s="26"/>
      <c r="D38" s="33">
        <f>SUM(D35:D37)</f>
        <v>-30323.660000000003</v>
      </c>
      <c r="E38" s="13"/>
      <c r="F38" s="31">
        <f>IF(D$12=0,0,D38/D$12)</f>
        <v>0</v>
      </c>
      <c r="G38" s="13"/>
      <c r="H38" s="33">
        <f>SUM(H35:H37)</f>
        <v>-53508</v>
      </c>
      <c r="I38" s="13"/>
      <c r="J38" s="31">
        <f>IF(H$12=0,0,H38/H$12)</f>
        <v>0</v>
      </c>
      <c r="K38" s="16"/>
      <c r="L38" s="33">
        <f>+D38-H38</f>
        <v>23184.339999999997</v>
      </c>
      <c r="M38" s="16"/>
      <c r="N38" s="31">
        <f>IF(H38=0,0,L38/H38)</f>
        <v>-0.43328735889960374</v>
      </c>
      <c r="O38" s="25"/>
      <c r="P38" s="33">
        <f>SUM(P35:P37)</f>
        <v>-30323.660000000003</v>
      </c>
      <c r="Q38" s="13"/>
      <c r="R38" s="31">
        <f>IF(P$12=0,0,P38/P$12)</f>
        <v>0</v>
      </c>
      <c r="S38" s="13"/>
      <c r="T38" s="33">
        <f>SUM(T35:T37)</f>
        <v>-53508</v>
      </c>
      <c r="U38" s="13"/>
      <c r="V38" s="31">
        <f>IF(T$12=0,0,T38/T$12)</f>
        <v>0</v>
      </c>
      <c r="W38" s="16"/>
      <c r="X38" s="33">
        <f>+P38-T38</f>
        <v>23184.339999999997</v>
      </c>
      <c r="Y38" s="16"/>
      <c r="Z38" s="31">
        <f>IF(T38=0,0,X38/T38)</f>
        <v>-0.43328735889960374</v>
      </c>
    </row>
    <row r="39" spans="1:26" ht="15" thickTop="1" x14ac:dyDescent="0.3">
      <c r="A39" s="9"/>
      <c r="C39" s="9"/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3">
      <c r="A40" s="9"/>
      <c r="B40" s="54">
        <v>44462.64548684028</v>
      </c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3">
      <c r="A41" s="9"/>
      <c r="B41" s="59" t="s">
        <v>56</v>
      </c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  <row r="42" spans="1:26" x14ac:dyDescent="0.3">
      <c r="A42" s="9"/>
      <c r="B42" s="55"/>
      <c r="D42" s="18"/>
      <c r="E42" s="18"/>
      <c r="G42" s="18"/>
      <c r="H42" s="18"/>
      <c r="I42" s="18"/>
      <c r="J42" s="43"/>
      <c r="K42" s="18"/>
      <c r="L42" s="18"/>
      <c r="M42" s="18"/>
      <c r="P42" s="18"/>
      <c r="Q42" s="18"/>
      <c r="R42" s="43"/>
      <c r="S42" s="18"/>
      <c r="T42" s="18"/>
      <c r="U42" s="18"/>
      <c r="V42" s="43"/>
      <c r="W42" s="18"/>
      <c r="X42" s="18"/>
    </row>
    <row r="43" spans="1:26" x14ac:dyDescent="0.3">
      <c r="D43" s="18"/>
      <c r="E43" s="18"/>
      <c r="G43" s="18"/>
      <c r="H43" s="18"/>
      <c r="I43" s="18"/>
      <c r="J43" s="43"/>
      <c r="K43" s="18"/>
      <c r="L43" s="18"/>
      <c r="M43" s="18"/>
      <c r="P43" s="18"/>
      <c r="Q43" s="18"/>
      <c r="R43" s="43"/>
      <c r="S43" s="18"/>
      <c r="T43" s="18"/>
      <c r="U43" s="18"/>
      <c r="V43" s="43"/>
      <c r="W43" s="18"/>
      <c r="X43" s="18"/>
    </row>
  </sheetData>
  <pageMargins left="0.25" right="0.25" top="0.75" bottom="0.75" header="0.3" footer="0.3"/>
  <pageSetup scale="55" fitToWidth="2" orientation="landscape"/>
  <drawing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>
    <tabColor rgb="FF92D050"/>
    <outlinePr summaryBelow="0" summaryRight="0"/>
  </sheetPr>
  <dimension ref="A2:Z74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50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7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50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7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7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7" customWidth="1" outlineLevel="1"/>
  </cols>
  <sheetData>
    <row r="2" spans="1:26" x14ac:dyDescent="0.3">
      <c r="D2" s="57" t="s">
        <v>23</v>
      </c>
    </row>
    <row r="3" spans="1:26" x14ac:dyDescent="0.3">
      <c r="D3" s="57" t="s">
        <v>237</v>
      </c>
      <c r="E3" s="17"/>
      <c r="F3" s="51"/>
      <c r="G3" s="17"/>
      <c r="H3" s="17"/>
      <c r="I3" s="17"/>
      <c r="J3" s="39"/>
      <c r="K3" s="17"/>
      <c r="L3" s="17"/>
      <c r="M3" s="17"/>
      <c r="N3" s="51"/>
      <c r="O3" s="61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3">
      <c r="D4" s="57" t="str">
        <f>CONCATENATE("Period ",RIGHT(202201,2),", ",2022)</f>
        <v>Period 01, 2022</v>
      </c>
      <c r="E4" s="17"/>
      <c r="F4" s="51"/>
      <c r="G4" s="17"/>
      <c r="H4" s="17"/>
      <c r="I4" s="17"/>
      <c r="J4" s="39"/>
      <c r="K4" s="17"/>
      <c r="L4" s="17"/>
      <c r="M4" s="17"/>
      <c r="N4" s="51"/>
      <c r="O4" s="61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3">
      <c r="A5" s="23"/>
      <c r="D5" s="64">
        <v>44408</v>
      </c>
      <c r="E5" s="17"/>
      <c r="F5" s="51"/>
      <c r="G5" s="17"/>
      <c r="H5" s="17"/>
      <c r="I5" s="17"/>
      <c r="J5" s="39"/>
      <c r="K5" s="17"/>
      <c r="L5" s="17"/>
      <c r="M5" s="17"/>
      <c r="N5" s="51"/>
      <c r="O5" s="61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3">
      <c r="A6" s="23"/>
      <c r="B6" s="47"/>
      <c r="C6" s="47"/>
      <c r="D6" s="23" t="str">
        <f>CONCATENATE("Department ","201", " - ", "General Manager")</f>
        <v>Department 201 - General Manager</v>
      </c>
      <c r="E6" s="17"/>
      <c r="F6" s="51"/>
      <c r="G6" s="17"/>
      <c r="H6" s="17"/>
      <c r="I6" s="17"/>
      <c r="J6" s="39"/>
      <c r="K6" s="17"/>
      <c r="L6" s="17"/>
      <c r="M6" s="17"/>
      <c r="N6" s="51"/>
      <c r="O6" s="60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3">
      <c r="B7" s="63"/>
    </row>
    <row r="8" spans="1:26" x14ac:dyDescent="0.3">
      <c r="B8" s="63"/>
    </row>
    <row r="9" spans="1:26" x14ac:dyDescent="0.3">
      <c r="B9" s="9"/>
      <c r="C9" s="9"/>
      <c r="D9" s="15" t="s">
        <v>292</v>
      </c>
      <c r="E9" s="15"/>
      <c r="F9" s="38"/>
      <c r="G9" s="15"/>
      <c r="H9" s="15"/>
      <c r="I9" s="15"/>
      <c r="J9" s="49"/>
      <c r="K9" s="15"/>
      <c r="L9" s="15"/>
      <c r="M9" s="15"/>
      <c r="N9" s="38"/>
      <c r="P9" s="15" t="s">
        <v>39</v>
      </c>
      <c r="Q9" s="15"/>
      <c r="R9" s="38"/>
      <c r="S9" s="15"/>
      <c r="T9" s="15"/>
      <c r="U9" s="15"/>
      <c r="V9" s="49"/>
      <c r="W9" s="15"/>
      <c r="X9" s="15"/>
      <c r="Y9" s="15"/>
      <c r="Z9" s="38"/>
    </row>
    <row r="10" spans="1:26" x14ac:dyDescent="0.3">
      <c r="A10" s="10"/>
      <c r="B10" s="53"/>
      <c r="C10" s="10"/>
      <c r="D10" s="42" t="s">
        <v>57</v>
      </c>
      <c r="E10" s="34"/>
      <c r="F10" s="40" t="s">
        <v>40</v>
      </c>
      <c r="G10" s="34"/>
      <c r="H10" s="45" t="s">
        <v>238</v>
      </c>
      <c r="I10" s="34"/>
      <c r="J10" s="48" t="s">
        <v>58</v>
      </c>
      <c r="K10" s="10"/>
      <c r="L10" s="42" t="s">
        <v>127</v>
      </c>
      <c r="M10" s="10"/>
      <c r="N10" s="40" t="s">
        <v>258</v>
      </c>
      <c r="O10" s="10"/>
      <c r="P10" s="56" t="s">
        <v>57</v>
      </c>
      <c r="Q10" s="34"/>
      <c r="R10" s="40" t="s">
        <v>40</v>
      </c>
      <c r="S10" s="34"/>
      <c r="T10" s="45" t="s">
        <v>238</v>
      </c>
      <c r="U10" s="34"/>
      <c r="V10" s="48" t="s">
        <v>58</v>
      </c>
      <c r="W10" s="10"/>
      <c r="X10" s="42" t="s">
        <v>127</v>
      </c>
      <c r="Y10" s="10"/>
      <c r="Z10" s="40" t="s">
        <v>258</v>
      </c>
    </row>
    <row r="11" spans="1:26" ht="15.6" x14ac:dyDescent="0.3">
      <c r="A11" s="9"/>
      <c r="B11" s="58"/>
      <c r="C11" s="9"/>
      <c r="D11" s="9"/>
      <c r="E11" s="9"/>
      <c r="F11" s="6"/>
      <c r="G11" s="9"/>
      <c r="H11" s="9"/>
      <c r="I11" s="9"/>
      <c r="J11" s="46"/>
      <c r="K11" s="9"/>
      <c r="L11" s="9"/>
      <c r="M11" s="9"/>
      <c r="N11" s="6"/>
      <c r="P11" s="9"/>
      <c r="Q11" s="9"/>
      <c r="R11" s="6"/>
      <c r="S11" s="9"/>
      <c r="T11" s="9"/>
      <c r="U11" s="9"/>
      <c r="V11" s="46"/>
      <c r="W11" s="9"/>
      <c r="X11" s="9"/>
      <c r="Y11" s="9"/>
      <c r="Z11" s="6"/>
    </row>
    <row r="12" spans="1:26" s="23" customFormat="1" x14ac:dyDescent="0.3">
      <c r="A12" s="10"/>
      <c r="B12" s="25" t="s">
        <v>140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3">
      <c r="A13" s="9"/>
      <c r="B13" s="10"/>
      <c r="C13" s="9"/>
      <c r="D13" s="2"/>
      <c r="E13" s="2"/>
      <c r="F13" s="6"/>
      <c r="G13" s="2"/>
      <c r="H13" s="2"/>
      <c r="I13" s="2"/>
      <c r="J13" s="6"/>
      <c r="K13" s="2"/>
      <c r="L13" s="2"/>
      <c r="M13" s="2"/>
      <c r="N13" s="6"/>
      <c r="P13" s="2"/>
      <c r="Q13" s="2"/>
      <c r="R13" s="6"/>
      <c r="S13" s="2"/>
      <c r="T13" s="2"/>
      <c r="U13" s="2"/>
      <c r="V13" s="6"/>
      <c r="W13" s="2"/>
      <c r="X13" s="2"/>
      <c r="Y13" s="2"/>
      <c r="Z13" s="6"/>
    </row>
    <row r="14" spans="1:26" s="23" customFormat="1" x14ac:dyDescent="0.3">
      <c r="A14" s="10"/>
      <c r="B14" s="25" t="s">
        <v>257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3">
      <c r="A15" s="9"/>
      <c r="B15" s="10"/>
      <c r="C15" s="10"/>
      <c r="D15" s="2"/>
      <c r="E15" s="2"/>
      <c r="F15" s="6"/>
      <c r="G15" s="2"/>
      <c r="H15" s="2"/>
      <c r="I15" s="2"/>
      <c r="J15" s="6"/>
      <c r="K15" s="2"/>
      <c r="L15" s="2"/>
      <c r="M15" s="2"/>
      <c r="N15" s="6"/>
      <c r="O15" s="10"/>
      <c r="P15" s="2"/>
      <c r="Q15" s="2"/>
      <c r="R15" s="6"/>
      <c r="S15" s="2"/>
      <c r="T15" s="2"/>
      <c r="U15" s="2"/>
      <c r="V15" s="6"/>
      <c r="W15" s="2"/>
      <c r="X15" s="2"/>
      <c r="Y15" s="2"/>
      <c r="Z15" s="6"/>
    </row>
    <row r="16" spans="1:26" s="23" customFormat="1" x14ac:dyDescent="0.3">
      <c r="A16" s="10"/>
      <c r="B16" s="26" t="s">
        <v>108</v>
      </c>
      <c r="C16" s="26"/>
      <c r="D16" s="21">
        <f>D12-D14</f>
        <v>0</v>
      </c>
      <c r="E16" s="13"/>
      <c r="F16" s="22">
        <f>IF(D$12=0,0,D16/D$12)</f>
        <v>0</v>
      </c>
      <c r="G16" s="13"/>
      <c r="H16" s="21">
        <f>H12-H14</f>
        <v>0</v>
      </c>
      <c r="I16" s="13"/>
      <c r="J16" s="22">
        <f>IF(H$12=0,0,H16/H$12)</f>
        <v>0</v>
      </c>
      <c r="K16" s="16"/>
      <c r="L16" s="21">
        <f>+D16-H16</f>
        <v>0</v>
      </c>
      <c r="M16" s="16"/>
      <c r="N16" s="22">
        <f>IF(H16=0,0,L16/H16)</f>
        <v>0</v>
      </c>
      <c r="O16" s="25"/>
      <c r="P16" s="21">
        <f>P12-P14</f>
        <v>0</v>
      </c>
      <c r="Q16" s="13"/>
      <c r="R16" s="22">
        <f>IF(P$12=0,0,P16/P$12)</f>
        <v>0</v>
      </c>
      <c r="S16" s="13"/>
      <c r="T16" s="21">
        <f>T12-T14</f>
        <v>0</v>
      </c>
      <c r="U16" s="13"/>
      <c r="V16" s="22">
        <f>IF(T$12=0,0,T16/T$12)</f>
        <v>0</v>
      </c>
      <c r="W16" s="16"/>
      <c r="X16" s="21">
        <f>+P16-T16</f>
        <v>0</v>
      </c>
      <c r="Y16" s="16"/>
      <c r="Z16" s="22">
        <f>IF(T16=0,0,X16/T16)</f>
        <v>0</v>
      </c>
    </row>
    <row r="17" spans="1:26" x14ac:dyDescent="0.3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3">
      <c r="A18" s="10"/>
      <c r="B18" s="25" t="s">
        <v>295</v>
      </c>
      <c r="C18" s="10"/>
      <c r="D18" s="20">
        <f>SUM(OSRRefD22x_0)</f>
        <v>35851.090000000004</v>
      </c>
      <c r="E18" s="20"/>
      <c r="F18" s="32">
        <f t="shared" ref="F18:F28" si="0">IF(D$12=0,0,D18/D$12)</f>
        <v>0</v>
      </c>
      <c r="G18" s="20"/>
      <c r="H18" s="20">
        <f>SUM(OSRRefH22x_0)</f>
        <v>35072.47803846153</v>
      </c>
      <c r="I18" s="20"/>
      <c r="J18" s="32">
        <f t="shared" ref="J18:J28" si="1">IF(H$12=0,0,H18/H$12)</f>
        <v>0</v>
      </c>
      <c r="K18" s="4"/>
      <c r="L18" s="20">
        <f t="shared" ref="L18:L28" si="2">+D18-H18</f>
        <v>778.61196153847413</v>
      </c>
      <c r="M18" s="4"/>
      <c r="N18" s="32">
        <f t="shared" ref="N18:N28" si="3">IF(H18=0,0,L18/H18)</f>
        <v>2.220008408543659E-2</v>
      </c>
      <c r="O18" s="10"/>
      <c r="P18" s="20">
        <f>SUM(OSRRefP22x_0)</f>
        <v>35851.090000000004</v>
      </c>
      <c r="Q18" s="20"/>
      <c r="R18" s="32">
        <f t="shared" ref="R18:R28" si="4">IF(P$12=0,0,P18/P$12)</f>
        <v>0</v>
      </c>
      <c r="S18" s="20"/>
      <c r="T18" s="20">
        <f>SUM(OSRRefT22x_0)</f>
        <v>35072.47803846153</v>
      </c>
      <c r="U18" s="20"/>
      <c r="V18" s="32">
        <f t="shared" ref="V18:V28" si="5">IF(T$12=0,0,T18/T$12)</f>
        <v>0</v>
      </c>
      <c r="W18" s="4"/>
      <c r="X18" s="20">
        <f t="shared" ref="X18:X28" si="6">+P18-T18</f>
        <v>778.61196153847413</v>
      </c>
      <c r="Y18" s="4"/>
      <c r="Z18" s="32">
        <f t="shared" ref="Z18:Z28" si="7">IF(T18=0,0,X18/T18)</f>
        <v>2.220008408543659E-2</v>
      </c>
    </row>
    <row r="19" spans="1:26" s="27" customFormat="1" outlineLevel="1" collapsed="1" x14ac:dyDescent="0.3">
      <c r="A19" s="28"/>
      <c r="B19" s="14" t="str">
        <f>CONCATENATE("     ","*Benefits                                         ")</f>
        <v xml:space="preserve">     *Benefits                                         </v>
      </c>
      <c r="C19" s="14"/>
      <c r="D19" s="1">
        <f>SUM(OSRRefD22_0x_0)</f>
        <v>10222.959999999999</v>
      </c>
      <c r="E19" s="1"/>
      <c r="F19" s="5">
        <f t="shared" si="0"/>
        <v>0</v>
      </c>
      <c r="G19" s="1"/>
      <c r="H19" s="1">
        <f>SUM(OSRRefH22_0x_0)</f>
        <v>9445.4011153846204</v>
      </c>
      <c r="I19" s="1"/>
      <c r="J19" s="5">
        <f t="shared" si="1"/>
        <v>0</v>
      </c>
      <c r="K19" s="1"/>
      <c r="L19" s="1">
        <f t="shared" si="2"/>
        <v>777.5588846153787</v>
      </c>
      <c r="M19" s="1"/>
      <c r="N19" s="5">
        <f t="shared" si="3"/>
        <v>8.2321425539979967E-2</v>
      </c>
      <c r="O19" s="14"/>
      <c r="P19" s="1">
        <f>SUM(OSRRefP22_0x_0)</f>
        <v>10222.959999999999</v>
      </c>
      <c r="Q19" s="1"/>
      <c r="R19" s="5">
        <f t="shared" si="4"/>
        <v>0</v>
      </c>
      <c r="S19" s="1"/>
      <c r="T19" s="1">
        <f>SUM(OSRRefT22_0x_0)</f>
        <v>9445.4011153846204</v>
      </c>
      <c r="U19" s="1"/>
      <c r="V19" s="5">
        <f t="shared" si="5"/>
        <v>0</v>
      </c>
      <c r="W19" s="1"/>
      <c r="X19" s="1">
        <f t="shared" si="6"/>
        <v>777.5588846153787</v>
      </c>
      <c r="Y19" s="1"/>
      <c r="Z19" s="5">
        <f t="shared" si="7"/>
        <v>8.2321425539979967E-2</v>
      </c>
    </row>
    <row r="20" spans="1:26" s="24" customFormat="1" hidden="1" outlineLevel="2" x14ac:dyDescent="0.3">
      <c r="A20" s="29"/>
      <c r="B20" s="11" t="str">
        <f>CONCATENATE("          ", "6111", " - ", "F.I.C.A.")</f>
        <v xml:space="preserve">          6111 - F.I.C.A.</v>
      </c>
      <c r="C20" s="11"/>
      <c r="D20" s="8">
        <v>1448.66</v>
      </c>
      <c r="E20" s="3"/>
      <c r="F20" s="7">
        <f t="shared" si="0"/>
        <v>0</v>
      </c>
      <c r="G20" s="3"/>
      <c r="H20" s="8">
        <v>1787.5641923076901</v>
      </c>
      <c r="I20" s="3"/>
      <c r="J20" s="7">
        <f t="shared" si="1"/>
        <v>0</v>
      </c>
      <c r="K20" s="3"/>
      <c r="L20" s="8">
        <f t="shared" si="2"/>
        <v>-338.90419230768998</v>
      </c>
      <c r="M20" s="3"/>
      <c r="N20" s="7">
        <f t="shared" si="3"/>
        <v>-0.1895899424289626</v>
      </c>
      <c r="O20" s="11"/>
      <c r="P20" s="8">
        <v>1448.66</v>
      </c>
      <c r="Q20" s="3"/>
      <c r="R20" s="7">
        <f t="shared" si="4"/>
        <v>0</v>
      </c>
      <c r="S20" s="3"/>
      <c r="T20" s="8">
        <v>1787.5641923076901</v>
      </c>
      <c r="U20" s="3"/>
      <c r="V20" s="7">
        <f t="shared" si="5"/>
        <v>0</v>
      </c>
      <c r="W20" s="3"/>
      <c r="X20" s="8">
        <f t="shared" si="6"/>
        <v>-338.90419230768998</v>
      </c>
      <c r="Y20" s="3"/>
      <c r="Z20" s="7">
        <f t="shared" si="7"/>
        <v>-0.1895899424289626</v>
      </c>
    </row>
    <row r="21" spans="1:26" s="24" customFormat="1" hidden="1" outlineLevel="2" x14ac:dyDescent="0.3">
      <c r="A21" s="29"/>
      <c r="B21" s="11" t="str">
        <f>CONCATENATE("          ", "6112", " - ", "COMPENSATION INSURANCE")</f>
        <v xml:space="preserve">          6112 - COMPENSATION INSURANCE</v>
      </c>
      <c r="C21" s="11"/>
      <c r="D21" s="8">
        <v>244.28</v>
      </c>
      <c r="E21" s="3"/>
      <c r="F21" s="7">
        <f t="shared" si="0"/>
        <v>0</v>
      </c>
      <c r="G21" s="3"/>
      <c r="H21" s="8">
        <v>72.408846153846099</v>
      </c>
      <c r="I21" s="3"/>
      <c r="J21" s="7">
        <f t="shared" si="1"/>
        <v>0</v>
      </c>
      <c r="K21" s="3"/>
      <c r="L21" s="8">
        <f t="shared" si="2"/>
        <v>171.8711538461539</v>
      </c>
      <c r="M21" s="3"/>
      <c r="N21" s="7">
        <f t="shared" si="3"/>
        <v>2.373620945167136</v>
      </c>
      <c r="O21" s="11"/>
      <c r="P21" s="8">
        <v>244.28</v>
      </c>
      <c r="Q21" s="3"/>
      <c r="R21" s="7">
        <f t="shared" si="4"/>
        <v>0</v>
      </c>
      <c r="S21" s="3"/>
      <c r="T21" s="8">
        <v>72.408846153846099</v>
      </c>
      <c r="U21" s="3"/>
      <c r="V21" s="7">
        <f t="shared" si="5"/>
        <v>0</v>
      </c>
      <c r="W21" s="3"/>
      <c r="X21" s="8">
        <f t="shared" si="6"/>
        <v>171.8711538461539</v>
      </c>
      <c r="Y21" s="3"/>
      <c r="Z21" s="7">
        <f t="shared" si="7"/>
        <v>2.373620945167136</v>
      </c>
    </row>
    <row r="22" spans="1:26" s="24" customFormat="1" hidden="1" outlineLevel="2" x14ac:dyDescent="0.3">
      <c r="A22" s="29"/>
      <c r="B22" s="11" t="str">
        <f>CONCATENATE("          ", "6113", " - ", "GROUP INSURANCE")</f>
        <v xml:space="preserve">          6113 - GROUP INSURANCE</v>
      </c>
      <c r="C22" s="11"/>
      <c r="D22" s="8">
        <v>3909.65</v>
      </c>
      <c r="E22" s="3"/>
      <c r="F22" s="7">
        <f t="shared" si="0"/>
        <v>0</v>
      </c>
      <c r="G22" s="3"/>
      <c r="H22" s="8">
        <v>3359</v>
      </c>
      <c r="I22" s="3"/>
      <c r="J22" s="7">
        <f t="shared" si="1"/>
        <v>0</v>
      </c>
      <c r="K22" s="3"/>
      <c r="L22" s="8">
        <f t="shared" si="2"/>
        <v>550.65000000000009</v>
      </c>
      <c r="M22" s="3"/>
      <c r="N22" s="7">
        <f t="shared" si="3"/>
        <v>0.16393271807085444</v>
      </c>
      <c r="O22" s="11"/>
      <c r="P22" s="8">
        <v>3909.65</v>
      </c>
      <c r="Q22" s="3"/>
      <c r="R22" s="7">
        <f t="shared" si="4"/>
        <v>0</v>
      </c>
      <c r="S22" s="3"/>
      <c r="T22" s="8">
        <v>3359</v>
      </c>
      <c r="U22" s="3"/>
      <c r="V22" s="7">
        <f t="shared" si="5"/>
        <v>0</v>
      </c>
      <c r="W22" s="3"/>
      <c r="X22" s="8">
        <f t="shared" si="6"/>
        <v>550.65000000000009</v>
      </c>
      <c r="Y22" s="3"/>
      <c r="Z22" s="7">
        <f t="shared" si="7"/>
        <v>0.16393271807085444</v>
      </c>
    </row>
    <row r="23" spans="1:26" s="24" customFormat="1" hidden="1" outlineLevel="2" x14ac:dyDescent="0.3">
      <c r="A23" s="29"/>
      <c r="B23" s="11" t="str">
        <f>CONCATENATE("          ", "6114", " - ", "STATE UNEMPLOYMENT INSURANCE")</f>
        <v xml:space="preserve">          6114 - STATE UNEMPLOYMENT INSURANCE</v>
      </c>
      <c r="C23" s="11"/>
      <c r="D23" s="8">
        <v>49.24</v>
      </c>
      <c r="E23" s="3"/>
      <c r="F23" s="7">
        <f t="shared" si="0"/>
        <v>0</v>
      </c>
      <c r="G23" s="3"/>
      <c r="H23" s="8">
        <v>49.051153846153802</v>
      </c>
      <c r="I23" s="3"/>
      <c r="J23" s="7">
        <f t="shared" si="1"/>
        <v>0</v>
      </c>
      <c r="K23" s="3"/>
      <c r="L23" s="8">
        <f t="shared" si="2"/>
        <v>0.18884615384619963</v>
      </c>
      <c r="M23" s="3"/>
      <c r="N23" s="7">
        <f t="shared" si="3"/>
        <v>3.8499839257299636E-3</v>
      </c>
      <c r="O23" s="11"/>
      <c r="P23" s="8">
        <v>49.24</v>
      </c>
      <c r="Q23" s="3"/>
      <c r="R23" s="7">
        <f t="shared" si="4"/>
        <v>0</v>
      </c>
      <c r="S23" s="3"/>
      <c r="T23" s="8">
        <v>49.051153846153802</v>
      </c>
      <c r="U23" s="3"/>
      <c r="V23" s="7">
        <f t="shared" si="5"/>
        <v>0</v>
      </c>
      <c r="W23" s="3"/>
      <c r="X23" s="8">
        <f t="shared" si="6"/>
        <v>0.18884615384619963</v>
      </c>
      <c r="Y23" s="3"/>
      <c r="Z23" s="7">
        <f t="shared" si="7"/>
        <v>3.8499839257299636E-3</v>
      </c>
    </row>
    <row r="24" spans="1:26" s="24" customFormat="1" hidden="1" outlineLevel="2" x14ac:dyDescent="0.3">
      <c r="A24" s="29"/>
      <c r="B24" s="11" t="str">
        <f>CONCATENATE("          ", "6115", " - ", "P.E.R.S.")</f>
        <v xml:space="preserve">          6115 - P.E.R.S.</v>
      </c>
      <c r="C24" s="11"/>
      <c r="D24" s="8">
        <v>2020.98</v>
      </c>
      <c r="E24" s="3"/>
      <c r="F24" s="7">
        <f t="shared" si="0"/>
        <v>0</v>
      </c>
      <c r="G24" s="3"/>
      <c r="H24" s="8">
        <v>2008.7615384615401</v>
      </c>
      <c r="I24" s="3"/>
      <c r="J24" s="7">
        <f t="shared" si="1"/>
        <v>0</v>
      </c>
      <c r="K24" s="3"/>
      <c r="L24" s="8">
        <f t="shared" si="2"/>
        <v>12.218461538459906</v>
      </c>
      <c r="M24" s="3"/>
      <c r="N24" s="7">
        <f t="shared" si="3"/>
        <v>6.0825843707748989E-3</v>
      </c>
      <c r="O24" s="11"/>
      <c r="P24" s="8">
        <v>2020.98</v>
      </c>
      <c r="Q24" s="3"/>
      <c r="R24" s="7">
        <f t="shared" si="4"/>
        <v>0</v>
      </c>
      <c r="S24" s="3"/>
      <c r="T24" s="8">
        <v>2008.7615384615401</v>
      </c>
      <c r="U24" s="3"/>
      <c r="V24" s="7">
        <f t="shared" si="5"/>
        <v>0</v>
      </c>
      <c r="W24" s="3"/>
      <c r="X24" s="8">
        <f t="shared" si="6"/>
        <v>12.218461538459906</v>
      </c>
      <c r="Y24" s="3"/>
      <c r="Z24" s="7">
        <f t="shared" si="7"/>
        <v>6.0825843707748989E-3</v>
      </c>
    </row>
    <row r="25" spans="1:26" s="24" customFormat="1" hidden="1" outlineLevel="2" x14ac:dyDescent="0.3">
      <c r="A25" s="29"/>
      <c r="B25" s="11" t="str">
        <f>CONCATENATE("          ", "6116", " - ", "EDUCATIONAL BENEFITS")</f>
        <v xml:space="preserve">          6116 - EDUCATIONAL BENEFITS</v>
      </c>
      <c r="C25" s="11"/>
      <c r="D25" s="8"/>
      <c r="E25" s="3"/>
      <c r="F25" s="7">
        <f t="shared" si="0"/>
        <v>0</v>
      </c>
      <c r="G25" s="3"/>
      <c r="H25" s="8">
        <v>0</v>
      </c>
      <c r="I25" s="3"/>
      <c r="J25" s="7">
        <f t="shared" si="1"/>
        <v>0</v>
      </c>
      <c r="K25" s="3"/>
      <c r="L25" s="8">
        <f t="shared" si="2"/>
        <v>0</v>
      </c>
      <c r="M25" s="3"/>
      <c r="N25" s="7">
        <f t="shared" si="3"/>
        <v>0</v>
      </c>
      <c r="O25" s="11"/>
      <c r="P25" s="8"/>
      <c r="Q25" s="3"/>
      <c r="R25" s="7">
        <f t="shared" si="4"/>
        <v>0</v>
      </c>
      <c r="S25" s="3"/>
      <c r="T25" s="8">
        <v>0</v>
      </c>
      <c r="U25" s="3"/>
      <c r="V25" s="7">
        <f t="shared" si="5"/>
        <v>0</v>
      </c>
      <c r="W25" s="3"/>
      <c r="X25" s="8">
        <f t="shared" si="6"/>
        <v>0</v>
      </c>
      <c r="Y25" s="3"/>
      <c r="Z25" s="7">
        <f t="shared" si="7"/>
        <v>0</v>
      </c>
    </row>
    <row r="26" spans="1:26" s="24" customFormat="1" hidden="1" outlineLevel="2" x14ac:dyDescent="0.3">
      <c r="A26" s="29"/>
      <c r="B26" s="11" t="str">
        <f>CONCATENATE("          ", "6118", " - ", "VACATION")</f>
        <v xml:space="preserve">          6118 - VACATION</v>
      </c>
      <c r="C26" s="11"/>
      <c r="D26" s="8">
        <v>1658.98</v>
      </c>
      <c r="E26" s="3"/>
      <c r="F26" s="7">
        <f t="shared" si="0"/>
        <v>0</v>
      </c>
      <c r="G26" s="3"/>
      <c r="H26" s="8">
        <v>1167.88461538462</v>
      </c>
      <c r="I26" s="3"/>
      <c r="J26" s="7">
        <f t="shared" si="1"/>
        <v>0</v>
      </c>
      <c r="K26" s="3"/>
      <c r="L26" s="8">
        <f t="shared" si="2"/>
        <v>491.09538461538</v>
      </c>
      <c r="M26" s="3"/>
      <c r="N26" s="7">
        <f t="shared" si="3"/>
        <v>0.42049991766836259</v>
      </c>
      <c r="O26" s="11"/>
      <c r="P26" s="8">
        <v>1658.98</v>
      </c>
      <c r="Q26" s="3"/>
      <c r="R26" s="7">
        <f t="shared" si="4"/>
        <v>0</v>
      </c>
      <c r="S26" s="3"/>
      <c r="T26" s="8">
        <v>1167.88461538462</v>
      </c>
      <c r="U26" s="3"/>
      <c r="V26" s="7">
        <f t="shared" si="5"/>
        <v>0</v>
      </c>
      <c r="W26" s="3"/>
      <c r="X26" s="8">
        <f t="shared" si="6"/>
        <v>491.09538461538</v>
      </c>
      <c r="Y26" s="3"/>
      <c r="Z26" s="7">
        <f t="shared" si="7"/>
        <v>0.42049991766836259</v>
      </c>
    </row>
    <row r="27" spans="1:26" s="24" customFormat="1" hidden="1" outlineLevel="2" x14ac:dyDescent="0.3">
      <c r="A27" s="29"/>
      <c r="B27" s="11" t="str">
        <f>CONCATENATE("          ", "6119", " - ", "SICK LEAVE")</f>
        <v xml:space="preserve">          6119 - SICK LEAVE</v>
      </c>
      <c r="C27" s="11"/>
      <c r="D27" s="8">
        <v>856.8</v>
      </c>
      <c r="E27" s="3"/>
      <c r="F27" s="7">
        <f t="shared" si="0"/>
        <v>0</v>
      </c>
      <c r="G27" s="3"/>
      <c r="H27" s="8">
        <v>700.73076923076906</v>
      </c>
      <c r="I27" s="3"/>
      <c r="J27" s="7">
        <f t="shared" si="1"/>
        <v>0</v>
      </c>
      <c r="K27" s="3"/>
      <c r="L27" s="8">
        <f t="shared" si="2"/>
        <v>156.0692307692309</v>
      </c>
      <c r="M27" s="3"/>
      <c r="N27" s="7">
        <f t="shared" si="3"/>
        <v>0.22272353038037238</v>
      </c>
      <c r="O27" s="11"/>
      <c r="P27" s="8">
        <v>856.8</v>
      </c>
      <c r="Q27" s="3"/>
      <c r="R27" s="7">
        <f t="shared" si="4"/>
        <v>0</v>
      </c>
      <c r="S27" s="3"/>
      <c r="T27" s="8">
        <v>700.73076923076906</v>
      </c>
      <c r="U27" s="3"/>
      <c r="V27" s="7">
        <f t="shared" si="5"/>
        <v>0</v>
      </c>
      <c r="W27" s="3"/>
      <c r="X27" s="8">
        <f t="shared" si="6"/>
        <v>156.0692307692309</v>
      </c>
      <c r="Y27" s="3"/>
      <c r="Z27" s="7">
        <f t="shared" si="7"/>
        <v>0.22272353038037238</v>
      </c>
    </row>
    <row r="28" spans="1:26" s="24" customFormat="1" hidden="1" outlineLevel="2" x14ac:dyDescent="0.3">
      <c r="A28" s="29"/>
      <c r="B28" s="11" t="str">
        <f>CONCATENATE("          ", "6156", " - ", "EMPLOYEE MEALS")</f>
        <v xml:space="preserve">          6156 - EMPLOYEE MEALS</v>
      </c>
      <c r="C28" s="11"/>
      <c r="D28" s="8">
        <v>34.369999999999997</v>
      </c>
      <c r="E28" s="3"/>
      <c r="F28" s="7">
        <f t="shared" si="0"/>
        <v>0</v>
      </c>
      <c r="G28" s="3"/>
      <c r="H28" s="8">
        <v>300</v>
      </c>
      <c r="I28" s="3"/>
      <c r="J28" s="7">
        <f t="shared" si="1"/>
        <v>0</v>
      </c>
      <c r="K28" s="3"/>
      <c r="L28" s="8">
        <f t="shared" si="2"/>
        <v>-265.63</v>
      </c>
      <c r="M28" s="3"/>
      <c r="N28" s="7">
        <f t="shared" si="3"/>
        <v>-0.88543333333333329</v>
      </c>
      <c r="O28" s="11"/>
      <c r="P28" s="8">
        <v>34.369999999999997</v>
      </c>
      <c r="Q28" s="3"/>
      <c r="R28" s="7">
        <f t="shared" si="4"/>
        <v>0</v>
      </c>
      <c r="S28" s="3"/>
      <c r="T28" s="8">
        <v>300</v>
      </c>
      <c r="U28" s="3"/>
      <c r="V28" s="7">
        <f t="shared" si="5"/>
        <v>0</v>
      </c>
      <c r="W28" s="3"/>
      <c r="X28" s="8">
        <f t="shared" si="6"/>
        <v>-265.63</v>
      </c>
      <c r="Y28" s="3"/>
      <c r="Z28" s="7">
        <f t="shared" si="7"/>
        <v>-0.88543333333333329</v>
      </c>
    </row>
    <row r="29" spans="1:26" s="27" customFormat="1" outlineLevel="1" collapsed="1" x14ac:dyDescent="0.3">
      <c r="A29" s="28"/>
      <c r="B29" s="14" t="str">
        <f>CONCATENATE("     ","*Payroll                                          ")</f>
        <v xml:space="preserve">     *Payroll                                          </v>
      </c>
      <c r="C29" s="14"/>
      <c r="D29" s="1">
        <f>SUM(OSRRefD22_1x_0)</f>
        <v>21772.7</v>
      </c>
      <c r="E29" s="1"/>
      <c r="F29" s="5">
        <f t="shared" ref="F29:F39" si="8">IF(D$12=0,0,D29/D$12)</f>
        <v>0</v>
      </c>
      <c r="G29" s="1"/>
      <c r="H29" s="1">
        <f>SUM(OSRRefH22_1x_0)</f>
        <v>21489.076923076907</v>
      </c>
      <c r="I29" s="1"/>
      <c r="J29" s="5">
        <f t="shared" ref="J29:J39" si="9">IF(H$12=0,0,H29/H$12)</f>
        <v>0</v>
      </c>
      <c r="K29" s="1"/>
      <c r="L29" s="1">
        <f t="shared" ref="L29:L39" si="10">+D29-H29</f>
        <v>283.62307692309332</v>
      </c>
      <c r="M29" s="1"/>
      <c r="N29" s="5">
        <f t="shared" ref="N29:N39" si="11">IF(H29=0,0,L29/H29)</f>
        <v>1.3198476506848618E-2</v>
      </c>
      <c r="O29" s="14"/>
      <c r="P29" s="1">
        <f>SUM(OSRRefP22_1x_0)</f>
        <v>21772.7</v>
      </c>
      <c r="Q29" s="1"/>
      <c r="R29" s="5">
        <f t="shared" ref="R29:R39" si="12">IF(P$12=0,0,P29/P$12)</f>
        <v>0</v>
      </c>
      <c r="S29" s="1"/>
      <c r="T29" s="1">
        <f>SUM(OSRRefT22_1x_0)</f>
        <v>21489.076923076907</v>
      </c>
      <c r="U29" s="1"/>
      <c r="V29" s="5">
        <f t="shared" ref="V29:V39" si="13">IF(T$12=0,0,T29/T$12)</f>
        <v>0</v>
      </c>
      <c r="W29" s="1"/>
      <c r="X29" s="1">
        <f t="shared" ref="X29:X39" si="14">+P29-T29</f>
        <v>283.62307692309332</v>
      </c>
      <c r="Y29" s="1"/>
      <c r="Z29" s="5">
        <f t="shared" ref="Z29:Z39" si="15">IF(T29=0,0,X29/T29)</f>
        <v>1.3198476506848618E-2</v>
      </c>
    </row>
    <row r="30" spans="1:26" s="24" customFormat="1" hidden="1" outlineLevel="2" x14ac:dyDescent="0.3">
      <c r="A30" s="29"/>
      <c r="B30" s="11" t="str">
        <f>CONCATENATE("          ", "6001", " - ", "ADMINISTRATIVE SALARIES")</f>
        <v xml:space="preserve">          6001 - ADMINISTRATIVE SALARIES</v>
      </c>
      <c r="C30" s="11"/>
      <c r="D30" s="8">
        <v>16876.34</v>
      </c>
      <c r="E30" s="3"/>
      <c r="F30" s="7">
        <f t="shared" si="8"/>
        <v>0</v>
      </c>
      <c r="G30" s="3"/>
      <c r="H30" s="8">
        <v>15657.692307692299</v>
      </c>
      <c r="I30" s="3"/>
      <c r="J30" s="7">
        <f t="shared" si="9"/>
        <v>0</v>
      </c>
      <c r="K30" s="3"/>
      <c r="L30" s="8">
        <f t="shared" si="10"/>
        <v>1218.6476923077007</v>
      </c>
      <c r="M30" s="3"/>
      <c r="N30" s="7">
        <f t="shared" si="11"/>
        <v>7.7830606730533616E-2</v>
      </c>
      <c r="O30" s="11"/>
      <c r="P30" s="8">
        <v>16876.34</v>
      </c>
      <c r="Q30" s="3"/>
      <c r="R30" s="7">
        <f t="shared" si="12"/>
        <v>0</v>
      </c>
      <c r="S30" s="3"/>
      <c r="T30" s="8">
        <v>15657.692307692299</v>
      </c>
      <c r="U30" s="3"/>
      <c r="V30" s="7">
        <f t="shared" si="13"/>
        <v>0</v>
      </c>
      <c r="W30" s="3"/>
      <c r="X30" s="8">
        <f t="shared" si="14"/>
        <v>1218.6476923077007</v>
      </c>
      <c r="Y30" s="3"/>
      <c r="Z30" s="7">
        <f t="shared" si="15"/>
        <v>7.7830606730533616E-2</v>
      </c>
    </row>
    <row r="31" spans="1:26" s="24" customFormat="1" hidden="1" outlineLevel="2" x14ac:dyDescent="0.3">
      <c r="A31" s="29"/>
      <c r="B31" s="11" t="str">
        <f>CONCATENATE("          ", "6002", " - ", "STAFF SALARIES")</f>
        <v xml:space="preserve">          6002 - STAFF SALARIES</v>
      </c>
      <c r="C31" s="11"/>
      <c r="D31" s="8">
        <v>4896.3599999999997</v>
      </c>
      <c r="E31" s="3"/>
      <c r="F31" s="7">
        <f t="shared" si="8"/>
        <v>0</v>
      </c>
      <c r="G31" s="3"/>
      <c r="H31" s="8">
        <v>5831.3846153846098</v>
      </c>
      <c r="I31" s="3"/>
      <c r="J31" s="7">
        <f t="shared" si="9"/>
        <v>0</v>
      </c>
      <c r="K31" s="3"/>
      <c r="L31" s="8">
        <f t="shared" si="10"/>
        <v>-935.02461538461012</v>
      </c>
      <c r="M31" s="3"/>
      <c r="N31" s="7">
        <f t="shared" si="11"/>
        <v>-0.16034349936682069</v>
      </c>
      <c r="O31" s="11"/>
      <c r="P31" s="8">
        <v>4896.3599999999997</v>
      </c>
      <c r="Q31" s="3"/>
      <c r="R31" s="7">
        <f t="shared" si="12"/>
        <v>0</v>
      </c>
      <c r="S31" s="3"/>
      <c r="T31" s="8">
        <v>5831.3846153846098</v>
      </c>
      <c r="U31" s="3"/>
      <c r="V31" s="7">
        <f t="shared" si="13"/>
        <v>0</v>
      </c>
      <c r="W31" s="3"/>
      <c r="X31" s="8">
        <f t="shared" si="14"/>
        <v>-935.02461538461012</v>
      </c>
      <c r="Y31" s="3"/>
      <c r="Z31" s="7">
        <f t="shared" si="15"/>
        <v>-0.16034349936682069</v>
      </c>
    </row>
    <row r="32" spans="1:26" s="24" customFormat="1" hidden="1" outlineLevel="2" x14ac:dyDescent="0.3">
      <c r="A32" s="29"/>
      <c r="B32" s="11" t="str">
        <f>CONCATENATE("          ", "6003", " - ", "STAFF HOURLY-9 MONTH")</f>
        <v xml:space="preserve">          6003 - STAFF HOURLY-9 MONTH</v>
      </c>
      <c r="C32" s="11"/>
      <c r="D32" s="8"/>
      <c r="E32" s="3"/>
      <c r="F32" s="7">
        <f t="shared" si="8"/>
        <v>0</v>
      </c>
      <c r="G32" s="3"/>
      <c r="H32" s="8">
        <v>0</v>
      </c>
      <c r="I32" s="3"/>
      <c r="J32" s="7">
        <f t="shared" si="9"/>
        <v>0</v>
      </c>
      <c r="K32" s="3"/>
      <c r="L32" s="8">
        <f t="shared" si="10"/>
        <v>0</v>
      </c>
      <c r="M32" s="3"/>
      <c r="N32" s="7">
        <f t="shared" si="11"/>
        <v>0</v>
      </c>
      <c r="O32" s="11"/>
      <c r="P32" s="8"/>
      <c r="Q32" s="3"/>
      <c r="R32" s="7">
        <f t="shared" si="12"/>
        <v>0</v>
      </c>
      <c r="S32" s="3"/>
      <c r="T32" s="8">
        <v>0</v>
      </c>
      <c r="U32" s="3"/>
      <c r="V32" s="7">
        <f t="shared" si="13"/>
        <v>0</v>
      </c>
      <c r="W32" s="3"/>
      <c r="X32" s="8">
        <f t="shared" si="14"/>
        <v>0</v>
      </c>
      <c r="Y32" s="3"/>
      <c r="Z32" s="7">
        <f t="shared" si="15"/>
        <v>0</v>
      </c>
    </row>
    <row r="33" spans="1:26" s="24" customFormat="1" hidden="1" outlineLevel="2" x14ac:dyDescent="0.3">
      <c r="A33" s="29"/>
      <c r="B33" s="11" t="str">
        <f>CONCATENATE("          ", "6004", " - ", "STAFF HOURLY")</f>
        <v xml:space="preserve">          6004 - STAFF HOURLY</v>
      </c>
      <c r="C33" s="11"/>
      <c r="D33" s="8"/>
      <c r="E33" s="3"/>
      <c r="F33" s="7">
        <f t="shared" si="8"/>
        <v>0</v>
      </c>
      <c r="G33" s="3"/>
      <c r="H33" s="8">
        <v>0</v>
      </c>
      <c r="I33" s="3"/>
      <c r="J33" s="7">
        <f t="shared" si="9"/>
        <v>0</v>
      </c>
      <c r="K33" s="3"/>
      <c r="L33" s="8">
        <f t="shared" si="10"/>
        <v>0</v>
      </c>
      <c r="M33" s="3"/>
      <c r="N33" s="7">
        <f t="shared" si="11"/>
        <v>0</v>
      </c>
      <c r="O33" s="11"/>
      <c r="P33" s="8"/>
      <c r="Q33" s="3"/>
      <c r="R33" s="7">
        <f t="shared" si="12"/>
        <v>0</v>
      </c>
      <c r="S33" s="3"/>
      <c r="T33" s="8">
        <v>0</v>
      </c>
      <c r="U33" s="3"/>
      <c r="V33" s="7">
        <f t="shared" si="13"/>
        <v>0</v>
      </c>
      <c r="W33" s="3"/>
      <c r="X33" s="8">
        <f t="shared" si="14"/>
        <v>0</v>
      </c>
      <c r="Y33" s="3"/>
      <c r="Z33" s="7">
        <f t="shared" si="15"/>
        <v>0</v>
      </c>
    </row>
    <row r="34" spans="1:26" s="24" customFormat="1" hidden="1" outlineLevel="2" x14ac:dyDescent="0.3">
      <c r="A34" s="29"/>
      <c r="B34" s="11" t="str">
        <f>CONCATENATE("          ", "6005", " - ", "TEMPORARY WAGES-HOURLY")</f>
        <v xml:space="preserve">          6005 - TEMPORARY WAGES-HOURLY</v>
      </c>
      <c r="C34" s="11"/>
      <c r="D34" s="8"/>
      <c r="E34" s="3"/>
      <c r="F34" s="7">
        <f t="shared" si="8"/>
        <v>0</v>
      </c>
      <c r="G34" s="3"/>
      <c r="H34" s="8">
        <v>0</v>
      </c>
      <c r="I34" s="3"/>
      <c r="J34" s="7">
        <f t="shared" si="9"/>
        <v>0</v>
      </c>
      <c r="K34" s="3"/>
      <c r="L34" s="8">
        <f t="shared" si="10"/>
        <v>0</v>
      </c>
      <c r="M34" s="3"/>
      <c r="N34" s="7">
        <f t="shared" si="11"/>
        <v>0</v>
      </c>
      <c r="O34" s="11"/>
      <c r="P34" s="8"/>
      <c r="Q34" s="3"/>
      <c r="R34" s="7">
        <f t="shared" si="12"/>
        <v>0</v>
      </c>
      <c r="S34" s="3"/>
      <c r="T34" s="8">
        <v>0</v>
      </c>
      <c r="U34" s="3"/>
      <c r="V34" s="7">
        <f t="shared" si="13"/>
        <v>0</v>
      </c>
      <c r="W34" s="3"/>
      <c r="X34" s="8">
        <f t="shared" si="14"/>
        <v>0</v>
      </c>
      <c r="Y34" s="3"/>
      <c r="Z34" s="7">
        <f t="shared" si="15"/>
        <v>0</v>
      </c>
    </row>
    <row r="35" spans="1:26" s="24" customFormat="1" hidden="1" outlineLevel="2" x14ac:dyDescent="0.3">
      <c r="A35" s="29"/>
      <c r="B35" s="11" t="str">
        <f>CONCATENATE("          ", "6006", " - ", "TEMPORARY PART TIME")</f>
        <v xml:space="preserve">          6006 - TEMPORARY PART TIME</v>
      </c>
      <c r="C35" s="11"/>
      <c r="D35" s="8"/>
      <c r="E35" s="3"/>
      <c r="F35" s="7">
        <f t="shared" si="8"/>
        <v>0</v>
      </c>
      <c r="G35" s="3"/>
      <c r="H35" s="8">
        <v>0</v>
      </c>
      <c r="I35" s="3"/>
      <c r="J35" s="7">
        <f t="shared" si="9"/>
        <v>0</v>
      </c>
      <c r="K35" s="3"/>
      <c r="L35" s="8">
        <f t="shared" si="10"/>
        <v>0</v>
      </c>
      <c r="M35" s="3"/>
      <c r="N35" s="7">
        <f t="shared" si="11"/>
        <v>0</v>
      </c>
      <c r="O35" s="11"/>
      <c r="P35" s="8"/>
      <c r="Q35" s="3"/>
      <c r="R35" s="7">
        <f t="shared" si="12"/>
        <v>0</v>
      </c>
      <c r="S35" s="3"/>
      <c r="T35" s="8">
        <v>0</v>
      </c>
      <c r="U35" s="3"/>
      <c r="V35" s="7">
        <f t="shared" si="13"/>
        <v>0</v>
      </c>
      <c r="W35" s="3"/>
      <c r="X35" s="8">
        <f t="shared" si="14"/>
        <v>0</v>
      </c>
      <c r="Y35" s="3"/>
      <c r="Z35" s="7">
        <f t="shared" si="15"/>
        <v>0</v>
      </c>
    </row>
    <row r="36" spans="1:26" s="24" customFormat="1" hidden="1" outlineLevel="2" x14ac:dyDescent="0.3">
      <c r="A36" s="29"/>
      <c r="B36" s="11" t="str">
        <f>CONCATENATE("          ", "6007", " - ", "STUDENT HOURLY")</f>
        <v xml:space="preserve">          6007 - STUDENT HOURLY</v>
      </c>
      <c r="C36" s="11"/>
      <c r="D36" s="8"/>
      <c r="E36" s="3"/>
      <c r="F36" s="7">
        <f t="shared" si="8"/>
        <v>0</v>
      </c>
      <c r="G36" s="3"/>
      <c r="H36" s="8">
        <v>0</v>
      </c>
      <c r="I36" s="3"/>
      <c r="J36" s="7">
        <f t="shared" si="9"/>
        <v>0</v>
      </c>
      <c r="K36" s="3"/>
      <c r="L36" s="8">
        <f t="shared" si="10"/>
        <v>0</v>
      </c>
      <c r="M36" s="3"/>
      <c r="N36" s="7">
        <f t="shared" si="11"/>
        <v>0</v>
      </c>
      <c r="O36" s="11"/>
      <c r="P36" s="8"/>
      <c r="Q36" s="3"/>
      <c r="R36" s="7">
        <f t="shared" si="12"/>
        <v>0</v>
      </c>
      <c r="S36" s="3"/>
      <c r="T36" s="8">
        <v>0</v>
      </c>
      <c r="U36" s="3"/>
      <c r="V36" s="7">
        <f t="shared" si="13"/>
        <v>0</v>
      </c>
      <c r="W36" s="3"/>
      <c r="X36" s="8">
        <f t="shared" si="14"/>
        <v>0</v>
      </c>
      <c r="Y36" s="3"/>
      <c r="Z36" s="7">
        <f t="shared" si="15"/>
        <v>0</v>
      </c>
    </row>
    <row r="37" spans="1:26" s="24" customFormat="1" hidden="1" outlineLevel="2" x14ac:dyDescent="0.3">
      <c r="A37" s="29"/>
      <c r="B37" s="11" t="str">
        <f>CONCATENATE("          ", "6008", " - ", "STUDENT HOURLY-FICA EXEMPT")</f>
        <v xml:space="preserve">          6008 - STUDENT HOURLY-FICA EXEMPT</v>
      </c>
      <c r="C37" s="11"/>
      <c r="D37" s="8"/>
      <c r="E37" s="3"/>
      <c r="F37" s="7">
        <f t="shared" si="8"/>
        <v>0</v>
      </c>
      <c r="G37" s="3"/>
      <c r="H37" s="8">
        <v>0</v>
      </c>
      <c r="I37" s="3"/>
      <c r="J37" s="7">
        <f t="shared" si="9"/>
        <v>0</v>
      </c>
      <c r="K37" s="3"/>
      <c r="L37" s="8">
        <f t="shared" si="10"/>
        <v>0</v>
      </c>
      <c r="M37" s="3"/>
      <c r="N37" s="7">
        <f t="shared" si="11"/>
        <v>0</v>
      </c>
      <c r="O37" s="11"/>
      <c r="P37" s="8"/>
      <c r="Q37" s="3"/>
      <c r="R37" s="7">
        <f t="shared" si="12"/>
        <v>0</v>
      </c>
      <c r="S37" s="3"/>
      <c r="T37" s="8">
        <v>0</v>
      </c>
      <c r="U37" s="3"/>
      <c r="V37" s="7">
        <f t="shared" si="13"/>
        <v>0</v>
      </c>
      <c r="W37" s="3"/>
      <c r="X37" s="8">
        <f t="shared" si="14"/>
        <v>0</v>
      </c>
      <c r="Y37" s="3"/>
      <c r="Z37" s="7">
        <f t="shared" si="15"/>
        <v>0</v>
      </c>
    </row>
    <row r="38" spans="1:26" s="24" customFormat="1" hidden="1" outlineLevel="2" x14ac:dyDescent="0.3">
      <c r="A38" s="29"/>
      <c r="B38" s="11" t="str">
        <f>CONCATENATE("          ", "6009", " - ", "TEMPORARY-SEASONAL")</f>
        <v xml:space="preserve">          6009 - TEMPORARY-SEASONAL</v>
      </c>
      <c r="C38" s="11"/>
      <c r="D38" s="8"/>
      <c r="E38" s="3"/>
      <c r="F38" s="7">
        <f t="shared" si="8"/>
        <v>0</v>
      </c>
      <c r="G38" s="3"/>
      <c r="H38" s="8">
        <v>0</v>
      </c>
      <c r="I38" s="3"/>
      <c r="J38" s="7">
        <f t="shared" si="9"/>
        <v>0</v>
      </c>
      <c r="K38" s="3"/>
      <c r="L38" s="8">
        <f t="shared" si="10"/>
        <v>0</v>
      </c>
      <c r="M38" s="3"/>
      <c r="N38" s="7">
        <f t="shared" si="11"/>
        <v>0</v>
      </c>
      <c r="O38" s="11"/>
      <c r="P38" s="8"/>
      <c r="Q38" s="3"/>
      <c r="R38" s="7">
        <f t="shared" si="12"/>
        <v>0</v>
      </c>
      <c r="S38" s="3"/>
      <c r="T38" s="8">
        <v>0</v>
      </c>
      <c r="U38" s="3"/>
      <c r="V38" s="7">
        <f t="shared" si="13"/>
        <v>0</v>
      </c>
      <c r="W38" s="3"/>
      <c r="X38" s="8">
        <f t="shared" si="14"/>
        <v>0</v>
      </c>
      <c r="Y38" s="3"/>
      <c r="Z38" s="7">
        <f t="shared" si="15"/>
        <v>0</v>
      </c>
    </row>
    <row r="39" spans="1:26" s="24" customFormat="1" hidden="1" outlineLevel="2" x14ac:dyDescent="0.3">
      <c r="A39" s="29"/>
      <c r="B39" s="11" t="str">
        <f>CONCATENATE("          ", "6010", " - ", "GRATUITY")</f>
        <v xml:space="preserve">          6010 - GRATUITY</v>
      </c>
      <c r="C39" s="11"/>
      <c r="D39" s="8"/>
      <c r="E39" s="3"/>
      <c r="F39" s="7">
        <f t="shared" si="8"/>
        <v>0</v>
      </c>
      <c r="G39" s="3"/>
      <c r="H39" s="8">
        <v>0</v>
      </c>
      <c r="I39" s="3"/>
      <c r="J39" s="7">
        <f t="shared" si="9"/>
        <v>0</v>
      </c>
      <c r="K39" s="3"/>
      <c r="L39" s="8">
        <f t="shared" si="10"/>
        <v>0</v>
      </c>
      <c r="M39" s="3"/>
      <c r="N39" s="7">
        <f t="shared" si="11"/>
        <v>0</v>
      </c>
      <c r="O39" s="11"/>
      <c r="P39" s="8"/>
      <c r="Q39" s="3"/>
      <c r="R39" s="7">
        <f t="shared" si="12"/>
        <v>0</v>
      </c>
      <c r="S39" s="3"/>
      <c r="T39" s="8">
        <v>0</v>
      </c>
      <c r="U39" s="3"/>
      <c r="V39" s="7">
        <f t="shared" si="13"/>
        <v>0</v>
      </c>
      <c r="W39" s="3"/>
      <c r="X39" s="8">
        <f t="shared" si="14"/>
        <v>0</v>
      </c>
      <c r="Y39" s="3"/>
      <c r="Z39" s="7">
        <f t="shared" si="15"/>
        <v>0</v>
      </c>
    </row>
    <row r="40" spans="1:26" s="27" customFormat="1" outlineLevel="1" collapsed="1" x14ac:dyDescent="0.3">
      <c r="A40" s="28"/>
      <c r="B40" s="14" t="str">
        <f>CONCATENATE("     ","Depreciation                                      ")</f>
        <v xml:space="preserve">     Depreciation                                      </v>
      </c>
      <c r="C40" s="14"/>
      <c r="D40" s="1">
        <f>SUM(OSRRefD22_2x_0)</f>
        <v>314.87</v>
      </c>
      <c r="E40" s="1"/>
      <c r="F40" s="5">
        <f t="shared" ref="F40:F56" si="16">IF(D$12=0,0,D40/D$12)</f>
        <v>0</v>
      </c>
      <c r="G40" s="1"/>
      <c r="H40" s="1">
        <f>SUM(OSRRefH22_2x_0)</f>
        <v>315</v>
      </c>
      <c r="I40" s="1"/>
      <c r="J40" s="5">
        <f t="shared" ref="J40:J56" si="17">IF(H$12=0,0,H40/H$12)</f>
        <v>0</v>
      </c>
      <c r="K40" s="1"/>
      <c r="L40" s="1">
        <f t="shared" ref="L40:L56" si="18">+D40-H40</f>
        <v>-0.12999999999999545</v>
      </c>
      <c r="M40" s="1"/>
      <c r="N40" s="5">
        <f t="shared" ref="N40:N56" si="19">IF(H40=0,0,L40/H40)</f>
        <v>-4.1269841269839827E-4</v>
      </c>
      <c r="O40" s="14"/>
      <c r="P40" s="1">
        <f>SUM(OSRRefP22_2x_0)</f>
        <v>314.87</v>
      </c>
      <c r="Q40" s="1"/>
      <c r="R40" s="5">
        <f t="shared" ref="R40:R56" si="20">IF(P$12=0,0,P40/P$12)</f>
        <v>0</v>
      </c>
      <c r="S40" s="1"/>
      <c r="T40" s="1">
        <f>SUM(OSRRefT22_2x_0)</f>
        <v>315</v>
      </c>
      <c r="U40" s="1"/>
      <c r="V40" s="5">
        <f t="shared" ref="V40:V56" si="21">IF(T$12=0,0,T40/T$12)</f>
        <v>0</v>
      </c>
      <c r="W40" s="1"/>
      <c r="X40" s="1">
        <f t="shared" ref="X40:X56" si="22">+P40-T40</f>
        <v>-0.12999999999999545</v>
      </c>
      <c r="Y40" s="1"/>
      <c r="Z40" s="5">
        <f t="shared" ref="Z40:Z56" si="23">IF(T40=0,0,X40/T40)</f>
        <v>-4.1269841269839827E-4</v>
      </c>
    </row>
    <row r="41" spans="1:26" s="24" customFormat="1" hidden="1" outlineLevel="2" x14ac:dyDescent="0.3">
      <c r="A41" s="29"/>
      <c r="B41" s="11" t="str">
        <f>CONCATENATE("          ", "6322", " - ", "EQUIPMENT DEPRECIATION EXPENSE")</f>
        <v xml:space="preserve">          6322 - EQUIPMENT DEPRECIATION EXPENSE</v>
      </c>
      <c r="C41" s="11"/>
      <c r="D41" s="8">
        <v>314.87</v>
      </c>
      <c r="E41" s="3"/>
      <c r="F41" s="7">
        <f t="shared" si="16"/>
        <v>0</v>
      </c>
      <c r="G41" s="3"/>
      <c r="H41" s="8">
        <v>315</v>
      </c>
      <c r="I41" s="3"/>
      <c r="J41" s="7">
        <f t="shared" si="17"/>
        <v>0</v>
      </c>
      <c r="K41" s="3"/>
      <c r="L41" s="8">
        <f t="shared" si="18"/>
        <v>-0.12999999999999545</v>
      </c>
      <c r="M41" s="3"/>
      <c r="N41" s="7">
        <f t="shared" si="19"/>
        <v>-4.1269841269839827E-4</v>
      </c>
      <c r="O41" s="11"/>
      <c r="P41" s="8">
        <v>314.87</v>
      </c>
      <c r="Q41" s="3"/>
      <c r="R41" s="7">
        <f t="shared" si="20"/>
        <v>0</v>
      </c>
      <c r="S41" s="3"/>
      <c r="T41" s="8">
        <v>315</v>
      </c>
      <c r="U41" s="3"/>
      <c r="V41" s="7">
        <f t="shared" si="21"/>
        <v>0</v>
      </c>
      <c r="W41" s="3"/>
      <c r="X41" s="8">
        <f t="shared" si="22"/>
        <v>-0.12999999999999545</v>
      </c>
      <c r="Y41" s="3"/>
      <c r="Z41" s="7">
        <f t="shared" si="23"/>
        <v>-4.1269841269839827E-4</v>
      </c>
    </row>
    <row r="42" spans="1:26" s="27" customFormat="1" outlineLevel="1" collapsed="1" x14ac:dyDescent="0.3">
      <c r="A42" s="28"/>
      <c r="B42" s="14" t="str">
        <f>CONCATENATE("     ","Donations                                         ")</f>
        <v xml:space="preserve">     Donations                                         </v>
      </c>
      <c r="C42" s="14"/>
      <c r="D42" s="1">
        <f>SUM(OSRRefD22_3x_0)</f>
        <v>0</v>
      </c>
      <c r="E42" s="1"/>
      <c r="F42" s="5">
        <f t="shared" si="16"/>
        <v>0</v>
      </c>
      <c r="G42" s="1"/>
      <c r="H42" s="1">
        <f>SUM(OSRRefH22_3x_0)</f>
        <v>1200</v>
      </c>
      <c r="I42" s="1"/>
      <c r="J42" s="5">
        <f t="shared" si="17"/>
        <v>0</v>
      </c>
      <c r="K42" s="1"/>
      <c r="L42" s="1">
        <f t="shared" si="18"/>
        <v>-1200</v>
      </c>
      <c r="M42" s="1"/>
      <c r="N42" s="5">
        <f t="shared" si="19"/>
        <v>-1</v>
      </c>
      <c r="O42" s="14"/>
      <c r="P42" s="1">
        <f>SUM(OSRRefP22_3x_0)</f>
        <v>0</v>
      </c>
      <c r="Q42" s="1"/>
      <c r="R42" s="5">
        <f t="shared" si="20"/>
        <v>0</v>
      </c>
      <c r="S42" s="1"/>
      <c r="T42" s="1">
        <f>SUM(OSRRefT22_3x_0)</f>
        <v>1200</v>
      </c>
      <c r="U42" s="1"/>
      <c r="V42" s="5">
        <f t="shared" si="21"/>
        <v>0</v>
      </c>
      <c r="W42" s="1"/>
      <c r="X42" s="1">
        <f t="shared" si="22"/>
        <v>-1200</v>
      </c>
      <c r="Y42" s="1"/>
      <c r="Z42" s="5">
        <f t="shared" si="23"/>
        <v>-1</v>
      </c>
    </row>
    <row r="43" spans="1:26" s="24" customFormat="1" hidden="1" outlineLevel="2" x14ac:dyDescent="0.3">
      <c r="A43" s="29"/>
      <c r="B43" s="11" t="str">
        <f>CONCATENATE("          ", "6399", " - ", "DONATION-ON CAMPUS")</f>
        <v xml:space="preserve">          6399 - DONATION-ON CAMPUS</v>
      </c>
      <c r="C43" s="11"/>
      <c r="D43" s="8"/>
      <c r="E43" s="3"/>
      <c r="F43" s="7">
        <f t="shared" si="16"/>
        <v>0</v>
      </c>
      <c r="G43" s="3"/>
      <c r="H43" s="8">
        <v>1200</v>
      </c>
      <c r="I43" s="3"/>
      <c r="J43" s="7">
        <f t="shared" si="17"/>
        <v>0</v>
      </c>
      <c r="K43" s="3"/>
      <c r="L43" s="8">
        <f t="shared" si="18"/>
        <v>-1200</v>
      </c>
      <c r="M43" s="3"/>
      <c r="N43" s="7">
        <f t="shared" si="19"/>
        <v>-1</v>
      </c>
      <c r="O43" s="11"/>
      <c r="P43" s="8"/>
      <c r="Q43" s="3"/>
      <c r="R43" s="7">
        <f t="shared" si="20"/>
        <v>0</v>
      </c>
      <c r="S43" s="3"/>
      <c r="T43" s="8">
        <v>1200</v>
      </c>
      <c r="U43" s="3"/>
      <c r="V43" s="7">
        <f t="shared" si="21"/>
        <v>0</v>
      </c>
      <c r="W43" s="3"/>
      <c r="X43" s="8">
        <f t="shared" si="22"/>
        <v>-1200</v>
      </c>
      <c r="Y43" s="3"/>
      <c r="Z43" s="7">
        <f t="shared" si="23"/>
        <v>-1</v>
      </c>
    </row>
    <row r="44" spans="1:26" s="27" customFormat="1" outlineLevel="1" collapsed="1" x14ac:dyDescent="0.3">
      <c r="A44" s="28"/>
      <c r="B44" s="14" t="str">
        <f>CONCATENATE("     ","Equipment Rental                                  ")</f>
        <v xml:space="preserve">     Equipment Rental                                  </v>
      </c>
      <c r="C44" s="14"/>
      <c r="D44" s="1">
        <f>SUM(OSRRefD22_4x_0)</f>
        <v>117.71</v>
      </c>
      <c r="E44" s="1"/>
      <c r="F44" s="5">
        <f t="shared" si="16"/>
        <v>0</v>
      </c>
      <c r="G44" s="1"/>
      <c r="H44" s="1">
        <f>SUM(OSRRefH22_4x_0)</f>
        <v>118</v>
      </c>
      <c r="I44" s="1"/>
      <c r="J44" s="5">
        <f t="shared" si="17"/>
        <v>0</v>
      </c>
      <c r="K44" s="1"/>
      <c r="L44" s="1">
        <f t="shared" si="18"/>
        <v>-0.29000000000000625</v>
      </c>
      <c r="M44" s="1"/>
      <c r="N44" s="5">
        <f t="shared" si="19"/>
        <v>-2.457627118644121E-3</v>
      </c>
      <c r="O44" s="14"/>
      <c r="P44" s="1">
        <f>SUM(OSRRefP22_4x_0)</f>
        <v>117.71</v>
      </c>
      <c r="Q44" s="1"/>
      <c r="R44" s="5">
        <f t="shared" si="20"/>
        <v>0</v>
      </c>
      <c r="S44" s="1"/>
      <c r="T44" s="1">
        <f>SUM(OSRRefT22_4x_0)</f>
        <v>118</v>
      </c>
      <c r="U44" s="1"/>
      <c r="V44" s="5">
        <f t="shared" si="21"/>
        <v>0</v>
      </c>
      <c r="W44" s="1"/>
      <c r="X44" s="1">
        <f t="shared" si="22"/>
        <v>-0.29000000000000625</v>
      </c>
      <c r="Y44" s="1"/>
      <c r="Z44" s="5">
        <f t="shared" si="23"/>
        <v>-2.457627118644121E-3</v>
      </c>
    </row>
    <row r="45" spans="1:26" s="24" customFormat="1" hidden="1" outlineLevel="2" x14ac:dyDescent="0.3">
      <c r="A45" s="29"/>
      <c r="B45" s="11" t="str">
        <f>CONCATENATE("          ", "6351", " - ", "EQUIPMENT RENTAL")</f>
        <v xml:space="preserve">          6351 - EQUIPMENT RENTAL</v>
      </c>
      <c r="C45" s="11"/>
      <c r="D45" s="8">
        <v>117.71</v>
      </c>
      <c r="E45" s="3"/>
      <c r="F45" s="7">
        <f t="shared" si="16"/>
        <v>0</v>
      </c>
      <c r="G45" s="3"/>
      <c r="H45" s="8">
        <v>118</v>
      </c>
      <c r="I45" s="3"/>
      <c r="J45" s="7">
        <f t="shared" si="17"/>
        <v>0</v>
      </c>
      <c r="K45" s="3"/>
      <c r="L45" s="8">
        <f t="shared" si="18"/>
        <v>-0.29000000000000625</v>
      </c>
      <c r="M45" s="3"/>
      <c r="N45" s="7">
        <f t="shared" si="19"/>
        <v>-2.457627118644121E-3</v>
      </c>
      <c r="O45" s="11"/>
      <c r="P45" s="8">
        <v>117.71</v>
      </c>
      <c r="Q45" s="3"/>
      <c r="R45" s="7">
        <f t="shared" si="20"/>
        <v>0</v>
      </c>
      <c r="S45" s="3"/>
      <c r="T45" s="8">
        <v>118</v>
      </c>
      <c r="U45" s="3"/>
      <c r="V45" s="7">
        <f t="shared" si="21"/>
        <v>0</v>
      </c>
      <c r="W45" s="3"/>
      <c r="X45" s="8">
        <f t="shared" si="22"/>
        <v>-0.29000000000000625</v>
      </c>
      <c r="Y45" s="3"/>
      <c r="Z45" s="7">
        <f t="shared" si="23"/>
        <v>-2.457627118644121E-3</v>
      </c>
    </row>
    <row r="46" spans="1:26" s="27" customFormat="1" outlineLevel="1" collapsed="1" x14ac:dyDescent="0.3">
      <c r="A46" s="28"/>
      <c r="B46" s="14" t="str">
        <f>CONCATENATE("     ","Freight out/Postage                               ")</f>
        <v xml:space="preserve">     Freight out/Postage                               </v>
      </c>
      <c r="C46" s="14"/>
      <c r="D46" s="1">
        <f>SUM(OSRRefD22_5x_0)</f>
        <v>12.88</v>
      </c>
      <c r="E46" s="1"/>
      <c r="F46" s="5">
        <f t="shared" si="16"/>
        <v>0</v>
      </c>
      <c r="G46" s="1"/>
      <c r="H46" s="1">
        <f>SUM(OSRRefH22_5x_0)</f>
        <v>25</v>
      </c>
      <c r="I46" s="1"/>
      <c r="J46" s="5">
        <f t="shared" si="17"/>
        <v>0</v>
      </c>
      <c r="K46" s="1"/>
      <c r="L46" s="1">
        <f t="shared" si="18"/>
        <v>-12.12</v>
      </c>
      <c r="M46" s="1"/>
      <c r="N46" s="5">
        <f t="shared" si="19"/>
        <v>-0.48479999999999995</v>
      </c>
      <c r="O46" s="14"/>
      <c r="P46" s="1">
        <f>SUM(OSRRefP22_5x_0)</f>
        <v>12.88</v>
      </c>
      <c r="Q46" s="1"/>
      <c r="R46" s="5">
        <f t="shared" si="20"/>
        <v>0</v>
      </c>
      <c r="S46" s="1"/>
      <c r="T46" s="1">
        <f>SUM(OSRRefT22_5x_0)</f>
        <v>25</v>
      </c>
      <c r="U46" s="1"/>
      <c r="V46" s="5">
        <f t="shared" si="21"/>
        <v>0</v>
      </c>
      <c r="W46" s="1"/>
      <c r="X46" s="1">
        <f t="shared" si="22"/>
        <v>-12.12</v>
      </c>
      <c r="Y46" s="1"/>
      <c r="Z46" s="5">
        <f t="shared" si="23"/>
        <v>-0.48479999999999995</v>
      </c>
    </row>
    <row r="47" spans="1:26" s="24" customFormat="1" hidden="1" outlineLevel="2" x14ac:dyDescent="0.3">
      <c r="A47" s="29"/>
      <c r="B47" s="11" t="str">
        <f>CONCATENATE("          ", "6307", " - ", "POSTAGE")</f>
        <v xml:space="preserve">          6307 - POSTAGE</v>
      </c>
      <c r="C47" s="11"/>
      <c r="D47" s="8">
        <v>12.88</v>
      </c>
      <c r="E47" s="3"/>
      <c r="F47" s="7">
        <f t="shared" si="16"/>
        <v>0</v>
      </c>
      <c r="G47" s="3"/>
      <c r="H47" s="8">
        <v>25</v>
      </c>
      <c r="I47" s="3"/>
      <c r="J47" s="7">
        <f t="shared" si="17"/>
        <v>0</v>
      </c>
      <c r="K47" s="3"/>
      <c r="L47" s="8">
        <f t="shared" si="18"/>
        <v>-12.12</v>
      </c>
      <c r="M47" s="3"/>
      <c r="N47" s="7">
        <f t="shared" si="19"/>
        <v>-0.48479999999999995</v>
      </c>
      <c r="O47" s="11"/>
      <c r="P47" s="8">
        <v>12.88</v>
      </c>
      <c r="Q47" s="3"/>
      <c r="R47" s="7">
        <f t="shared" si="20"/>
        <v>0</v>
      </c>
      <c r="S47" s="3"/>
      <c r="T47" s="8">
        <v>25</v>
      </c>
      <c r="U47" s="3"/>
      <c r="V47" s="7">
        <f t="shared" si="21"/>
        <v>0</v>
      </c>
      <c r="W47" s="3"/>
      <c r="X47" s="8">
        <f t="shared" si="22"/>
        <v>-12.12</v>
      </c>
      <c r="Y47" s="3"/>
      <c r="Z47" s="7">
        <f t="shared" si="23"/>
        <v>-0.48479999999999995</v>
      </c>
    </row>
    <row r="48" spans="1:26" s="27" customFormat="1" outlineLevel="1" collapsed="1" x14ac:dyDescent="0.3">
      <c r="A48" s="28"/>
      <c r="B48" s="14" t="str">
        <f>CONCATENATE("     ","Insurance                                         ")</f>
        <v xml:space="preserve">     Insurance                                         </v>
      </c>
      <c r="C48" s="14"/>
      <c r="D48" s="1">
        <f>SUM(OSRRefD22_6x_0)</f>
        <v>156.47999999999999</v>
      </c>
      <c r="E48" s="1"/>
      <c r="F48" s="5">
        <f t="shared" si="16"/>
        <v>0</v>
      </c>
      <c r="G48" s="1"/>
      <c r="H48" s="1">
        <f>SUM(OSRRefH22_6x_0)</f>
        <v>150</v>
      </c>
      <c r="I48" s="1"/>
      <c r="J48" s="5">
        <f t="shared" si="17"/>
        <v>0</v>
      </c>
      <c r="K48" s="1"/>
      <c r="L48" s="1">
        <f t="shared" si="18"/>
        <v>6.4799999999999898</v>
      </c>
      <c r="M48" s="1"/>
      <c r="N48" s="5">
        <f t="shared" si="19"/>
        <v>4.3199999999999933E-2</v>
      </c>
      <c r="O48" s="14"/>
      <c r="P48" s="1">
        <f>SUM(OSRRefP22_6x_0)</f>
        <v>156.47999999999999</v>
      </c>
      <c r="Q48" s="1"/>
      <c r="R48" s="5">
        <f t="shared" si="20"/>
        <v>0</v>
      </c>
      <c r="S48" s="1"/>
      <c r="T48" s="1">
        <f>SUM(OSRRefT22_6x_0)</f>
        <v>150</v>
      </c>
      <c r="U48" s="1"/>
      <c r="V48" s="5">
        <f t="shared" si="21"/>
        <v>0</v>
      </c>
      <c r="W48" s="1"/>
      <c r="X48" s="1">
        <f t="shared" si="22"/>
        <v>6.4799999999999898</v>
      </c>
      <c r="Y48" s="1"/>
      <c r="Z48" s="5">
        <f t="shared" si="23"/>
        <v>4.3199999999999933E-2</v>
      </c>
    </row>
    <row r="49" spans="1:26" s="24" customFormat="1" hidden="1" outlineLevel="2" x14ac:dyDescent="0.3">
      <c r="A49" s="29"/>
      <c r="B49" s="11" t="str">
        <f>CONCATENATE("          ", "6314", " - ", "LIABILITY INSURANCE")</f>
        <v xml:space="preserve">          6314 - LIABILITY INSURANCE</v>
      </c>
      <c r="C49" s="11"/>
      <c r="D49" s="8">
        <v>156.47999999999999</v>
      </c>
      <c r="E49" s="3"/>
      <c r="F49" s="7">
        <f t="shared" si="16"/>
        <v>0</v>
      </c>
      <c r="G49" s="3"/>
      <c r="H49" s="8">
        <v>150</v>
      </c>
      <c r="I49" s="3"/>
      <c r="J49" s="7">
        <f t="shared" si="17"/>
        <v>0</v>
      </c>
      <c r="K49" s="3"/>
      <c r="L49" s="8">
        <f t="shared" si="18"/>
        <v>6.4799999999999898</v>
      </c>
      <c r="M49" s="3"/>
      <c r="N49" s="7">
        <f t="shared" si="19"/>
        <v>4.3199999999999933E-2</v>
      </c>
      <c r="O49" s="11"/>
      <c r="P49" s="8">
        <v>156.47999999999999</v>
      </c>
      <c r="Q49" s="3"/>
      <c r="R49" s="7">
        <f t="shared" si="20"/>
        <v>0</v>
      </c>
      <c r="S49" s="3"/>
      <c r="T49" s="8">
        <v>150</v>
      </c>
      <c r="U49" s="3"/>
      <c r="V49" s="7">
        <f t="shared" si="21"/>
        <v>0</v>
      </c>
      <c r="W49" s="3"/>
      <c r="X49" s="8">
        <f t="shared" si="22"/>
        <v>6.4799999999999898</v>
      </c>
      <c r="Y49" s="3"/>
      <c r="Z49" s="7">
        <f t="shared" si="23"/>
        <v>4.3199999999999933E-2</v>
      </c>
    </row>
    <row r="50" spans="1:26" s="27" customFormat="1" outlineLevel="1" collapsed="1" x14ac:dyDescent="0.3">
      <c r="A50" s="28"/>
      <c r="B50" s="14" t="str">
        <f>CONCATENATE("     ","Repair and Maintenance                            ")</f>
        <v xml:space="preserve">     Repair and Maintenance                            </v>
      </c>
      <c r="C50" s="14"/>
      <c r="D50" s="1">
        <f>SUM(OSRRefD22_7x_0)</f>
        <v>2592.1799999999998</v>
      </c>
      <c r="E50" s="1"/>
      <c r="F50" s="5">
        <f t="shared" si="16"/>
        <v>0</v>
      </c>
      <c r="G50" s="1"/>
      <c r="H50" s="1">
        <f>SUM(OSRRefH22_7x_0)</f>
        <v>1530</v>
      </c>
      <c r="I50" s="1"/>
      <c r="J50" s="5">
        <f t="shared" si="17"/>
        <v>0</v>
      </c>
      <c r="K50" s="1"/>
      <c r="L50" s="1">
        <f t="shared" si="18"/>
        <v>1062.1799999999998</v>
      </c>
      <c r="M50" s="1"/>
      <c r="N50" s="5">
        <f t="shared" si="19"/>
        <v>0.69423529411764695</v>
      </c>
      <c r="O50" s="14"/>
      <c r="P50" s="1">
        <f>SUM(OSRRefP22_7x_0)</f>
        <v>2592.1799999999998</v>
      </c>
      <c r="Q50" s="1"/>
      <c r="R50" s="5">
        <f t="shared" si="20"/>
        <v>0</v>
      </c>
      <c r="S50" s="1"/>
      <c r="T50" s="1">
        <f>SUM(OSRRefT22_7x_0)</f>
        <v>1530</v>
      </c>
      <c r="U50" s="1"/>
      <c r="V50" s="5">
        <f t="shared" si="21"/>
        <v>0</v>
      </c>
      <c r="W50" s="1"/>
      <c r="X50" s="1">
        <f t="shared" si="22"/>
        <v>1062.1799999999998</v>
      </c>
      <c r="Y50" s="1"/>
      <c r="Z50" s="5">
        <f t="shared" si="23"/>
        <v>0.69423529411764695</v>
      </c>
    </row>
    <row r="51" spans="1:26" s="24" customFormat="1" hidden="1" outlineLevel="2" x14ac:dyDescent="0.3">
      <c r="A51" s="29"/>
      <c r="B51" s="11" t="str">
        <f>CONCATENATE("          ", "6373", " - ", "MAINTENANCE CONTRACTS")</f>
        <v xml:space="preserve">          6373 - MAINTENANCE CONTRACTS</v>
      </c>
      <c r="C51" s="11"/>
      <c r="D51" s="8">
        <v>2592.1799999999998</v>
      </c>
      <c r="E51" s="3"/>
      <c r="F51" s="7">
        <f t="shared" si="16"/>
        <v>0</v>
      </c>
      <c r="G51" s="3"/>
      <c r="H51" s="8">
        <v>1530</v>
      </c>
      <c r="I51" s="3"/>
      <c r="J51" s="7">
        <f t="shared" si="17"/>
        <v>0</v>
      </c>
      <c r="K51" s="3"/>
      <c r="L51" s="8">
        <f t="shared" si="18"/>
        <v>1062.1799999999998</v>
      </c>
      <c r="M51" s="3"/>
      <c r="N51" s="7">
        <f t="shared" si="19"/>
        <v>0.69423529411764695</v>
      </c>
      <c r="O51" s="11"/>
      <c r="P51" s="8">
        <v>2592.1799999999998</v>
      </c>
      <c r="Q51" s="3"/>
      <c r="R51" s="7">
        <f t="shared" si="20"/>
        <v>0</v>
      </c>
      <c r="S51" s="3"/>
      <c r="T51" s="8">
        <v>1530</v>
      </c>
      <c r="U51" s="3"/>
      <c r="V51" s="7">
        <f t="shared" si="21"/>
        <v>0</v>
      </c>
      <c r="W51" s="3"/>
      <c r="X51" s="8">
        <f t="shared" si="22"/>
        <v>1062.1799999999998</v>
      </c>
      <c r="Y51" s="3"/>
      <c r="Z51" s="7">
        <f t="shared" si="23"/>
        <v>0.69423529411764695</v>
      </c>
    </row>
    <row r="52" spans="1:26" s="27" customFormat="1" outlineLevel="1" collapsed="1" x14ac:dyDescent="0.3">
      <c r="A52" s="28"/>
      <c r="B52" s="14" t="str">
        <f>CONCATENATE("     ","Subscriptions &amp; Dues                              ")</f>
        <v xml:space="preserve">     Subscriptions &amp; Dues                              </v>
      </c>
      <c r="C52" s="14"/>
      <c r="D52" s="1">
        <f>SUM(OSRRefD22_8x_0)</f>
        <v>0</v>
      </c>
      <c r="E52" s="1"/>
      <c r="F52" s="5">
        <f t="shared" si="16"/>
        <v>0</v>
      </c>
      <c r="G52" s="1"/>
      <c r="H52" s="1">
        <f>SUM(OSRRefH22_8x_0)</f>
        <v>250</v>
      </c>
      <c r="I52" s="1"/>
      <c r="J52" s="5">
        <f t="shared" si="17"/>
        <v>0</v>
      </c>
      <c r="K52" s="1"/>
      <c r="L52" s="1">
        <f t="shared" si="18"/>
        <v>-250</v>
      </c>
      <c r="M52" s="1"/>
      <c r="N52" s="5">
        <f t="shared" si="19"/>
        <v>-1</v>
      </c>
      <c r="O52" s="14"/>
      <c r="P52" s="1">
        <f>SUM(OSRRefP22_8x_0)</f>
        <v>0</v>
      </c>
      <c r="Q52" s="1"/>
      <c r="R52" s="5">
        <f t="shared" si="20"/>
        <v>0</v>
      </c>
      <c r="S52" s="1"/>
      <c r="T52" s="1">
        <f>SUM(OSRRefT22_8x_0)</f>
        <v>250</v>
      </c>
      <c r="U52" s="1"/>
      <c r="V52" s="5">
        <f t="shared" si="21"/>
        <v>0</v>
      </c>
      <c r="W52" s="1"/>
      <c r="X52" s="1">
        <f t="shared" si="22"/>
        <v>-250</v>
      </c>
      <c r="Y52" s="1"/>
      <c r="Z52" s="5">
        <f t="shared" si="23"/>
        <v>-1</v>
      </c>
    </row>
    <row r="53" spans="1:26" s="24" customFormat="1" hidden="1" outlineLevel="2" x14ac:dyDescent="0.3">
      <c r="A53" s="29"/>
      <c r="B53" s="11" t="str">
        <f>CONCATENATE("          ", "6258", " - ", "MEMBERSHIP DUES")</f>
        <v xml:space="preserve">          6258 - MEMBERSHIP DUES</v>
      </c>
      <c r="C53" s="11"/>
      <c r="D53" s="8"/>
      <c r="E53" s="3"/>
      <c r="F53" s="7">
        <f t="shared" si="16"/>
        <v>0</v>
      </c>
      <c r="G53" s="3"/>
      <c r="H53" s="8">
        <v>250</v>
      </c>
      <c r="I53" s="3"/>
      <c r="J53" s="7">
        <f t="shared" si="17"/>
        <v>0</v>
      </c>
      <c r="K53" s="3"/>
      <c r="L53" s="8">
        <f t="shared" si="18"/>
        <v>-250</v>
      </c>
      <c r="M53" s="3"/>
      <c r="N53" s="7">
        <f t="shared" si="19"/>
        <v>-1</v>
      </c>
      <c r="O53" s="11"/>
      <c r="P53" s="8"/>
      <c r="Q53" s="3"/>
      <c r="R53" s="7">
        <f t="shared" si="20"/>
        <v>0</v>
      </c>
      <c r="S53" s="3"/>
      <c r="T53" s="8">
        <v>250</v>
      </c>
      <c r="U53" s="3"/>
      <c r="V53" s="7">
        <f t="shared" si="21"/>
        <v>0</v>
      </c>
      <c r="W53" s="3"/>
      <c r="X53" s="8">
        <f t="shared" si="22"/>
        <v>-250</v>
      </c>
      <c r="Y53" s="3"/>
      <c r="Z53" s="7">
        <f t="shared" si="23"/>
        <v>-1</v>
      </c>
    </row>
    <row r="54" spans="1:26" s="27" customFormat="1" outlineLevel="1" collapsed="1" x14ac:dyDescent="0.3">
      <c r="A54" s="28"/>
      <c r="B54" s="14" t="str">
        <f>CONCATENATE("     ","Supplies                                          ")</f>
        <v xml:space="preserve">     Supplies                                          </v>
      </c>
      <c r="C54" s="14"/>
      <c r="D54" s="1">
        <f>SUM(OSRRefD22_9x_0)</f>
        <v>6.05</v>
      </c>
      <c r="E54" s="1"/>
      <c r="F54" s="5">
        <f t="shared" si="16"/>
        <v>0</v>
      </c>
      <c r="G54" s="1"/>
      <c r="H54" s="1">
        <f>SUM(OSRRefH22_9x_0)</f>
        <v>125</v>
      </c>
      <c r="I54" s="1"/>
      <c r="J54" s="5">
        <f t="shared" si="17"/>
        <v>0</v>
      </c>
      <c r="K54" s="1"/>
      <c r="L54" s="1">
        <f t="shared" si="18"/>
        <v>-118.95</v>
      </c>
      <c r="M54" s="1"/>
      <c r="N54" s="5">
        <f t="shared" si="19"/>
        <v>-0.9516</v>
      </c>
      <c r="O54" s="14"/>
      <c r="P54" s="1">
        <f>SUM(OSRRefP22_9x_0)</f>
        <v>6.05</v>
      </c>
      <c r="Q54" s="1"/>
      <c r="R54" s="5">
        <f t="shared" si="20"/>
        <v>0</v>
      </c>
      <c r="S54" s="1"/>
      <c r="T54" s="1">
        <f>SUM(OSRRefT22_9x_0)</f>
        <v>125</v>
      </c>
      <c r="U54" s="1"/>
      <c r="V54" s="5">
        <f t="shared" si="21"/>
        <v>0</v>
      </c>
      <c r="W54" s="1"/>
      <c r="X54" s="1">
        <f t="shared" si="22"/>
        <v>-118.95</v>
      </c>
      <c r="Y54" s="1"/>
      <c r="Z54" s="5">
        <f t="shared" si="23"/>
        <v>-0.9516</v>
      </c>
    </row>
    <row r="55" spans="1:26" s="24" customFormat="1" hidden="1" outlineLevel="2" x14ac:dyDescent="0.3">
      <c r="A55" s="29"/>
      <c r="B55" s="11" t="str">
        <f>CONCATENATE("          ", "6234", " - ", "EXPENDABLE SUPPLIES &amp; EQUIPMEN")</f>
        <v xml:space="preserve">          6234 - EXPENDABLE SUPPLIES &amp; EQUIPMEN</v>
      </c>
      <c r="C55" s="11"/>
      <c r="D55" s="8"/>
      <c r="E55" s="3"/>
      <c r="F55" s="7">
        <f t="shared" si="16"/>
        <v>0</v>
      </c>
      <c r="G55" s="3"/>
      <c r="H55" s="8">
        <v>125</v>
      </c>
      <c r="I55" s="3"/>
      <c r="J55" s="7">
        <f t="shared" si="17"/>
        <v>0</v>
      </c>
      <c r="K55" s="3"/>
      <c r="L55" s="8">
        <f t="shared" si="18"/>
        <v>-125</v>
      </c>
      <c r="M55" s="3"/>
      <c r="N55" s="7">
        <f t="shared" si="19"/>
        <v>-1</v>
      </c>
      <c r="O55" s="11"/>
      <c r="P55" s="8"/>
      <c r="Q55" s="3"/>
      <c r="R55" s="7">
        <f t="shared" si="20"/>
        <v>0</v>
      </c>
      <c r="S55" s="3"/>
      <c r="T55" s="8">
        <v>125</v>
      </c>
      <c r="U55" s="3"/>
      <c r="V55" s="7">
        <f t="shared" si="21"/>
        <v>0</v>
      </c>
      <c r="W55" s="3"/>
      <c r="X55" s="8">
        <f t="shared" si="22"/>
        <v>-125</v>
      </c>
      <c r="Y55" s="3"/>
      <c r="Z55" s="7">
        <f t="shared" si="23"/>
        <v>-1</v>
      </c>
    </row>
    <row r="56" spans="1:26" s="24" customFormat="1" hidden="1" outlineLevel="2" x14ac:dyDescent="0.3">
      <c r="A56" s="29"/>
      <c r="B56" s="11" t="str">
        <f>CONCATENATE("          ", "6241", " - ", "OFFICE EXPENSE")</f>
        <v xml:space="preserve">          6241 - OFFICE EXPENSE</v>
      </c>
      <c r="C56" s="11"/>
      <c r="D56" s="8">
        <v>6.05</v>
      </c>
      <c r="E56" s="3"/>
      <c r="F56" s="7">
        <f t="shared" si="16"/>
        <v>0</v>
      </c>
      <c r="G56" s="3"/>
      <c r="H56" s="8"/>
      <c r="I56" s="3"/>
      <c r="J56" s="7">
        <f t="shared" si="17"/>
        <v>0</v>
      </c>
      <c r="K56" s="3"/>
      <c r="L56" s="8">
        <f t="shared" si="18"/>
        <v>6.05</v>
      </c>
      <c r="M56" s="3"/>
      <c r="N56" s="7">
        <f t="shared" si="19"/>
        <v>0</v>
      </c>
      <c r="O56" s="11"/>
      <c r="P56" s="8">
        <v>6.05</v>
      </c>
      <c r="Q56" s="3"/>
      <c r="R56" s="7">
        <f t="shared" si="20"/>
        <v>0</v>
      </c>
      <c r="S56" s="3"/>
      <c r="T56" s="8"/>
      <c r="U56" s="3"/>
      <c r="V56" s="7">
        <f t="shared" si="21"/>
        <v>0</v>
      </c>
      <c r="W56" s="3"/>
      <c r="X56" s="8">
        <f t="shared" si="22"/>
        <v>6.05</v>
      </c>
      <c r="Y56" s="3"/>
      <c r="Z56" s="7">
        <f t="shared" si="23"/>
        <v>0</v>
      </c>
    </row>
    <row r="57" spans="1:26" s="27" customFormat="1" outlineLevel="1" collapsed="1" x14ac:dyDescent="0.3">
      <c r="A57" s="28"/>
      <c r="B57" s="14" t="str">
        <f>CONCATENATE("     ","Telephone/Data Lines                              ")</f>
        <v xml:space="preserve">     Telephone/Data Lines                              </v>
      </c>
      <c r="C57" s="14"/>
      <c r="D57" s="1">
        <f>SUM(OSRRefD22_10x_0)</f>
        <v>655.26</v>
      </c>
      <c r="E57" s="1"/>
      <c r="F57" s="5">
        <f t="shared" ref="F57:F58" si="24">IF(D$12=0,0,D57/D$12)</f>
        <v>0</v>
      </c>
      <c r="G57" s="1"/>
      <c r="H57" s="1">
        <f>SUM(OSRRefH22_10x_0)</f>
        <v>425</v>
      </c>
      <c r="I57" s="1"/>
      <c r="J57" s="5">
        <f t="shared" ref="J57:J58" si="25">IF(H$12=0,0,H57/H$12)</f>
        <v>0</v>
      </c>
      <c r="K57" s="1"/>
      <c r="L57" s="1">
        <f t="shared" ref="L57:L58" si="26">+D57-H57</f>
        <v>230.26</v>
      </c>
      <c r="M57" s="1"/>
      <c r="N57" s="5">
        <f t="shared" ref="N57:N58" si="27">IF(H57=0,0,L57/H57)</f>
        <v>0.54178823529411757</v>
      </c>
      <c r="O57" s="14"/>
      <c r="P57" s="1">
        <f>SUM(OSRRefP22_10x_0)</f>
        <v>655.26</v>
      </c>
      <c r="Q57" s="1"/>
      <c r="R57" s="5">
        <f t="shared" ref="R57:R58" si="28">IF(P$12=0,0,P57/P$12)</f>
        <v>0</v>
      </c>
      <c r="S57" s="1"/>
      <c r="T57" s="1">
        <f>SUM(OSRRefT22_10x_0)</f>
        <v>425</v>
      </c>
      <c r="U57" s="1"/>
      <c r="V57" s="5">
        <f t="shared" ref="V57:V58" si="29">IF(T$12=0,0,T57/T$12)</f>
        <v>0</v>
      </c>
      <c r="W57" s="1"/>
      <c r="X57" s="1">
        <f t="shared" ref="X57:X58" si="30">+P57-T57</f>
        <v>230.26</v>
      </c>
      <c r="Y57" s="1"/>
      <c r="Z57" s="5">
        <f t="shared" ref="Z57:Z58" si="31">IF(T57=0,0,X57/T57)</f>
        <v>0.54178823529411757</v>
      </c>
    </row>
    <row r="58" spans="1:26" s="24" customFormat="1" hidden="1" outlineLevel="2" x14ac:dyDescent="0.3">
      <c r="A58" s="29"/>
      <c r="B58" s="11" t="str">
        <f>CONCATENATE("          ", "6309", " - ", "TELEPHONE")</f>
        <v xml:space="preserve">          6309 - TELEPHONE</v>
      </c>
      <c r="C58" s="11"/>
      <c r="D58" s="8">
        <v>655.26</v>
      </c>
      <c r="E58" s="3"/>
      <c r="F58" s="7">
        <f t="shared" si="24"/>
        <v>0</v>
      </c>
      <c r="G58" s="3"/>
      <c r="H58" s="8">
        <v>425</v>
      </c>
      <c r="I58" s="3"/>
      <c r="J58" s="7">
        <f t="shared" si="25"/>
        <v>0</v>
      </c>
      <c r="K58" s="3"/>
      <c r="L58" s="8">
        <f t="shared" si="26"/>
        <v>230.26</v>
      </c>
      <c r="M58" s="3"/>
      <c r="N58" s="7">
        <f t="shared" si="27"/>
        <v>0.54178823529411757</v>
      </c>
      <c r="O58" s="11"/>
      <c r="P58" s="8">
        <v>655.26</v>
      </c>
      <c r="Q58" s="3"/>
      <c r="R58" s="7">
        <f t="shared" si="28"/>
        <v>0</v>
      </c>
      <c r="S58" s="3"/>
      <c r="T58" s="8">
        <v>425</v>
      </c>
      <c r="U58" s="3"/>
      <c r="V58" s="7">
        <f t="shared" si="29"/>
        <v>0</v>
      </c>
      <c r="W58" s="3"/>
      <c r="X58" s="8">
        <f t="shared" si="30"/>
        <v>230.26</v>
      </c>
      <c r="Y58" s="3"/>
      <c r="Z58" s="7">
        <f t="shared" si="31"/>
        <v>0.54178823529411757</v>
      </c>
    </row>
    <row r="59" spans="1:26" s="62" customFormat="1" x14ac:dyDescent="0.3">
      <c r="A59" s="36"/>
      <c r="B59" s="36"/>
      <c r="C59" s="36"/>
      <c r="D59" s="1"/>
      <c r="E59" s="1"/>
      <c r="F59" s="5"/>
      <c r="G59" s="1"/>
      <c r="H59" s="1"/>
      <c r="I59" s="1"/>
      <c r="J59" s="5"/>
      <c r="K59" s="1"/>
      <c r="L59" s="1"/>
      <c r="M59" s="1"/>
      <c r="N59" s="5"/>
      <c r="O59" s="36"/>
      <c r="P59" s="1"/>
      <c r="Q59" s="1"/>
      <c r="R59" s="5"/>
      <c r="S59" s="1"/>
      <c r="T59" s="1"/>
      <c r="U59" s="1"/>
      <c r="V59" s="5"/>
      <c r="W59" s="1"/>
      <c r="X59" s="1"/>
      <c r="Y59" s="1"/>
      <c r="Z59" s="5"/>
    </row>
    <row r="60" spans="1:26" s="23" customFormat="1" x14ac:dyDescent="0.3">
      <c r="A60" s="10"/>
      <c r="B60" s="25" t="s">
        <v>293</v>
      </c>
      <c r="C60" s="10"/>
      <c r="D60" s="4">
        <f>SUM(0)</f>
        <v>0</v>
      </c>
      <c r="E60" s="4"/>
      <c r="F60" s="12">
        <f>IF(D$12=0,0,D60/D$12)</f>
        <v>0</v>
      </c>
      <c r="G60" s="4"/>
      <c r="H60" s="4">
        <f>SUM(0)</f>
        <v>0</v>
      </c>
      <c r="I60" s="4"/>
      <c r="J60" s="12">
        <f>IF(H$12=0,0,H60/H$12)</f>
        <v>0</v>
      </c>
      <c r="K60" s="4"/>
      <c r="L60" s="4">
        <f>+D60-H60</f>
        <v>0</v>
      </c>
      <c r="M60" s="4"/>
      <c r="N60" s="12">
        <f>IF(H60=0,0,L60/H60)</f>
        <v>0</v>
      </c>
      <c r="O60" s="10"/>
      <c r="P60" s="4">
        <f>SUM(0)</f>
        <v>0</v>
      </c>
      <c r="Q60" s="4"/>
      <c r="R60" s="12">
        <f>IF(P$12=0,0,P60/P$12)</f>
        <v>0</v>
      </c>
      <c r="S60" s="4"/>
      <c r="T60" s="4">
        <f>SUM(0)</f>
        <v>0</v>
      </c>
      <c r="U60" s="4"/>
      <c r="V60" s="12">
        <f>IF(T$12=0,0,T60/T$12)</f>
        <v>0</v>
      </c>
      <c r="W60" s="4"/>
      <c r="X60" s="4">
        <f>+P60-T60</f>
        <v>0</v>
      </c>
      <c r="Y60" s="4"/>
      <c r="Z60" s="12">
        <f>IF(T60=0,0,X60/T60)</f>
        <v>0</v>
      </c>
    </row>
    <row r="61" spans="1:26" x14ac:dyDescent="0.3">
      <c r="A61" s="9"/>
      <c r="B61" s="10"/>
      <c r="C61" s="10"/>
      <c r="D61" s="2"/>
      <c r="E61" s="2"/>
      <c r="F61" s="6"/>
      <c r="G61" s="2"/>
      <c r="H61" s="2"/>
      <c r="I61" s="2"/>
      <c r="J61" s="6"/>
      <c r="K61" s="2"/>
      <c r="L61" s="2"/>
      <c r="M61" s="2"/>
      <c r="N61" s="6"/>
      <c r="O61" s="10"/>
      <c r="P61" s="2"/>
      <c r="Q61" s="2"/>
      <c r="R61" s="6"/>
      <c r="S61" s="2"/>
      <c r="T61" s="2"/>
      <c r="U61" s="2"/>
      <c r="V61" s="6"/>
      <c r="W61" s="2"/>
      <c r="X61" s="2"/>
      <c r="Y61" s="2"/>
      <c r="Z61" s="6"/>
    </row>
    <row r="62" spans="1:26" s="23" customFormat="1" x14ac:dyDescent="0.3">
      <c r="A62" s="10"/>
      <c r="B62" s="26" t="s">
        <v>277</v>
      </c>
      <c r="C62" s="26"/>
      <c r="D62" s="21">
        <f>+D16-D18+D60</f>
        <v>-35851.090000000004</v>
      </c>
      <c r="E62" s="13"/>
      <c r="F62" s="22">
        <f>IF(D$12=0,0,D62/D$12)</f>
        <v>0</v>
      </c>
      <c r="G62" s="13"/>
      <c r="H62" s="21">
        <f>+H16-H18+H60</f>
        <v>-35072.47803846153</v>
      </c>
      <c r="I62" s="13"/>
      <c r="J62" s="22">
        <f>IF(H$12=0,0,H62/H$12)</f>
        <v>0</v>
      </c>
      <c r="K62" s="16"/>
      <c r="L62" s="21">
        <f>+D62-H62</f>
        <v>-778.61196153847413</v>
      </c>
      <c r="M62" s="16"/>
      <c r="N62" s="22">
        <f>IF(H62=0,0,L62/H62)</f>
        <v>2.220008408543659E-2</v>
      </c>
      <c r="O62" s="25"/>
      <c r="P62" s="21">
        <f>+P16-P18+P60</f>
        <v>-35851.090000000004</v>
      </c>
      <c r="Q62" s="13"/>
      <c r="R62" s="22">
        <f>IF(P$12=0,0,P62/P$12)</f>
        <v>0</v>
      </c>
      <c r="S62" s="13"/>
      <c r="T62" s="21">
        <f>+T16-T18+T60</f>
        <v>-35072.47803846153</v>
      </c>
      <c r="U62" s="13"/>
      <c r="V62" s="22">
        <f>IF(T$12=0,0,T62/T$12)</f>
        <v>0</v>
      </c>
      <c r="W62" s="16"/>
      <c r="X62" s="21">
        <f>+P62-T62</f>
        <v>-778.61196153847413</v>
      </c>
      <c r="Y62" s="16"/>
      <c r="Z62" s="22">
        <f>IF(T62=0,0,X62/T62)</f>
        <v>2.220008408543659E-2</v>
      </c>
    </row>
    <row r="63" spans="1:26" x14ac:dyDescent="0.3">
      <c r="A63" s="9"/>
      <c r="B63" s="10"/>
      <c r="C63" s="9"/>
      <c r="D63" s="2"/>
      <c r="E63" s="2"/>
      <c r="F63" s="6"/>
      <c r="G63" s="2"/>
      <c r="H63" s="2"/>
      <c r="I63" s="2"/>
      <c r="J63" s="6"/>
      <c r="K63" s="2"/>
      <c r="L63" s="2"/>
      <c r="M63" s="2"/>
      <c r="N63" s="6"/>
      <c r="P63" s="2"/>
      <c r="Q63" s="2"/>
      <c r="R63" s="6"/>
      <c r="S63" s="2"/>
      <c r="T63" s="2"/>
      <c r="U63" s="2"/>
      <c r="V63" s="6"/>
      <c r="W63" s="2"/>
      <c r="X63" s="2"/>
      <c r="Y63" s="2"/>
      <c r="Z63" s="6"/>
    </row>
    <row r="64" spans="1:26" s="23" customFormat="1" x14ac:dyDescent="0.3">
      <c r="A64" s="52"/>
      <c r="B64" s="10" t="s">
        <v>128</v>
      </c>
      <c r="C64" s="10"/>
      <c r="D64" s="4"/>
      <c r="E64" s="4"/>
      <c r="F64" s="12">
        <f>IF(D$12=0,0,D64/D$12)</f>
        <v>0</v>
      </c>
      <c r="G64" s="4"/>
      <c r="H64" s="4"/>
      <c r="I64" s="4"/>
      <c r="J64" s="12">
        <f>IF(H$12=0,0,H64/H$12)</f>
        <v>0</v>
      </c>
      <c r="K64" s="4"/>
      <c r="L64" s="4">
        <f>+D64-H64</f>
        <v>0</v>
      </c>
      <c r="M64" s="4"/>
      <c r="N64" s="12">
        <f>IF(H64=0,0,L64/H64)</f>
        <v>0</v>
      </c>
      <c r="O64" s="10"/>
      <c r="P64" s="4"/>
      <c r="Q64" s="4"/>
      <c r="R64" s="12">
        <f>IF(P$12=0,0,P64/P$12)</f>
        <v>0</v>
      </c>
      <c r="S64" s="4"/>
      <c r="T64" s="4"/>
      <c r="U64" s="4"/>
      <c r="V64" s="12">
        <f>IF(T$12=0,0,T64/T$12)</f>
        <v>0</v>
      </c>
      <c r="W64" s="4"/>
      <c r="X64" s="4">
        <f>+P64-T64</f>
        <v>0</v>
      </c>
      <c r="Y64" s="4"/>
      <c r="Z64" s="12">
        <f>IF(T64=0,0,X64/T64)</f>
        <v>0</v>
      </c>
    </row>
    <row r="65" spans="1:26" x14ac:dyDescent="0.3">
      <c r="A65" s="9"/>
      <c r="B65" s="10"/>
      <c r="C65" s="10"/>
      <c r="D65" s="2"/>
      <c r="E65" s="2"/>
      <c r="F65" s="6"/>
      <c r="G65" s="2"/>
      <c r="H65" s="2"/>
      <c r="I65" s="2"/>
      <c r="J65" s="6"/>
      <c r="K65" s="2"/>
      <c r="L65" s="2"/>
      <c r="M65" s="2"/>
      <c r="N65" s="6"/>
      <c r="O65" s="10"/>
      <c r="P65" s="2"/>
      <c r="Q65" s="2"/>
      <c r="R65" s="6"/>
      <c r="S65" s="2"/>
      <c r="T65" s="2"/>
      <c r="U65" s="2"/>
      <c r="V65" s="6"/>
      <c r="W65" s="2"/>
      <c r="X65" s="2"/>
      <c r="Y65" s="2"/>
      <c r="Z65" s="6"/>
    </row>
    <row r="66" spans="1:26" s="23" customFormat="1" ht="15" thickBot="1" x14ac:dyDescent="0.35">
      <c r="A66" s="10"/>
      <c r="B66" s="26" t="s">
        <v>126</v>
      </c>
      <c r="C66" s="26"/>
      <c r="D66" s="35">
        <f>+D62-D64</f>
        <v>-35851.090000000004</v>
      </c>
      <c r="E66" s="13"/>
      <c r="F66" s="30">
        <f>IF(D$12=0,0,D66/D$12)</f>
        <v>0</v>
      </c>
      <c r="G66" s="13"/>
      <c r="H66" s="35">
        <f>+H62-H64</f>
        <v>-35072.47803846153</v>
      </c>
      <c r="I66" s="13"/>
      <c r="J66" s="30">
        <f>IF(H$12=0,0,H66/H$12)</f>
        <v>0</v>
      </c>
      <c r="K66" s="16"/>
      <c r="L66" s="35">
        <f>D66-H66</f>
        <v>-778.61196153847413</v>
      </c>
      <c r="M66" s="16"/>
      <c r="N66" s="30">
        <f>IF(H66=0,0,L66/H66)</f>
        <v>2.220008408543659E-2</v>
      </c>
      <c r="O66" s="25"/>
      <c r="P66" s="35">
        <f>+P62-P64</f>
        <v>-35851.090000000004</v>
      </c>
      <c r="Q66" s="13"/>
      <c r="R66" s="30">
        <f>IF(P$12=0,0,P66/P$12)</f>
        <v>0</v>
      </c>
      <c r="S66" s="13"/>
      <c r="T66" s="35">
        <f>+T62-T64</f>
        <v>-35072.47803846153</v>
      </c>
      <c r="U66" s="13"/>
      <c r="V66" s="30">
        <f>IF(T$12=0,0,T66/T$12)</f>
        <v>0</v>
      </c>
      <c r="W66" s="16"/>
      <c r="X66" s="35">
        <f>P66-T66</f>
        <v>-778.61196153847413</v>
      </c>
      <c r="Y66" s="16"/>
      <c r="Z66" s="30">
        <f>IF(T66=0,0,X66/T66)</f>
        <v>2.220008408543659E-2</v>
      </c>
    </row>
    <row r="67" spans="1:26" ht="15" thickTop="1" x14ac:dyDescent="0.3">
      <c r="A67" s="9"/>
      <c r="B67" s="9"/>
      <c r="C67" s="9"/>
      <c r="D67" s="2"/>
      <c r="E67" s="2"/>
      <c r="F67" s="6"/>
      <c r="G67" s="2"/>
      <c r="H67" s="2"/>
      <c r="I67" s="2"/>
      <c r="J67" s="6"/>
      <c r="K67" s="2"/>
      <c r="L67" s="2"/>
      <c r="M67" s="2"/>
      <c r="N67" s="6"/>
      <c r="P67" s="2"/>
      <c r="Q67" s="2"/>
      <c r="R67" s="6"/>
      <c r="S67" s="2"/>
      <c r="T67" s="2"/>
      <c r="U67" s="2"/>
      <c r="V67" s="6"/>
      <c r="W67" s="2"/>
      <c r="X67" s="2"/>
      <c r="Y67" s="2"/>
      <c r="Z67" s="6"/>
    </row>
    <row r="68" spans="1:26" x14ac:dyDescent="0.3">
      <c r="A68" s="9"/>
      <c r="B68" s="9"/>
      <c r="C68" s="9"/>
      <c r="D68" s="2"/>
      <c r="E68" s="2"/>
      <c r="F68" s="6"/>
      <c r="G68" s="2"/>
      <c r="H68" s="2"/>
      <c r="I68" s="2"/>
      <c r="J68" s="6"/>
      <c r="K68" s="2"/>
      <c r="L68" s="2"/>
      <c r="M68" s="2"/>
      <c r="N68" s="6"/>
      <c r="P68" s="2"/>
      <c r="Q68" s="2"/>
      <c r="R68" s="6"/>
      <c r="S68" s="2"/>
      <c r="T68" s="2"/>
      <c r="U68" s="2"/>
      <c r="V68" s="6"/>
      <c r="W68" s="2"/>
      <c r="X68" s="2"/>
      <c r="Y68" s="2"/>
      <c r="Z68" s="6"/>
    </row>
    <row r="69" spans="1:26" s="23" customFormat="1" ht="15" thickBot="1" x14ac:dyDescent="0.35">
      <c r="A69" s="10"/>
      <c r="B69" s="26" t="s">
        <v>294</v>
      </c>
      <c r="C69" s="26"/>
      <c r="D69" s="33">
        <f>SUM(D66:D68)</f>
        <v>-35851.090000000004</v>
      </c>
      <c r="E69" s="13"/>
      <c r="F69" s="31">
        <f>IF(D$12=0,0,D69/D$12)</f>
        <v>0</v>
      </c>
      <c r="G69" s="13"/>
      <c r="H69" s="33">
        <f>SUM(H66:H68)</f>
        <v>-35072.47803846153</v>
      </c>
      <c r="I69" s="13"/>
      <c r="J69" s="31">
        <f>IF(H$12=0,0,H69/H$12)</f>
        <v>0</v>
      </c>
      <c r="K69" s="16"/>
      <c r="L69" s="33">
        <f>+D69-H69</f>
        <v>-778.61196153847413</v>
      </c>
      <c r="M69" s="16"/>
      <c r="N69" s="31">
        <f>IF(H69=0,0,L69/H69)</f>
        <v>2.220008408543659E-2</v>
      </c>
      <c r="O69" s="25"/>
      <c r="P69" s="33">
        <f>SUM(P66:P68)</f>
        <v>-35851.090000000004</v>
      </c>
      <c r="Q69" s="13"/>
      <c r="R69" s="31">
        <f>IF(P$12=0,0,P69/P$12)</f>
        <v>0</v>
      </c>
      <c r="S69" s="13"/>
      <c r="T69" s="33">
        <f>SUM(T66:T68)</f>
        <v>-35072.47803846153</v>
      </c>
      <c r="U69" s="13"/>
      <c r="V69" s="31">
        <f>IF(T$12=0,0,T69/T$12)</f>
        <v>0</v>
      </c>
      <c r="W69" s="16"/>
      <c r="X69" s="33">
        <f>+P69-T69</f>
        <v>-778.61196153847413</v>
      </c>
      <c r="Y69" s="16"/>
      <c r="Z69" s="31">
        <f>IF(T69=0,0,X69/T69)</f>
        <v>2.220008408543659E-2</v>
      </c>
    </row>
    <row r="70" spans="1:26" ht="15" thickTop="1" x14ac:dyDescent="0.3">
      <c r="A70" s="9"/>
      <c r="C70" s="9"/>
      <c r="D70" s="18"/>
      <c r="E70" s="18"/>
      <c r="G70" s="18"/>
      <c r="H70" s="18"/>
      <c r="I70" s="18"/>
      <c r="J70" s="43"/>
      <c r="K70" s="18"/>
      <c r="L70" s="18"/>
      <c r="M70" s="18"/>
      <c r="P70" s="18"/>
      <c r="Q70" s="18"/>
      <c r="R70" s="43"/>
      <c r="S70" s="18"/>
      <c r="T70" s="18"/>
      <c r="U70" s="18"/>
      <c r="V70" s="43"/>
      <c r="W70" s="18"/>
      <c r="X70" s="18"/>
    </row>
    <row r="71" spans="1:26" x14ac:dyDescent="0.3">
      <c r="A71" s="9"/>
      <c r="B71" s="54">
        <v>44462.64548684028</v>
      </c>
      <c r="D71" s="18"/>
      <c r="E71" s="18"/>
      <c r="G71" s="18"/>
      <c r="H71" s="18"/>
      <c r="I71" s="18"/>
      <c r="J71" s="43"/>
      <c r="K71" s="18"/>
      <c r="L71" s="18"/>
      <c r="M71" s="18"/>
      <c r="P71" s="18"/>
      <c r="Q71" s="18"/>
      <c r="R71" s="43"/>
      <c r="S71" s="18"/>
      <c r="T71" s="18"/>
      <c r="U71" s="18"/>
      <c r="V71" s="43"/>
      <c r="W71" s="18"/>
      <c r="X71" s="18"/>
    </row>
    <row r="72" spans="1:26" x14ac:dyDescent="0.3">
      <c r="A72" s="9"/>
      <c r="B72" s="59" t="s">
        <v>56</v>
      </c>
      <c r="D72" s="18"/>
      <c r="E72" s="18"/>
      <c r="G72" s="18"/>
      <c r="H72" s="18"/>
      <c r="I72" s="18"/>
      <c r="J72" s="43"/>
      <c r="K72" s="18"/>
      <c r="L72" s="18"/>
      <c r="M72" s="18"/>
      <c r="P72" s="18"/>
      <c r="Q72" s="18"/>
      <c r="R72" s="43"/>
      <c r="S72" s="18"/>
      <c r="T72" s="18"/>
      <c r="U72" s="18"/>
      <c r="V72" s="43"/>
      <c r="W72" s="18"/>
      <c r="X72" s="18"/>
    </row>
    <row r="73" spans="1:26" x14ac:dyDescent="0.3">
      <c r="A73" s="9"/>
      <c r="B73" s="55"/>
      <c r="D73" s="18"/>
      <c r="E73" s="18"/>
      <c r="G73" s="18"/>
      <c r="H73" s="18"/>
      <c r="I73" s="18"/>
      <c r="J73" s="43"/>
      <c r="K73" s="18"/>
      <c r="L73" s="18"/>
      <c r="M73" s="18"/>
      <c r="P73" s="18"/>
      <c r="Q73" s="18"/>
      <c r="R73" s="43"/>
      <c r="S73" s="18"/>
      <c r="T73" s="18"/>
      <c r="U73" s="18"/>
      <c r="V73" s="43"/>
      <c r="W73" s="18"/>
      <c r="X73" s="18"/>
    </row>
    <row r="74" spans="1:26" x14ac:dyDescent="0.3">
      <c r="D74" s="18"/>
      <c r="E74" s="18"/>
      <c r="G74" s="18"/>
      <c r="H74" s="18"/>
      <c r="I74" s="18"/>
      <c r="J74" s="43"/>
      <c r="K74" s="18"/>
      <c r="L74" s="18"/>
      <c r="M74" s="18"/>
      <c r="P74" s="18"/>
      <c r="Q74" s="18"/>
      <c r="R74" s="43"/>
      <c r="S74" s="18"/>
      <c r="T74" s="18"/>
      <c r="U74" s="18"/>
      <c r="V74" s="43"/>
      <c r="W74" s="18"/>
      <c r="X74" s="18"/>
    </row>
  </sheetData>
  <pageMargins left="0.25" right="0.25" top="0.75" bottom="0.75" header="0.3" footer="0.3"/>
  <pageSetup scale="55" fitToWidth="2" orientation="landscape"/>
  <drawing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>
    <tabColor rgb="FF92D050"/>
    <outlinePr summaryBelow="0" summaryRight="0"/>
  </sheetPr>
  <dimension ref="A2:Z75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50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7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50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7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7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7" customWidth="1" outlineLevel="1"/>
  </cols>
  <sheetData>
    <row r="2" spans="1:26" x14ac:dyDescent="0.3">
      <c r="D2" s="57" t="s">
        <v>23</v>
      </c>
    </row>
    <row r="3" spans="1:26" x14ac:dyDescent="0.3">
      <c r="D3" s="57" t="s">
        <v>237</v>
      </c>
      <c r="E3" s="17"/>
      <c r="F3" s="51"/>
      <c r="G3" s="17"/>
      <c r="H3" s="17"/>
      <c r="I3" s="17"/>
      <c r="J3" s="39"/>
      <c r="K3" s="17"/>
      <c r="L3" s="17"/>
      <c r="M3" s="17"/>
      <c r="N3" s="51"/>
      <c r="O3" s="61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3">
      <c r="D4" s="57" t="str">
        <f>CONCATENATE("Period ",RIGHT(202201,2),", ",2022)</f>
        <v>Period 01, 2022</v>
      </c>
      <c r="E4" s="17"/>
      <c r="F4" s="51"/>
      <c r="G4" s="17"/>
      <c r="H4" s="17"/>
      <c r="I4" s="17"/>
      <c r="J4" s="39"/>
      <c r="K4" s="17"/>
      <c r="L4" s="17"/>
      <c r="M4" s="17"/>
      <c r="N4" s="51"/>
      <c r="O4" s="61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3">
      <c r="A5" s="23"/>
      <c r="D5" s="64">
        <v>44408</v>
      </c>
      <c r="E5" s="17"/>
      <c r="F5" s="51"/>
      <c r="G5" s="17"/>
      <c r="H5" s="17"/>
      <c r="I5" s="17"/>
      <c r="J5" s="39"/>
      <c r="K5" s="17"/>
      <c r="L5" s="17"/>
      <c r="M5" s="17"/>
      <c r="N5" s="51"/>
      <c r="O5" s="61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3">
      <c r="A6" s="23"/>
      <c r="B6" s="47"/>
      <c r="C6" s="47"/>
      <c r="D6" s="23" t="str">
        <f>CONCATENATE("Department ","202", " - ", "Accounting")</f>
        <v>Department 202 - Accounting</v>
      </c>
      <c r="E6" s="17"/>
      <c r="F6" s="51"/>
      <c r="G6" s="17"/>
      <c r="H6" s="17"/>
      <c r="I6" s="17"/>
      <c r="J6" s="39"/>
      <c r="K6" s="17"/>
      <c r="L6" s="17"/>
      <c r="M6" s="17"/>
      <c r="N6" s="51"/>
      <c r="O6" s="60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3">
      <c r="B7" s="63"/>
    </row>
    <row r="8" spans="1:26" x14ac:dyDescent="0.3">
      <c r="B8" s="63"/>
    </row>
    <row r="9" spans="1:26" x14ac:dyDescent="0.3">
      <c r="B9" s="9"/>
      <c r="C9" s="9"/>
      <c r="D9" s="15" t="s">
        <v>292</v>
      </c>
      <c r="E9" s="15"/>
      <c r="F9" s="38"/>
      <c r="G9" s="15"/>
      <c r="H9" s="15"/>
      <c r="I9" s="15"/>
      <c r="J9" s="49"/>
      <c r="K9" s="15"/>
      <c r="L9" s="15"/>
      <c r="M9" s="15"/>
      <c r="N9" s="38"/>
      <c r="P9" s="15" t="s">
        <v>39</v>
      </c>
      <c r="Q9" s="15"/>
      <c r="R9" s="38"/>
      <c r="S9" s="15"/>
      <c r="T9" s="15"/>
      <c r="U9" s="15"/>
      <c r="V9" s="49"/>
      <c r="W9" s="15"/>
      <c r="X9" s="15"/>
      <c r="Y9" s="15"/>
      <c r="Z9" s="38"/>
    </row>
    <row r="10" spans="1:26" x14ac:dyDescent="0.3">
      <c r="A10" s="10"/>
      <c r="B10" s="53"/>
      <c r="C10" s="10"/>
      <c r="D10" s="42" t="s">
        <v>57</v>
      </c>
      <c r="E10" s="34"/>
      <c r="F10" s="40" t="s">
        <v>40</v>
      </c>
      <c r="G10" s="34"/>
      <c r="H10" s="45" t="s">
        <v>238</v>
      </c>
      <c r="I10" s="34"/>
      <c r="J10" s="48" t="s">
        <v>58</v>
      </c>
      <c r="K10" s="10"/>
      <c r="L10" s="42" t="s">
        <v>127</v>
      </c>
      <c r="M10" s="10"/>
      <c r="N10" s="40" t="s">
        <v>258</v>
      </c>
      <c r="O10" s="10"/>
      <c r="P10" s="56" t="s">
        <v>57</v>
      </c>
      <c r="Q10" s="34"/>
      <c r="R10" s="40" t="s">
        <v>40</v>
      </c>
      <c r="S10" s="34"/>
      <c r="T10" s="45" t="s">
        <v>238</v>
      </c>
      <c r="U10" s="34"/>
      <c r="V10" s="48" t="s">
        <v>58</v>
      </c>
      <c r="W10" s="10"/>
      <c r="X10" s="42" t="s">
        <v>127</v>
      </c>
      <c r="Y10" s="10"/>
      <c r="Z10" s="40" t="s">
        <v>258</v>
      </c>
    </row>
    <row r="11" spans="1:26" ht="15.6" x14ac:dyDescent="0.3">
      <c r="A11" s="9"/>
      <c r="B11" s="58"/>
      <c r="C11" s="9"/>
      <c r="D11" s="9"/>
      <c r="E11" s="9"/>
      <c r="F11" s="6"/>
      <c r="G11" s="9"/>
      <c r="H11" s="9"/>
      <c r="I11" s="9"/>
      <c r="J11" s="46"/>
      <c r="K11" s="9"/>
      <c r="L11" s="9"/>
      <c r="M11" s="9"/>
      <c r="N11" s="6"/>
      <c r="P11" s="9"/>
      <c r="Q11" s="9"/>
      <c r="R11" s="6"/>
      <c r="S11" s="9"/>
      <c r="T11" s="9"/>
      <c r="U11" s="9"/>
      <c r="V11" s="46"/>
      <c r="W11" s="9"/>
      <c r="X11" s="9"/>
      <c r="Y11" s="9"/>
      <c r="Z11" s="6"/>
    </row>
    <row r="12" spans="1:26" s="23" customFormat="1" x14ac:dyDescent="0.3">
      <c r="A12" s="10"/>
      <c r="B12" s="25" t="s">
        <v>140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3">
      <c r="A13" s="9"/>
      <c r="B13" s="10"/>
      <c r="C13" s="9"/>
      <c r="D13" s="2"/>
      <c r="E13" s="2"/>
      <c r="F13" s="6"/>
      <c r="G13" s="2"/>
      <c r="H13" s="2"/>
      <c r="I13" s="2"/>
      <c r="J13" s="6"/>
      <c r="K13" s="2"/>
      <c r="L13" s="2"/>
      <c r="M13" s="2"/>
      <c r="N13" s="6"/>
      <c r="P13" s="2"/>
      <c r="Q13" s="2"/>
      <c r="R13" s="6"/>
      <c r="S13" s="2"/>
      <c r="T13" s="2"/>
      <c r="U13" s="2"/>
      <c r="V13" s="6"/>
      <c r="W13" s="2"/>
      <c r="X13" s="2"/>
      <c r="Y13" s="2"/>
      <c r="Z13" s="6"/>
    </row>
    <row r="14" spans="1:26" s="23" customFormat="1" x14ac:dyDescent="0.3">
      <c r="A14" s="10"/>
      <c r="B14" s="25" t="s">
        <v>257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3">
      <c r="A15" s="9"/>
      <c r="B15" s="10"/>
      <c r="C15" s="10"/>
      <c r="D15" s="2"/>
      <c r="E15" s="2"/>
      <c r="F15" s="6"/>
      <c r="G15" s="2"/>
      <c r="H15" s="2"/>
      <c r="I15" s="2"/>
      <c r="J15" s="6"/>
      <c r="K15" s="2"/>
      <c r="L15" s="2"/>
      <c r="M15" s="2"/>
      <c r="N15" s="6"/>
      <c r="O15" s="10"/>
      <c r="P15" s="2"/>
      <c r="Q15" s="2"/>
      <c r="R15" s="6"/>
      <c r="S15" s="2"/>
      <c r="T15" s="2"/>
      <c r="U15" s="2"/>
      <c r="V15" s="6"/>
      <c r="W15" s="2"/>
      <c r="X15" s="2"/>
      <c r="Y15" s="2"/>
      <c r="Z15" s="6"/>
    </row>
    <row r="16" spans="1:26" s="23" customFormat="1" x14ac:dyDescent="0.3">
      <c r="A16" s="10"/>
      <c r="B16" s="26" t="s">
        <v>108</v>
      </c>
      <c r="C16" s="26"/>
      <c r="D16" s="21">
        <f>D12-D14</f>
        <v>0</v>
      </c>
      <c r="E16" s="13"/>
      <c r="F16" s="22">
        <f>IF(D$12=0,0,D16/D$12)</f>
        <v>0</v>
      </c>
      <c r="G16" s="13"/>
      <c r="H16" s="21">
        <f>H12-H14</f>
        <v>0</v>
      </c>
      <c r="I16" s="13"/>
      <c r="J16" s="22">
        <f>IF(H$12=0,0,H16/H$12)</f>
        <v>0</v>
      </c>
      <c r="K16" s="16"/>
      <c r="L16" s="21">
        <f>+D16-H16</f>
        <v>0</v>
      </c>
      <c r="M16" s="16"/>
      <c r="N16" s="22">
        <f>IF(H16=0,0,L16/H16)</f>
        <v>0</v>
      </c>
      <c r="O16" s="25"/>
      <c r="P16" s="21">
        <f>P12-P14</f>
        <v>0</v>
      </c>
      <c r="Q16" s="13"/>
      <c r="R16" s="22">
        <f>IF(P$12=0,0,P16/P$12)</f>
        <v>0</v>
      </c>
      <c r="S16" s="13"/>
      <c r="T16" s="21">
        <f>T12-T14</f>
        <v>0</v>
      </c>
      <c r="U16" s="13"/>
      <c r="V16" s="22">
        <f>IF(T$12=0,0,T16/T$12)</f>
        <v>0</v>
      </c>
      <c r="W16" s="16"/>
      <c r="X16" s="21">
        <f>+P16-T16</f>
        <v>0</v>
      </c>
      <c r="Y16" s="16"/>
      <c r="Z16" s="22">
        <f>IF(T16=0,0,X16/T16)</f>
        <v>0</v>
      </c>
    </row>
    <row r="17" spans="1:26" x14ac:dyDescent="0.3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3">
      <c r="A18" s="10"/>
      <c r="B18" s="25" t="s">
        <v>295</v>
      </c>
      <c r="C18" s="10"/>
      <c r="D18" s="20">
        <f>SUM(OSRRefD22x_0)</f>
        <v>41601.359999999993</v>
      </c>
      <c r="E18" s="20"/>
      <c r="F18" s="32">
        <f t="shared" ref="F18:F28" si="0">IF(D$12=0,0,D18/D$12)</f>
        <v>0</v>
      </c>
      <c r="G18" s="20"/>
      <c r="H18" s="20">
        <f>SUM(OSRRefH22x_0)</f>
        <v>42012.076430384586</v>
      </c>
      <c r="I18" s="20"/>
      <c r="J18" s="32">
        <f t="shared" ref="J18:J28" si="1">IF(H$12=0,0,H18/H$12)</f>
        <v>0</v>
      </c>
      <c r="K18" s="4"/>
      <c r="L18" s="20">
        <f t="shared" ref="L18:L28" si="2">+D18-H18</f>
        <v>-410.71643038459297</v>
      </c>
      <c r="M18" s="4"/>
      <c r="N18" s="32">
        <f t="shared" ref="N18:N28" si="3">IF(H18=0,0,L18/H18)</f>
        <v>-9.7761516516605366E-3</v>
      </c>
      <c r="O18" s="10"/>
      <c r="P18" s="20">
        <f>SUM(OSRRefP22x_0)</f>
        <v>41601.359999999993</v>
      </c>
      <c r="Q18" s="20"/>
      <c r="R18" s="32">
        <f t="shared" ref="R18:R28" si="4">IF(P$12=0,0,P18/P$12)</f>
        <v>0</v>
      </c>
      <c r="S18" s="20"/>
      <c r="T18" s="20">
        <f>SUM(OSRRefT22x_0)</f>
        <v>42012.076430384586</v>
      </c>
      <c r="U18" s="20"/>
      <c r="V18" s="32">
        <f t="shared" ref="V18:V28" si="5">IF(T$12=0,0,T18/T$12)</f>
        <v>0</v>
      </c>
      <c r="W18" s="4"/>
      <c r="X18" s="20">
        <f t="shared" ref="X18:X28" si="6">+P18-T18</f>
        <v>-410.71643038459297</v>
      </c>
      <c r="Y18" s="4"/>
      <c r="Z18" s="32">
        <f t="shared" ref="Z18:Z28" si="7">IF(T18=0,0,X18/T18)</f>
        <v>-9.7761516516605366E-3</v>
      </c>
    </row>
    <row r="19" spans="1:26" s="27" customFormat="1" outlineLevel="1" collapsed="1" x14ac:dyDescent="0.3">
      <c r="A19" s="28"/>
      <c r="B19" s="14" t="str">
        <f>CONCATENATE("     ","*Benefits                                         ")</f>
        <v xml:space="preserve">     *Benefits                                         </v>
      </c>
      <c r="C19" s="14"/>
      <c r="D19" s="1">
        <f>SUM(OSRRefD22_0x_0)</f>
        <v>12645.33</v>
      </c>
      <c r="E19" s="1"/>
      <c r="F19" s="5">
        <f t="shared" si="0"/>
        <v>0</v>
      </c>
      <c r="G19" s="1"/>
      <c r="H19" s="1">
        <f>SUM(OSRRefH22_0x_0)</f>
        <v>14142.357199615399</v>
      </c>
      <c r="I19" s="1"/>
      <c r="J19" s="5">
        <f t="shared" si="1"/>
        <v>0</v>
      </c>
      <c r="K19" s="1"/>
      <c r="L19" s="1">
        <f t="shared" si="2"/>
        <v>-1497.0271996153988</v>
      </c>
      <c r="M19" s="1"/>
      <c r="N19" s="5">
        <f t="shared" si="3"/>
        <v>-0.10585414994723159</v>
      </c>
      <c r="O19" s="14"/>
      <c r="P19" s="1">
        <f>SUM(OSRRefP22_0x_0)</f>
        <v>12645.33</v>
      </c>
      <c r="Q19" s="1"/>
      <c r="R19" s="5">
        <f t="shared" si="4"/>
        <v>0</v>
      </c>
      <c r="S19" s="1"/>
      <c r="T19" s="1">
        <f>SUM(OSRRefT22_0x_0)</f>
        <v>14142.357199615399</v>
      </c>
      <c r="U19" s="1"/>
      <c r="V19" s="5">
        <f t="shared" si="5"/>
        <v>0</v>
      </c>
      <c r="W19" s="1"/>
      <c r="X19" s="1">
        <f t="shared" si="6"/>
        <v>-1497.0271996153988</v>
      </c>
      <c r="Y19" s="1"/>
      <c r="Z19" s="5">
        <f t="shared" si="7"/>
        <v>-0.10585414994723159</v>
      </c>
    </row>
    <row r="20" spans="1:26" s="24" customFormat="1" hidden="1" outlineLevel="2" x14ac:dyDescent="0.3">
      <c r="A20" s="29"/>
      <c r="B20" s="11" t="str">
        <f>CONCATENATE("          ", "6111", " - ", "F.I.C.A.")</f>
        <v xml:space="preserve">          6111 - F.I.C.A.</v>
      </c>
      <c r="C20" s="11"/>
      <c r="D20" s="8">
        <v>1624.37</v>
      </c>
      <c r="E20" s="3"/>
      <c r="F20" s="7">
        <f t="shared" si="0"/>
        <v>0</v>
      </c>
      <c r="G20" s="3"/>
      <c r="H20" s="8">
        <v>2092.2212919230801</v>
      </c>
      <c r="I20" s="3"/>
      <c r="J20" s="7">
        <f t="shared" si="1"/>
        <v>0</v>
      </c>
      <c r="K20" s="3"/>
      <c r="L20" s="8">
        <f t="shared" si="2"/>
        <v>-467.85129192308023</v>
      </c>
      <c r="M20" s="3"/>
      <c r="N20" s="7">
        <f t="shared" si="3"/>
        <v>-0.22361463088498224</v>
      </c>
      <c r="O20" s="11"/>
      <c r="P20" s="8">
        <v>1624.37</v>
      </c>
      <c r="Q20" s="3"/>
      <c r="R20" s="7">
        <f t="shared" si="4"/>
        <v>0</v>
      </c>
      <c r="S20" s="3"/>
      <c r="T20" s="8">
        <v>2092.2212919230801</v>
      </c>
      <c r="U20" s="3"/>
      <c r="V20" s="7">
        <f t="shared" si="5"/>
        <v>0</v>
      </c>
      <c r="W20" s="3"/>
      <c r="X20" s="8">
        <f t="shared" si="6"/>
        <v>-467.85129192308023</v>
      </c>
      <c r="Y20" s="3"/>
      <c r="Z20" s="7">
        <f t="shared" si="7"/>
        <v>-0.22361463088498224</v>
      </c>
    </row>
    <row r="21" spans="1:26" s="24" customFormat="1" hidden="1" outlineLevel="2" x14ac:dyDescent="0.3">
      <c r="A21" s="29"/>
      <c r="B21" s="11" t="str">
        <f>CONCATENATE("          ", "6112", " - ", "COMPENSATION INSURANCE")</f>
        <v xml:space="preserve">          6112 - COMPENSATION INSURANCE</v>
      </c>
      <c r="C21" s="11"/>
      <c r="D21" s="8">
        <v>273.92</v>
      </c>
      <c r="E21" s="3"/>
      <c r="F21" s="7">
        <f t="shared" si="0"/>
        <v>0</v>
      </c>
      <c r="G21" s="3"/>
      <c r="H21" s="8">
        <v>84.749588461538494</v>
      </c>
      <c r="I21" s="3"/>
      <c r="J21" s="7">
        <f t="shared" si="1"/>
        <v>0</v>
      </c>
      <c r="K21" s="3"/>
      <c r="L21" s="8">
        <f t="shared" si="2"/>
        <v>189.17041153846151</v>
      </c>
      <c r="M21" s="3"/>
      <c r="N21" s="7">
        <f t="shared" si="3"/>
        <v>2.2321100901193383</v>
      </c>
      <c r="O21" s="11"/>
      <c r="P21" s="8">
        <v>273.92</v>
      </c>
      <c r="Q21" s="3"/>
      <c r="R21" s="7">
        <f t="shared" si="4"/>
        <v>0</v>
      </c>
      <c r="S21" s="3"/>
      <c r="T21" s="8">
        <v>84.749588461538494</v>
      </c>
      <c r="U21" s="3"/>
      <c r="V21" s="7">
        <f t="shared" si="5"/>
        <v>0</v>
      </c>
      <c r="W21" s="3"/>
      <c r="X21" s="8">
        <f t="shared" si="6"/>
        <v>189.17041153846151</v>
      </c>
      <c r="Y21" s="3"/>
      <c r="Z21" s="7">
        <f t="shared" si="7"/>
        <v>2.2321100901193383</v>
      </c>
    </row>
    <row r="22" spans="1:26" s="24" customFormat="1" hidden="1" outlineLevel="2" x14ac:dyDescent="0.3">
      <c r="A22" s="29"/>
      <c r="B22" s="11" t="str">
        <f>CONCATENATE("          ", "6113", " - ", "GROUP INSURANCE")</f>
        <v xml:space="preserve">          6113 - GROUP INSURANCE</v>
      </c>
      <c r="C22" s="11"/>
      <c r="D22" s="8">
        <v>6221.66</v>
      </c>
      <c r="E22" s="3"/>
      <c r="F22" s="7">
        <f t="shared" si="0"/>
        <v>0</v>
      </c>
      <c r="G22" s="3"/>
      <c r="H22" s="8">
        <v>6123</v>
      </c>
      <c r="I22" s="3"/>
      <c r="J22" s="7">
        <f t="shared" si="1"/>
        <v>0</v>
      </c>
      <c r="K22" s="3"/>
      <c r="L22" s="8">
        <f t="shared" si="2"/>
        <v>98.659999999999854</v>
      </c>
      <c r="M22" s="3"/>
      <c r="N22" s="7">
        <f t="shared" si="3"/>
        <v>1.6113016495182077E-2</v>
      </c>
      <c r="O22" s="11"/>
      <c r="P22" s="8">
        <v>6221.66</v>
      </c>
      <c r="Q22" s="3"/>
      <c r="R22" s="7">
        <f t="shared" si="4"/>
        <v>0</v>
      </c>
      <c r="S22" s="3"/>
      <c r="T22" s="8">
        <v>6123</v>
      </c>
      <c r="U22" s="3"/>
      <c r="V22" s="7">
        <f t="shared" si="5"/>
        <v>0</v>
      </c>
      <c r="W22" s="3"/>
      <c r="X22" s="8">
        <f t="shared" si="6"/>
        <v>98.659999999999854</v>
      </c>
      <c r="Y22" s="3"/>
      <c r="Z22" s="7">
        <f t="shared" si="7"/>
        <v>1.6113016495182077E-2</v>
      </c>
    </row>
    <row r="23" spans="1:26" s="24" customFormat="1" hidden="1" outlineLevel="2" x14ac:dyDescent="0.3">
      <c r="A23" s="29"/>
      <c r="B23" s="11" t="str">
        <f>CONCATENATE("          ", "6114", " - ", "STATE UNEMPLOYMENT INSURANCE")</f>
        <v xml:space="preserve">          6114 - STATE UNEMPLOYMENT INSURANCE</v>
      </c>
      <c r="C23" s="11"/>
      <c r="D23" s="8">
        <v>55.21</v>
      </c>
      <c r="E23" s="3"/>
      <c r="F23" s="7">
        <f t="shared" si="0"/>
        <v>0</v>
      </c>
      <c r="G23" s="3"/>
      <c r="H23" s="8">
        <v>57.411011538461501</v>
      </c>
      <c r="I23" s="3"/>
      <c r="J23" s="7">
        <f t="shared" si="1"/>
        <v>0</v>
      </c>
      <c r="K23" s="3"/>
      <c r="L23" s="8">
        <f t="shared" si="2"/>
        <v>-2.2010115384615005</v>
      </c>
      <c r="M23" s="3"/>
      <c r="N23" s="7">
        <f t="shared" si="3"/>
        <v>-3.8337794083056202E-2</v>
      </c>
      <c r="O23" s="11"/>
      <c r="P23" s="8">
        <v>55.21</v>
      </c>
      <c r="Q23" s="3"/>
      <c r="R23" s="7">
        <f t="shared" si="4"/>
        <v>0</v>
      </c>
      <c r="S23" s="3"/>
      <c r="T23" s="8">
        <v>57.411011538461501</v>
      </c>
      <c r="U23" s="3"/>
      <c r="V23" s="7">
        <f t="shared" si="5"/>
        <v>0</v>
      </c>
      <c r="W23" s="3"/>
      <c r="X23" s="8">
        <f t="shared" si="6"/>
        <v>-2.2010115384615005</v>
      </c>
      <c r="Y23" s="3"/>
      <c r="Z23" s="7">
        <f t="shared" si="7"/>
        <v>-3.8337794083056202E-2</v>
      </c>
    </row>
    <row r="24" spans="1:26" s="24" customFormat="1" hidden="1" outlineLevel="2" x14ac:dyDescent="0.3">
      <c r="A24" s="29"/>
      <c r="B24" s="11" t="str">
        <f>CONCATENATE("          ", "6115", " - ", "P.E.R.S.")</f>
        <v xml:space="preserve">          6115 - P.E.R.S.</v>
      </c>
      <c r="C24" s="11"/>
      <c r="D24" s="8">
        <v>1947.91</v>
      </c>
      <c r="E24" s="3"/>
      <c r="F24" s="7">
        <f t="shared" si="0"/>
        <v>0</v>
      </c>
      <c r="G24" s="3"/>
      <c r="H24" s="8">
        <v>2351.11761538462</v>
      </c>
      <c r="I24" s="3"/>
      <c r="J24" s="7">
        <f t="shared" si="1"/>
        <v>0</v>
      </c>
      <c r="K24" s="3"/>
      <c r="L24" s="8">
        <f t="shared" si="2"/>
        <v>-403.20761538461988</v>
      </c>
      <c r="M24" s="3"/>
      <c r="N24" s="7">
        <f t="shared" si="3"/>
        <v>-0.17149614836204569</v>
      </c>
      <c r="O24" s="11"/>
      <c r="P24" s="8">
        <v>1947.91</v>
      </c>
      <c r="Q24" s="3"/>
      <c r="R24" s="7">
        <f t="shared" si="4"/>
        <v>0</v>
      </c>
      <c r="S24" s="3"/>
      <c r="T24" s="8">
        <v>2351.11761538462</v>
      </c>
      <c r="U24" s="3"/>
      <c r="V24" s="7">
        <f t="shared" si="5"/>
        <v>0</v>
      </c>
      <c r="W24" s="3"/>
      <c r="X24" s="8">
        <f t="shared" si="6"/>
        <v>-403.20761538461988</v>
      </c>
      <c r="Y24" s="3"/>
      <c r="Z24" s="7">
        <f t="shared" si="7"/>
        <v>-0.17149614836204569</v>
      </c>
    </row>
    <row r="25" spans="1:26" s="24" customFormat="1" hidden="1" outlineLevel="2" x14ac:dyDescent="0.3">
      <c r="A25" s="29"/>
      <c r="B25" s="11" t="str">
        <f>CONCATENATE("          ", "6116", " - ", "EDUCATIONAL BENEFITS")</f>
        <v xml:space="preserve">          6116 - EDUCATIONAL BENEFITS</v>
      </c>
      <c r="C25" s="11"/>
      <c r="D25" s="8"/>
      <c r="E25" s="3"/>
      <c r="F25" s="7">
        <f t="shared" si="0"/>
        <v>0</v>
      </c>
      <c r="G25" s="3"/>
      <c r="H25" s="8">
        <v>0</v>
      </c>
      <c r="I25" s="3"/>
      <c r="J25" s="7">
        <f t="shared" si="1"/>
        <v>0</v>
      </c>
      <c r="K25" s="3"/>
      <c r="L25" s="8">
        <f t="shared" si="2"/>
        <v>0</v>
      </c>
      <c r="M25" s="3"/>
      <c r="N25" s="7">
        <f t="shared" si="3"/>
        <v>0</v>
      </c>
      <c r="O25" s="11"/>
      <c r="P25" s="8"/>
      <c r="Q25" s="3"/>
      <c r="R25" s="7">
        <f t="shared" si="4"/>
        <v>0</v>
      </c>
      <c r="S25" s="3"/>
      <c r="T25" s="8">
        <v>0</v>
      </c>
      <c r="U25" s="3"/>
      <c r="V25" s="7">
        <f t="shared" si="5"/>
        <v>0</v>
      </c>
      <c r="W25" s="3"/>
      <c r="X25" s="8">
        <f t="shared" si="6"/>
        <v>0</v>
      </c>
      <c r="Y25" s="3"/>
      <c r="Z25" s="7">
        <f t="shared" si="7"/>
        <v>0</v>
      </c>
    </row>
    <row r="26" spans="1:26" s="24" customFormat="1" hidden="1" outlineLevel="2" x14ac:dyDescent="0.3">
      <c r="A26" s="29"/>
      <c r="B26" s="11" t="str">
        <f>CONCATENATE("          ", "6118", " - ", "VACATION")</f>
        <v xml:space="preserve">          6118 - VACATION</v>
      </c>
      <c r="C26" s="11"/>
      <c r="D26" s="8">
        <v>1181.81</v>
      </c>
      <c r="E26" s="3"/>
      <c r="F26" s="7">
        <f t="shared" si="0"/>
        <v>0</v>
      </c>
      <c r="G26" s="3"/>
      <c r="H26" s="8">
        <v>1366.9288461538499</v>
      </c>
      <c r="I26" s="3"/>
      <c r="J26" s="7">
        <f t="shared" si="1"/>
        <v>0</v>
      </c>
      <c r="K26" s="3"/>
      <c r="L26" s="8">
        <f t="shared" si="2"/>
        <v>-185.11884615384997</v>
      </c>
      <c r="M26" s="3"/>
      <c r="N26" s="7">
        <f t="shared" si="3"/>
        <v>-0.13542683415798992</v>
      </c>
      <c r="O26" s="11"/>
      <c r="P26" s="8">
        <v>1181.81</v>
      </c>
      <c r="Q26" s="3"/>
      <c r="R26" s="7">
        <f t="shared" si="4"/>
        <v>0</v>
      </c>
      <c r="S26" s="3"/>
      <c r="T26" s="8">
        <v>1366.9288461538499</v>
      </c>
      <c r="U26" s="3"/>
      <c r="V26" s="7">
        <f t="shared" si="5"/>
        <v>0</v>
      </c>
      <c r="W26" s="3"/>
      <c r="X26" s="8">
        <f t="shared" si="6"/>
        <v>-185.11884615384997</v>
      </c>
      <c r="Y26" s="3"/>
      <c r="Z26" s="7">
        <f t="shared" si="7"/>
        <v>-0.13542683415798992</v>
      </c>
    </row>
    <row r="27" spans="1:26" s="24" customFormat="1" hidden="1" outlineLevel="2" x14ac:dyDescent="0.3">
      <c r="A27" s="29"/>
      <c r="B27" s="11" t="str">
        <f>CONCATENATE("          ", "6119", " - ", "SICK LEAVE")</f>
        <v xml:space="preserve">          6119 - SICK LEAVE</v>
      </c>
      <c r="C27" s="11"/>
      <c r="D27" s="8">
        <v>979.42</v>
      </c>
      <c r="E27" s="3"/>
      <c r="F27" s="7">
        <f t="shared" si="0"/>
        <v>0</v>
      </c>
      <c r="G27" s="3"/>
      <c r="H27" s="8">
        <v>1366.9288461538499</v>
      </c>
      <c r="I27" s="3"/>
      <c r="J27" s="7">
        <f t="shared" si="1"/>
        <v>0</v>
      </c>
      <c r="K27" s="3"/>
      <c r="L27" s="8">
        <f t="shared" si="2"/>
        <v>-387.50884615384996</v>
      </c>
      <c r="M27" s="3"/>
      <c r="N27" s="7">
        <f t="shared" si="3"/>
        <v>-0.28348867407706696</v>
      </c>
      <c r="O27" s="11"/>
      <c r="P27" s="8">
        <v>979.42</v>
      </c>
      <c r="Q27" s="3"/>
      <c r="R27" s="7">
        <f t="shared" si="4"/>
        <v>0</v>
      </c>
      <c r="S27" s="3"/>
      <c r="T27" s="8">
        <v>1366.9288461538499</v>
      </c>
      <c r="U27" s="3"/>
      <c r="V27" s="7">
        <f t="shared" si="5"/>
        <v>0</v>
      </c>
      <c r="W27" s="3"/>
      <c r="X27" s="8">
        <f t="shared" si="6"/>
        <v>-387.50884615384996</v>
      </c>
      <c r="Y27" s="3"/>
      <c r="Z27" s="7">
        <f t="shared" si="7"/>
        <v>-0.28348867407706696</v>
      </c>
    </row>
    <row r="28" spans="1:26" s="24" customFormat="1" hidden="1" outlineLevel="2" x14ac:dyDescent="0.3">
      <c r="A28" s="29"/>
      <c r="B28" s="11" t="str">
        <f>CONCATENATE("          ", "6156", " - ", "EMPLOYEE MEALS")</f>
        <v xml:space="preserve">          6156 - EMPLOYEE MEALS</v>
      </c>
      <c r="C28" s="11"/>
      <c r="D28" s="8">
        <v>361.03</v>
      </c>
      <c r="E28" s="3"/>
      <c r="F28" s="7">
        <f t="shared" si="0"/>
        <v>0</v>
      </c>
      <c r="G28" s="3"/>
      <c r="H28" s="8">
        <v>700</v>
      </c>
      <c r="I28" s="3"/>
      <c r="J28" s="7">
        <f t="shared" si="1"/>
        <v>0</v>
      </c>
      <c r="K28" s="3"/>
      <c r="L28" s="8">
        <f t="shared" si="2"/>
        <v>-338.97</v>
      </c>
      <c r="M28" s="3"/>
      <c r="N28" s="7">
        <f t="shared" si="3"/>
        <v>-0.4842428571428572</v>
      </c>
      <c r="O28" s="11"/>
      <c r="P28" s="8">
        <v>361.03</v>
      </c>
      <c r="Q28" s="3"/>
      <c r="R28" s="7">
        <f t="shared" si="4"/>
        <v>0</v>
      </c>
      <c r="S28" s="3"/>
      <c r="T28" s="8">
        <v>700</v>
      </c>
      <c r="U28" s="3"/>
      <c r="V28" s="7">
        <f t="shared" si="5"/>
        <v>0</v>
      </c>
      <c r="W28" s="3"/>
      <c r="X28" s="8">
        <f t="shared" si="6"/>
        <v>-338.97</v>
      </c>
      <c r="Y28" s="3"/>
      <c r="Z28" s="7">
        <f t="shared" si="7"/>
        <v>-0.4842428571428572</v>
      </c>
    </row>
    <row r="29" spans="1:26" s="27" customFormat="1" outlineLevel="1" collapsed="1" x14ac:dyDescent="0.3">
      <c r="A29" s="28"/>
      <c r="B29" s="14" t="str">
        <f>CONCATENATE("     ","*Payroll                                          ")</f>
        <v xml:space="preserve">     *Payroll                                          </v>
      </c>
      <c r="C29" s="14"/>
      <c r="D29" s="1">
        <f>SUM(OSRRefD22_1x_0)</f>
        <v>26240.76</v>
      </c>
      <c r="E29" s="1"/>
      <c r="F29" s="5">
        <f t="shared" ref="F29:F39" si="8">IF(D$12=0,0,D29/D$12)</f>
        <v>0</v>
      </c>
      <c r="G29" s="1"/>
      <c r="H29" s="1">
        <f>SUM(OSRRefH22_1x_0)</f>
        <v>24604.719230769188</v>
      </c>
      <c r="I29" s="1"/>
      <c r="J29" s="5">
        <f t="shared" ref="J29:J39" si="9">IF(H$12=0,0,H29/H$12)</f>
        <v>0</v>
      </c>
      <c r="K29" s="1"/>
      <c r="L29" s="1">
        <f t="shared" ref="L29:L39" si="10">+D29-H29</f>
        <v>1636.0407692308108</v>
      </c>
      <c r="M29" s="1"/>
      <c r="N29" s="5">
        <f t="shared" ref="N29:N39" si="11">IF(H29=0,0,L29/H29)</f>
        <v>6.6492966405602233E-2</v>
      </c>
      <c r="O29" s="14"/>
      <c r="P29" s="1">
        <f>SUM(OSRRefP22_1x_0)</f>
        <v>26240.76</v>
      </c>
      <c r="Q29" s="1"/>
      <c r="R29" s="5">
        <f t="shared" ref="R29:R39" si="12">IF(P$12=0,0,P29/P$12)</f>
        <v>0</v>
      </c>
      <c r="S29" s="1"/>
      <c r="T29" s="1">
        <f>SUM(OSRRefT22_1x_0)</f>
        <v>24604.719230769188</v>
      </c>
      <c r="U29" s="1"/>
      <c r="V29" s="5">
        <f t="shared" ref="V29:V39" si="13">IF(T$12=0,0,T29/T$12)</f>
        <v>0</v>
      </c>
      <c r="W29" s="1"/>
      <c r="X29" s="1">
        <f t="shared" ref="X29:X39" si="14">+P29-T29</f>
        <v>1636.0407692308108</v>
      </c>
      <c r="Y29" s="1"/>
      <c r="Z29" s="5">
        <f t="shared" ref="Z29:Z39" si="15">IF(T29=0,0,X29/T29)</f>
        <v>6.6492966405602233E-2</v>
      </c>
    </row>
    <row r="30" spans="1:26" s="24" customFormat="1" hidden="1" outlineLevel="2" x14ac:dyDescent="0.3">
      <c r="A30" s="29"/>
      <c r="B30" s="11" t="str">
        <f>CONCATENATE("          ", "6001", " - ", "ADMINISTRATIVE SALARIES")</f>
        <v xml:space="preserve">          6001 - ADMINISTRATIVE SALARIES</v>
      </c>
      <c r="C30" s="11"/>
      <c r="D30" s="8"/>
      <c r="E30" s="3"/>
      <c r="F30" s="7">
        <f t="shared" si="8"/>
        <v>0</v>
      </c>
      <c r="G30" s="3"/>
      <c r="H30" s="8">
        <v>6977.4576923076902</v>
      </c>
      <c r="I30" s="3"/>
      <c r="J30" s="7">
        <f t="shared" si="9"/>
        <v>0</v>
      </c>
      <c r="K30" s="3"/>
      <c r="L30" s="8">
        <f t="shared" si="10"/>
        <v>-6977.4576923076902</v>
      </c>
      <c r="M30" s="3"/>
      <c r="N30" s="7">
        <f t="shared" si="11"/>
        <v>-1</v>
      </c>
      <c r="O30" s="11"/>
      <c r="P30" s="8"/>
      <c r="Q30" s="3"/>
      <c r="R30" s="7">
        <f t="shared" si="12"/>
        <v>0</v>
      </c>
      <c r="S30" s="3"/>
      <c r="T30" s="8">
        <v>6977.4576923076902</v>
      </c>
      <c r="U30" s="3"/>
      <c r="V30" s="7">
        <f t="shared" si="13"/>
        <v>0</v>
      </c>
      <c r="W30" s="3"/>
      <c r="X30" s="8">
        <f t="shared" si="14"/>
        <v>-6977.4576923076902</v>
      </c>
      <c r="Y30" s="3"/>
      <c r="Z30" s="7">
        <f t="shared" si="15"/>
        <v>-1</v>
      </c>
    </row>
    <row r="31" spans="1:26" s="24" customFormat="1" hidden="1" outlineLevel="2" x14ac:dyDescent="0.3">
      <c r="A31" s="29"/>
      <c r="B31" s="11" t="str">
        <f>CONCATENATE("          ", "6002", " - ", "STAFF SALARIES")</f>
        <v xml:space="preserve">          6002 - STAFF SALARIES</v>
      </c>
      <c r="C31" s="11"/>
      <c r="D31" s="8">
        <v>26240.76</v>
      </c>
      <c r="E31" s="3"/>
      <c r="F31" s="7">
        <f t="shared" si="8"/>
        <v>0</v>
      </c>
      <c r="G31" s="3"/>
      <c r="H31" s="8">
        <v>17627.261538461498</v>
      </c>
      <c r="I31" s="3"/>
      <c r="J31" s="7">
        <f t="shared" si="9"/>
        <v>0</v>
      </c>
      <c r="K31" s="3"/>
      <c r="L31" s="8">
        <f t="shared" si="10"/>
        <v>8613.4984615385001</v>
      </c>
      <c r="M31" s="3"/>
      <c r="N31" s="7">
        <f t="shared" si="11"/>
        <v>0.48864643227448723</v>
      </c>
      <c r="O31" s="11"/>
      <c r="P31" s="8">
        <v>26240.76</v>
      </c>
      <c r="Q31" s="3"/>
      <c r="R31" s="7">
        <f t="shared" si="12"/>
        <v>0</v>
      </c>
      <c r="S31" s="3"/>
      <c r="T31" s="8">
        <v>17627.261538461498</v>
      </c>
      <c r="U31" s="3"/>
      <c r="V31" s="7">
        <f t="shared" si="13"/>
        <v>0</v>
      </c>
      <c r="W31" s="3"/>
      <c r="X31" s="8">
        <f t="shared" si="14"/>
        <v>8613.4984615385001</v>
      </c>
      <c r="Y31" s="3"/>
      <c r="Z31" s="7">
        <f t="shared" si="15"/>
        <v>0.48864643227448723</v>
      </c>
    </row>
    <row r="32" spans="1:26" s="24" customFormat="1" hidden="1" outlineLevel="2" x14ac:dyDescent="0.3">
      <c r="A32" s="29"/>
      <c r="B32" s="11" t="str">
        <f>CONCATENATE("          ", "6003", " - ", "STAFF HOURLY-9 MONTH")</f>
        <v xml:space="preserve">          6003 - STAFF HOURLY-9 MONTH</v>
      </c>
      <c r="C32" s="11"/>
      <c r="D32" s="8"/>
      <c r="E32" s="3"/>
      <c r="F32" s="7">
        <f t="shared" si="8"/>
        <v>0</v>
      </c>
      <c r="G32" s="3"/>
      <c r="H32" s="8">
        <v>0</v>
      </c>
      <c r="I32" s="3"/>
      <c r="J32" s="7">
        <f t="shared" si="9"/>
        <v>0</v>
      </c>
      <c r="K32" s="3"/>
      <c r="L32" s="8">
        <f t="shared" si="10"/>
        <v>0</v>
      </c>
      <c r="M32" s="3"/>
      <c r="N32" s="7">
        <f t="shared" si="11"/>
        <v>0</v>
      </c>
      <c r="O32" s="11"/>
      <c r="P32" s="8"/>
      <c r="Q32" s="3"/>
      <c r="R32" s="7">
        <f t="shared" si="12"/>
        <v>0</v>
      </c>
      <c r="S32" s="3"/>
      <c r="T32" s="8">
        <v>0</v>
      </c>
      <c r="U32" s="3"/>
      <c r="V32" s="7">
        <f t="shared" si="13"/>
        <v>0</v>
      </c>
      <c r="W32" s="3"/>
      <c r="X32" s="8">
        <f t="shared" si="14"/>
        <v>0</v>
      </c>
      <c r="Y32" s="3"/>
      <c r="Z32" s="7">
        <f t="shared" si="15"/>
        <v>0</v>
      </c>
    </row>
    <row r="33" spans="1:26" s="24" customFormat="1" hidden="1" outlineLevel="2" x14ac:dyDescent="0.3">
      <c r="A33" s="29"/>
      <c r="B33" s="11" t="str">
        <f>CONCATENATE("          ", "6004", " - ", "STAFF HOURLY")</f>
        <v xml:space="preserve">          6004 - STAFF HOURLY</v>
      </c>
      <c r="C33" s="11"/>
      <c r="D33" s="8"/>
      <c r="E33" s="3"/>
      <c r="F33" s="7">
        <f t="shared" si="8"/>
        <v>0</v>
      </c>
      <c r="G33" s="3"/>
      <c r="H33" s="8">
        <v>0</v>
      </c>
      <c r="I33" s="3"/>
      <c r="J33" s="7">
        <f t="shared" si="9"/>
        <v>0</v>
      </c>
      <c r="K33" s="3"/>
      <c r="L33" s="8">
        <f t="shared" si="10"/>
        <v>0</v>
      </c>
      <c r="M33" s="3"/>
      <c r="N33" s="7">
        <f t="shared" si="11"/>
        <v>0</v>
      </c>
      <c r="O33" s="11"/>
      <c r="P33" s="8"/>
      <c r="Q33" s="3"/>
      <c r="R33" s="7">
        <f t="shared" si="12"/>
        <v>0</v>
      </c>
      <c r="S33" s="3"/>
      <c r="T33" s="8">
        <v>0</v>
      </c>
      <c r="U33" s="3"/>
      <c r="V33" s="7">
        <f t="shared" si="13"/>
        <v>0</v>
      </c>
      <c r="W33" s="3"/>
      <c r="X33" s="8">
        <f t="shared" si="14"/>
        <v>0</v>
      </c>
      <c r="Y33" s="3"/>
      <c r="Z33" s="7">
        <f t="shared" si="15"/>
        <v>0</v>
      </c>
    </row>
    <row r="34" spans="1:26" s="24" customFormat="1" hidden="1" outlineLevel="2" x14ac:dyDescent="0.3">
      <c r="A34" s="29"/>
      <c r="B34" s="11" t="str">
        <f>CONCATENATE("          ", "6005", " - ", "TEMPORARY WAGES-HOURLY")</f>
        <v xml:space="preserve">          6005 - TEMPORARY WAGES-HOURLY</v>
      </c>
      <c r="C34" s="11"/>
      <c r="D34" s="8"/>
      <c r="E34" s="3"/>
      <c r="F34" s="7">
        <f t="shared" si="8"/>
        <v>0</v>
      </c>
      <c r="G34" s="3"/>
      <c r="H34" s="8">
        <v>0</v>
      </c>
      <c r="I34" s="3"/>
      <c r="J34" s="7">
        <f t="shared" si="9"/>
        <v>0</v>
      </c>
      <c r="K34" s="3"/>
      <c r="L34" s="8">
        <f t="shared" si="10"/>
        <v>0</v>
      </c>
      <c r="M34" s="3"/>
      <c r="N34" s="7">
        <f t="shared" si="11"/>
        <v>0</v>
      </c>
      <c r="O34" s="11"/>
      <c r="P34" s="8"/>
      <c r="Q34" s="3"/>
      <c r="R34" s="7">
        <f t="shared" si="12"/>
        <v>0</v>
      </c>
      <c r="S34" s="3"/>
      <c r="T34" s="8">
        <v>0</v>
      </c>
      <c r="U34" s="3"/>
      <c r="V34" s="7">
        <f t="shared" si="13"/>
        <v>0</v>
      </c>
      <c r="W34" s="3"/>
      <c r="X34" s="8">
        <f t="shared" si="14"/>
        <v>0</v>
      </c>
      <c r="Y34" s="3"/>
      <c r="Z34" s="7">
        <f t="shared" si="15"/>
        <v>0</v>
      </c>
    </row>
    <row r="35" spans="1:26" s="24" customFormat="1" hidden="1" outlineLevel="2" x14ac:dyDescent="0.3">
      <c r="A35" s="29"/>
      <c r="B35" s="11" t="str">
        <f>CONCATENATE("          ", "6006", " - ", "TEMPORARY PART TIME")</f>
        <v xml:space="preserve">          6006 - TEMPORARY PART TIME</v>
      </c>
      <c r="C35" s="11"/>
      <c r="D35" s="8"/>
      <c r="E35" s="3"/>
      <c r="F35" s="7">
        <f t="shared" si="8"/>
        <v>0</v>
      </c>
      <c r="G35" s="3"/>
      <c r="H35" s="8">
        <v>0</v>
      </c>
      <c r="I35" s="3"/>
      <c r="J35" s="7">
        <f t="shared" si="9"/>
        <v>0</v>
      </c>
      <c r="K35" s="3"/>
      <c r="L35" s="8">
        <f t="shared" si="10"/>
        <v>0</v>
      </c>
      <c r="M35" s="3"/>
      <c r="N35" s="7">
        <f t="shared" si="11"/>
        <v>0</v>
      </c>
      <c r="O35" s="11"/>
      <c r="P35" s="8"/>
      <c r="Q35" s="3"/>
      <c r="R35" s="7">
        <f t="shared" si="12"/>
        <v>0</v>
      </c>
      <c r="S35" s="3"/>
      <c r="T35" s="8">
        <v>0</v>
      </c>
      <c r="U35" s="3"/>
      <c r="V35" s="7">
        <f t="shared" si="13"/>
        <v>0</v>
      </c>
      <c r="W35" s="3"/>
      <c r="X35" s="8">
        <f t="shared" si="14"/>
        <v>0</v>
      </c>
      <c r="Y35" s="3"/>
      <c r="Z35" s="7">
        <f t="shared" si="15"/>
        <v>0</v>
      </c>
    </row>
    <row r="36" spans="1:26" s="24" customFormat="1" hidden="1" outlineLevel="2" x14ac:dyDescent="0.3">
      <c r="A36" s="29"/>
      <c r="B36" s="11" t="str">
        <f>CONCATENATE("          ", "6007", " - ", "STUDENT HOURLY")</f>
        <v xml:space="preserve">          6007 - STUDENT HOURLY</v>
      </c>
      <c r="C36" s="11"/>
      <c r="D36" s="8"/>
      <c r="E36" s="3"/>
      <c r="F36" s="7">
        <f t="shared" si="8"/>
        <v>0</v>
      </c>
      <c r="G36" s="3"/>
      <c r="H36" s="8">
        <v>0</v>
      </c>
      <c r="I36" s="3"/>
      <c r="J36" s="7">
        <f t="shared" si="9"/>
        <v>0</v>
      </c>
      <c r="K36" s="3"/>
      <c r="L36" s="8">
        <f t="shared" si="10"/>
        <v>0</v>
      </c>
      <c r="M36" s="3"/>
      <c r="N36" s="7">
        <f t="shared" si="11"/>
        <v>0</v>
      </c>
      <c r="O36" s="11"/>
      <c r="P36" s="8"/>
      <c r="Q36" s="3"/>
      <c r="R36" s="7">
        <f t="shared" si="12"/>
        <v>0</v>
      </c>
      <c r="S36" s="3"/>
      <c r="T36" s="8">
        <v>0</v>
      </c>
      <c r="U36" s="3"/>
      <c r="V36" s="7">
        <f t="shared" si="13"/>
        <v>0</v>
      </c>
      <c r="W36" s="3"/>
      <c r="X36" s="8">
        <f t="shared" si="14"/>
        <v>0</v>
      </c>
      <c r="Y36" s="3"/>
      <c r="Z36" s="7">
        <f t="shared" si="15"/>
        <v>0</v>
      </c>
    </row>
    <row r="37" spans="1:26" s="24" customFormat="1" hidden="1" outlineLevel="2" x14ac:dyDescent="0.3">
      <c r="A37" s="29"/>
      <c r="B37" s="11" t="str">
        <f>CONCATENATE("          ", "6008", " - ", "STUDENT HOURLY-FICA EXEMPT")</f>
        <v xml:space="preserve">          6008 - STUDENT HOURLY-FICA EXEMPT</v>
      </c>
      <c r="C37" s="11"/>
      <c r="D37" s="8"/>
      <c r="E37" s="3"/>
      <c r="F37" s="7">
        <f t="shared" si="8"/>
        <v>0</v>
      </c>
      <c r="G37" s="3"/>
      <c r="H37" s="8">
        <v>0</v>
      </c>
      <c r="I37" s="3"/>
      <c r="J37" s="7">
        <f t="shared" si="9"/>
        <v>0</v>
      </c>
      <c r="K37" s="3"/>
      <c r="L37" s="8">
        <f t="shared" si="10"/>
        <v>0</v>
      </c>
      <c r="M37" s="3"/>
      <c r="N37" s="7">
        <f t="shared" si="11"/>
        <v>0</v>
      </c>
      <c r="O37" s="11"/>
      <c r="P37" s="8"/>
      <c r="Q37" s="3"/>
      <c r="R37" s="7">
        <f t="shared" si="12"/>
        <v>0</v>
      </c>
      <c r="S37" s="3"/>
      <c r="T37" s="8">
        <v>0</v>
      </c>
      <c r="U37" s="3"/>
      <c r="V37" s="7">
        <f t="shared" si="13"/>
        <v>0</v>
      </c>
      <c r="W37" s="3"/>
      <c r="X37" s="8">
        <f t="shared" si="14"/>
        <v>0</v>
      </c>
      <c r="Y37" s="3"/>
      <c r="Z37" s="7">
        <f t="shared" si="15"/>
        <v>0</v>
      </c>
    </row>
    <row r="38" spans="1:26" s="24" customFormat="1" hidden="1" outlineLevel="2" x14ac:dyDescent="0.3">
      <c r="A38" s="29"/>
      <c r="B38" s="11" t="str">
        <f>CONCATENATE("          ", "6009", " - ", "TEMPORARY-SEASONAL")</f>
        <v xml:space="preserve">          6009 - TEMPORARY-SEASONAL</v>
      </c>
      <c r="C38" s="11"/>
      <c r="D38" s="8"/>
      <c r="E38" s="3"/>
      <c r="F38" s="7">
        <f t="shared" si="8"/>
        <v>0</v>
      </c>
      <c r="G38" s="3"/>
      <c r="H38" s="8">
        <v>0</v>
      </c>
      <c r="I38" s="3"/>
      <c r="J38" s="7">
        <f t="shared" si="9"/>
        <v>0</v>
      </c>
      <c r="K38" s="3"/>
      <c r="L38" s="8">
        <f t="shared" si="10"/>
        <v>0</v>
      </c>
      <c r="M38" s="3"/>
      <c r="N38" s="7">
        <f t="shared" si="11"/>
        <v>0</v>
      </c>
      <c r="O38" s="11"/>
      <c r="P38" s="8"/>
      <c r="Q38" s="3"/>
      <c r="R38" s="7">
        <f t="shared" si="12"/>
        <v>0</v>
      </c>
      <c r="S38" s="3"/>
      <c r="T38" s="8">
        <v>0</v>
      </c>
      <c r="U38" s="3"/>
      <c r="V38" s="7">
        <f t="shared" si="13"/>
        <v>0</v>
      </c>
      <c r="W38" s="3"/>
      <c r="X38" s="8">
        <f t="shared" si="14"/>
        <v>0</v>
      </c>
      <c r="Y38" s="3"/>
      <c r="Z38" s="7">
        <f t="shared" si="15"/>
        <v>0</v>
      </c>
    </row>
    <row r="39" spans="1:26" s="24" customFormat="1" hidden="1" outlineLevel="2" x14ac:dyDescent="0.3">
      <c r="A39" s="29"/>
      <c r="B39" s="11" t="str">
        <f>CONCATENATE("          ", "6010", " - ", "GRATUITY")</f>
        <v xml:space="preserve">          6010 - GRATUITY</v>
      </c>
      <c r="C39" s="11"/>
      <c r="D39" s="8"/>
      <c r="E39" s="3"/>
      <c r="F39" s="7">
        <f t="shared" si="8"/>
        <v>0</v>
      </c>
      <c r="G39" s="3"/>
      <c r="H39" s="8">
        <v>0</v>
      </c>
      <c r="I39" s="3"/>
      <c r="J39" s="7">
        <f t="shared" si="9"/>
        <v>0</v>
      </c>
      <c r="K39" s="3"/>
      <c r="L39" s="8">
        <f t="shared" si="10"/>
        <v>0</v>
      </c>
      <c r="M39" s="3"/>
      <c r="N39" s="7">
        <f t="shared" si="11"/>
        <v>0</v>
      </c>
      <c r="O39" s="11"/>
      <c r="P39" s="8"/>
      <c r="Q39" s="3"/>
      <c r="R39" s="7">
        <f t="shared" si="12"/>
        <v>0</v>
      </c>
      <c r="S39" s="3"/>
      <c r="T39" s="8">
        <v>0</v>
      </c>
      <c r="U39" s="3"/>
      <c r="V39" s="7">
        <f t="shared" si="13"/>
        <v>0</v>
      </c>
      <c r="W39" s="3"/>
      <c r="X39" s="8">
        <f t="shared" si="14"/>
        <v>0</v>
      </c>
      <c r="Y39" s="3"/>
      <c r="Z39" s="7">
        <f t="shared" si="15"/>
        <v>0</v>
      </c>
    </row>
    <row r="40" spans="1:26" s="27" customFormat="1" outlineLevel="1" collapsed="1" x14ac:dyDescent="0.3">
      <c r="A40" s="28"/>
      <c r="B40" s="14" t="str">
        <f>CONCATENATE("     ","Depreciation                                      ")</f>
        <v xml:space="preserve">     Depreciation                                      </v>
      </c>
      <c r="C40" s="14"/>
      <c r="D40" s="1">
        <f>SUM(OSRRefD22_2x_0)</f>
        <v>1558.88</v>
      </c>
      <c r="E40" s="1"/>
      <c r="F40" s="5">
        <f t="shared" ref="F40:F51" si="16">IF(D$12=0,0,D40/D$12)</f>
        <v>0</v>
      </c>
      <c r="G40" s="1"/>
      <c r="H40" s="1">
        <f>SUM(OSRRefH22_2x_0)</f>
        <v>1559</v>
      </c>
      <c r="I40" s="1"/>
      <c r="J40" s="5">
        <f t="shared" ref="J40:J51" si="17">IF(H$12=0,0,H40/H$12)</f>
        <v>0</v>
      </c>
      <c r="K40" s="1"/>
      <c r="L40" s="1">
        <f t="shared" ref="L40:L51" si="18">+D40-H40</f>
        <v>-0.11999999999989086</v>
      </c>
      <c r="M40" s="1"/>
      <c r="N40" s="5">
        <f t="shared" ref="N40:N51" si="19">IF(H40=0,0,L40/H40)</f>
        <v>-7.6972418216735637E-5</v>
      </c>
      <c r="O40" s="14"/>
      <c r="P40" s="1">
        <f>SUM(OSRRefP22_2x_0)</f>
        <v>1558.88</v>
      </c>
      <c r="Q40" s="1"/>
      <c r="R40" s="5">
        <f t="shared" ref="R40:R51" si="20">IF(P$12=0,0,P40/P$12)</f>
        <v>0</v>
      </c>
      <c r="S40" s="1"/>
      <c r="T40" s="1">
        <f>SUM(OSRRefT22_2x_0)</f>
        <v>1559</v>
      </c>
      <c r="U40" s="1"/>
      <c r="V40" s="5">
        <f t="shared" ref="V40:V51" si="21">IF(T$12=0,0,T40/T$12)</f>
        <v>0</v>
      </c>
      <c r="W40" s="1"/>
      <c r="X40" s="1">
        <f t="shared" ref="X40:X51" si="22">+P40-T40</f>
        <v>-0.11999999999989086</v>
      </c>
      <c r="Y40" s="1"/>
      <c r="Z40" s="5">
        <f t="shared" ref="Z40:Z51" si="23">IF(T40=0,0,X40/T40)</f>
        <v>-7.6972418216735637E-5</v>
      </c>
    </row>
    <row r="41" spans="1:26" s="24" customFormat="1" hidden="1" outlineLevel="2" x14ac:dyDescent="0.3">
      <c r="A41" s="29"/>
      <c r="B41" s="11" t="str">
        <f>CONCATENATE("          ", "6322", " - ", "EQUIPMENT DEPRECIATION EXPENSE")</f>
        <v xml:space="preserve">          6322 - EQUIPMENT DEPRECIATION EXPENSE</v>
      </c>
      <c r="C41" s="11"/>
      <c r="D41" s="8">
        <v>1558.88</v>
      </c>
      <c r="E41" s="3"/>
      <c r="F41" s="7">
        <f t="shared" si="16"/>
        <v>0</v>
      </c>
      <c r="G41" s="3"/>
      <c r="H41" s="8">
        <v>1559</v>
      </c>
      <c r="I41" s="3"/>
      <c r="J41" s="7">
        <f t="shared" si="17"/>
        <v>0</v>
      </c>
      <c r="K41" s="3"/>
      <c r="L41" s="8">
        <f t="shared" si="18"/>
        <v>-0.11999999999989086</v>
      </c>
      <c r="M41" s="3"/>
      <c r="N41" s="7">
        <f t="shared" si="19"/>
        <v>-7.6972418216735637E-5</v>
      </c>
      <c r="O41" s="11"/>
      <c r="P41" s="8">
        <v>1558.88</v>
      </c>
      <c r="Q41" s="3"/>
      <c r="R41" s="7">
        <f t="shared" si="20"/>
        <v>0</v>
      </c>
      <c r="S41" s="3"/>
      <c r="T41" s="8">
        <v>1559</v>
      </c>
      <c r="U41" s="3"/>
      <c r="V41" s="7">
        <f t="shared" si="21"/>
        <v>0</v>
      </c>
      <c r="W41" s="3"/>
      <c r="X41" s="8">
        <f t="shared" si="22"/>
        <v>-0.11999999999989086</v>
      </c>
      <c r="Y41" s="3"/>
      <c r="Z41" s="7">
        <f t="shared" si="23"/>
        <v>-7.6972418216735637E-5</v>
      </c>
    </row>
    <row r="42" spans="1:26" s="27" customFormat="1" outlineLevel="1" collapsed="1" x14ac:dyDescent="0.3">
      <c r="A42" s="28"/>
      <c r="B42" s="14" t="str">
        <f>CONCATENATE("     ","Equipment Rental                                  ")</f>
        <v xml:space="preserve">     Equipment Rental                                  </v>
      </c>
      <c r="C42" s="14"/>
      <c r="D42" s="1">
        <f>SUM(OSRRefD22_3x_0)</f>
        <v>91.26</v>
      </c>
      <c r="E42" s="1"/>
      <c r="F42" s="5">
        <f t="shared" si="16"/>
        <v>0</v>
      </c>
      <c r="G42" s="1"/>
      <c r="H42" s="1">
        <f>SUM(OSRRefH22_3x_0)</f>
        <v>91</v>
      </c>
      <c r="I42" s="1"/>
      <c r="J42" s="5">
        <f t="shared" si="17"/>
        <v>0</v>
      </c>
      <c r="K42" s="1"/>
      <c r="L42" s="1">
        <f t="shared" si="18"/>
        <v>0.26000000000000512</v>
      </c>
      <c r="M42" s="1"/>
      <c r="N42" s="5">
        <f t="shared" si="19"/>
        <v>2.8571428571429135E-3</v>
      </c>
      <c r="O42" s="14"/>
      <c r="P42" s="1">
        <f>SUM(OSRRefP22_3x_0)</f>
        <v>91.26</v>
      </c>
      <c r="Q42" s="1"/>
      <c r="R42" s="5">
        <f t="shared" si="20"/>
        <v>0</v>
      </c>
      <c r="S42" s="1"/>
      <c r="T42" s="1">
        <f>SUM(OSRRefT22_3x_0)</f>
        <v>91</v>
      </c>
      <c r="U42" s="1"/>
      <c r="V42" s="5">
        <f t="shared" si="21"/>
        <v>0</v>
      </c>
      <c r="W42" s="1"/>
      <c r="X42" s="1">
        <f t="shared" si="22"/>
        <v>0.26000000000000512</v>
      </c>
      <c r="Y42" s="1"/>
      <c r="Z42" s="5">
        <f t="shared" si="23"/>
        <v>2.8571428571429135E-3</v>
      </c>
    </row>
    <row r="43" spans="1:26" s="24" customFormat="1" hidden="1" outlineLevel="2" x14ac:dyDescent="0.3">
      <c r="A43" s="29"/>
      <c r="B43" s="11" t="str">
        <f>CONCATENATE("          ", "6351", " - ", "EQUIPMENT RENTAL")</f>
        <v xml:space="preserve">          6351 - EQUIPMENT RENTAL</v>
      </c>
      <c r="C43" s="11"/>
      <c r="D43" s="8">
        <v>91.26</v>
      </c>
      <c r="E43" s="3"/>
      <c r="F43" s="7">
        <f t="shared" si="16"/>
        <v>0</v>
      </c>
      <c r="G43" s="3"/>
      <c r="H43" s="8">
        <v>91</v>
      </c>
      <c r="I43" s="3"/>
      <c r="J43" s="7">
        <f t="shared" si="17"/>
        <v>0</v>
      </c>
      <c r="K43" s="3"/>
      <c r="L43" s="8">
        <f t="shared" si="18"/>
        <v>0.26000000000000512</v>
      </c>
      <c r="M43" s="3"/>
      <c r="N43" s="7">
        <f t="shared" si="19"/>
        <v>2.8571428571429135E-3</v>
      </c>
      <c r="O43" s="11"/>
      <c r="P43" s="8">
        <v>91.26</v>
      </c>
      <c r="Q43" s="3"/>
      <c r="R43" s="7">
        <f t="shared" si="20"/>
        <v>0</v>
      </c>
      <c r="S43" s="3"/>
      <c r="T43" s="8">
        <v>91</v>
      </c>
      <c r="U43" s="3"/>
      <c r="V43" s="7">
        <f t="shared" si="21"/>
        <v>0</v>
      </c>
      <c r="W43" s="3"/>
      <c r="X43" s="8">
        <f t="shared" si="22"/>
        <v>0.26000000000000512</v>
      </c>
      <c r="Y43" s="3"/>
      <c r="Z43" s="7">
        <f t="shared" si="23"/>
        <v>2.8571428571429135E-3</v>
      </c>
    </row>
    <row r="44" spans="1:26" s="27" customFormat="1" outlineLevel="1" collapsed="1" x14ac:dyDescent="0.3">
      <c r="A44" s="28"/>
      <c r="B44" s="14" t="str">
        <f>CONCATENATE("     ","Freight out/Postage                               ")</f>
        <v xml:space="preserve">     Freight out/Postage                               </v>
      </c>
      <c r="C44" s="14"/>
      <c r="D44" s="1">
        <f>SUM(OSRRefD22_4x_0)</f>
        <v>88.12</v>
      </c>
      <c r="E44" s="1"/>
      <c r="F44" s="5">
        <f t="shared" si="16"/>
        <v>0</v>
      </c>
      <c r="G44" s="1"/>
      <c r="H44" s="1">
        <f>SUM(OSRRefH22_4x_0)</f>
        <v>100</v>
      </c>
      <c r="I44" s="1"/>
      <c r="J44" s="5">
        <f t="shared" si="17"/>
        <v>0</v>
      </c>
      <c r="K44" s="1"/>
      <c r="L44" s="1">
        <f t="shared" si="18"/>
        <v>-11.879999999999995</v>
      </c>
      <c r="M44" s="1"/>
      <c r="N44" s="5">
        <f t="shared" si="19"/>
        <v>-0.11879999999999996</v>
      </c>
      <c r="O44" s="14"/>
      <c r="P44" s="1">
        <f>SUM(OSRRefP22_4x_0)</f>
        <v>88.12</v>
      </c>
      <c r="Q44" s="1"/>
      <c r="R44" s="5">
        <f t="shared" si="20"/>
        <v>0</v>
      </c>
      <c r="S44" s="1"/>
      <c r="T44" s="1">
        <f>SUM(OSRRefT22_4x_0)</f>
        <v>100</v>
      </c>
      <c r="U44" s="1"/>
      <c r="V44" s="5">
        <f t="shared" si="21"/>
        <v>0</v>
      </c>
      <c r="W44" s="1"/>
      <c r="X44" s="1">
        <f t="shared" si="22"/>
        <v>-11.879999999999995</v>
      </c>
      <c r="Y44" s="1"/>
      <c r="Z44" s="5">
        <f t="shared" si="23"/>
        <v>-0.11879999999999996</v>
      </c>
    </row>
    <row r="45" spans="1:26" s="24" customFormat="1" hidden="1" outlineLevel="2" x14ac:dyDescent="0.3">
      <c r="A45" s="29"/>
      <c r="B45" s="11" t="str">
        <f>CONCATENATE("          ", "6307", " - ", "POSTAGE")</f>
        <v xml:space="preserve">          6307 - POSTAGE</v>
      </c>
      <c r="C45" s="11"/>
      <c r="D45" s="8">
        <v>88.12</v>
      </c>
      <c r="E45" s="3"/>
      <c r="F45" s="7">
        <f t="shared" si="16"/>
        <v>0</v>
      </c>
      <c r="G45" s="3"/>
      <c r="H45" s="8">
        <v>100</v>
      </c>
      <c r="I45" s="3"/>
      <c r="J45" s="7">
        <f t="shared" si="17"/>
        <v>0</v>
      </c>
      <c r="K45" s="3"/>
      <c r="L45" s="8">
        <f t="shared" si="18"/>
        <v>-11.879999999999995</v>
      </c>
      <c r="M45" s="3"/>
      <c r="N45" s="7">
        <f t="shared" si="19"/>
        <v>-0.11879999999999996</v>
      </c>
      <c r="O45" s="11"/>
      <c r="P45" s="8">
        <v>88.12</v>
      </c>
      <c r="Q45" s="3"/>
      <c r="R45" s="7">
        <f t="shared" si="20"/>
        <v>0</v>
      </c>
      <c r="S45" s="3"/>
      <c r="T45" s="8">
        <v>100</v>
      </c>
      <c r="U45" s="3"/>
      <c r="V45" s="7">
        <f t="shared" si="21"/>
        <v>0</v>
      </c>
      <c r="W45" s="3"/>
      <c r="X45" s="8">
        <f t="shared" si="22"/>
        <v>-11.879999999999995</v>
      </c>
      <c r="Y45" s="3"/>
      <c r="Z45" s="7">
        <f t="shared" si="23"/>
        <v>-0.11879999999999996</v>
      </c>
    </row>
    <row r="46" spans="1:26" s="27" customFormat="1" outlineLevel="1" collapsed="1" x14ac:dyDescent="0.3">
      <c r="A46" s="28"/>
      <c r="B46" s="14" t="str">
        <f>CONCATENATE("     ","Insurance                                         ")</f>
        <v xml:space="preserve">     Insurance                                         </v>
      </c>
      <c r="C46" s="14"/>
      <c r="D46" s="1">
        <f>SUM(OSRRefD22_5x_0)</f>
        <v>179.64</v>
      </c>
      <c r="E46" s="1"/>
      <c r="F46" s="5">
        <f t="shared" si="16"/>
        <v>0</v>
      </c>
      <c r="G46" s="1"/>
      <c r="H46" s="1">
        <f>SUM(OSRRefH22_5x_0)</f>
        <v>180</v>
      </c>
      <c r="I46" s="1"/>
      <c r="J46" s="5">
        <f t="shared" si="17"/>
        <v>0</v>
      </c>
      <c r="K46" s="1"/>
      <c r="L46" s="1">
        <f t="shared" si="18"/>
        <v>-0.36000000000001364</v>
      </c>
      <c r="M46" s="1"/>
      <c r="N46" s="5">
        <f t="shared" si="19"/>
        <v>-2.0000000000000759E-3</v>
      </c>
      <c r="O46" s="14"/>
      <c r="P46" s="1">
        <f>SUM(OSRRefP22_5x_0)</f>
        <v>179.64</v>
      </c>
      <c r="Q46" s="1"/>
      <c r="R46" s="5">
        <f t="shared" si="20"/>
        <v>0</v>
      </c>
      <c r="S46" s="1"/>
      <c r="T46" s="1">
        <f>SUM(OSRRefT22_5x_0)</f>
        <v>180</v>
      </c>
      <c r="U46" s="1"/>
      <c r="V46" s="5">
        <f t="shared" si="21"/>
        <v>0</v>
      </c>
      <c r="W46" s="1"/>
      <c r="X46" s="1">
        <f t="shared" si="22"/>
        <v>-0.36000000000001364</v>
      </c>
      <c r="Y46" s="1"/>
      <c r="Z46" s="5">
        <f t="shared" si="23"/>
        <v>-2.0000000000000759E-3</v>
      </c>
    </row>
    <row r="47" spans="1:26" s="24" customFormat="1" hidden="1" outlineLevel="2" x14ac:dyDescent="0.3">
      <c r="A47" s="29"/>
      <c r="B47" s="11" t="str">
        <f>CONCATENATE("          ", "6314", " - ", "LIABILITY INSURANCE")</f>
        <v xml:space="preserve">          6314 - LIABILITY INSURANCE</v>
      </c>
      <c r="C47" s="11"/>
      <c r="D47" s="8">
        <v>179.64</v>
      </c>
      <c r="E47" s="3"/>
      <c r="F47" s="7">
        <f t="shared" si="16"/>
        <v>0</v>
      </c>
      <c r="G47" s="3"/>
      <c r="H47" s="8">
        <v>180</v>
      </c>
      <c r="I47" s="3"/>
      <c r="J47" s="7">
        <f t="shared" si="17"/>
        <v>0</v>
      </c>
      <c r="K47" s="3"/>
      <c r="L47" s="8">
        <f t="shared" si="18"/>
        <v>-0.36000000000001364</v>
      </c>
      <c r="M47" s="3"/>
      <c r="N47" s="7">
        <f t="shared" si="19"/>
        <v>-2.0000000000000759E-3</v>
      </c>
      <c r="O47" s="11"/>
      <c r="P47" s="8">
        <v>179.64</v>
      </c>
      <c r="Q47" s="3"/>
      <c r="R47" s="7">
        <f t="shared" si="20"/>
        <v>0</v>
      </c>
      <c r="S47" s="3"/>
      <c r="T47" s="8">
        <v>180</v>
      </c>
      <c r="U47" s="3"/>
      <c r="V47" s="7">
        <f t="shared" si="21"/>
        <v>0</v>
      </c>
      <c r="W47" s="3"/>
      <c r="X47" s="8">
        <f t="shared" si="22"/>
        <v>-0.36000000000001364</v>
      </c>
      <c r="Y47" s="3"/>
      <c r="Z47" s="7">
        <f t="shared" si="23"/>
        <v>-2.0000000000000759E-3</v>
      </c>
    </row>
    <row r="48" spans="1:26" s="27" customFormat="1" outlineLevel="1" collapsed="1" x14ac:dyDescent="0.3">
      <c r="A48" s="28"/>
      <c r="B48" s="14" t="str">
        <f>CONCATENATE("     ","Repair and Maintenance                            ")</f>
        <v xml:space="preserve">     Repair and Maintenance                            </v>
      </c>
      <c r="C48" s="14"/>
      <c r="D48" s="1">
        <f>SUM(OSRRefD22_6x_0)</f>
        <v>59.95</v>
      </c>
      <c r="E48" s="1"/>
      <c r="F48" s="5">
        <f t="shared" si="16"/>
        <v>0</v>
      </c>
      <c r="G48" s="1"/>
      <c r="H48" s="1">
        <f>SUM(OSRRefH22_6x_0)</f>
        <v>210</v>
      </c>
      <c r="I48" s="1"/>
      <c r="J48" s="5">
        <f t="shared" si="17"/>
        <v>0</v>
      </c>
      <c r="K48" s="1"/>
      <c r="L48" s="1">
        <f t="shared" si="18"/>
        <v>-150.05000000000001</v>
      </c>
      <c r="M48" s="1"/>
      <c r="N48" s="5">
        <f t="shared" si="19"/>
        <v>-0.71452380952380956</v>
      </c>
      <c r="O48" s="14"/>
      <c r="P48" s="1">
        <f>SUM(OSRRefP22_6x_0)</f>
        <v>59.95</v>
      </c>
      <c r="Q48" s="1"/>
      <c r="R48" s="5">
        <f t="shared" si="20"/>
        <v>0</v>
      </c>
      <c r="S48" s="1"/>
      <c r="T48" s="1">
        <f>SUM(OSRRefT22_6x_0)</f>
        <v>210</v>
      </c>
      <c r="U48" s="1"/>
      <c r="V48" s="5">
        <f t="shared" si="21"/>
        <v>0</v>
      </c>
      <c r="W48" s="1"/>
      <c r="X48" s="1">
        <f t="shared" si="22"/>
        <v>-150.05000000000001</v>
      </c>
      <c r="Y48" s="1"/>
      <c r="Z48" s="5">
        <f t="shared" si="23"/>
        <v>-0.71452380952380956</v>
      </c>
    </row>
    <row r="49" spans="1:26" s="24" customFormat="1" hidden="1" outlineLevel="2" x14ac:dyDescent="0.3">
      <c r="A49" s="29"/>
      <c r="B49" s="11" t="str">
        <f>CONCATENATE("          ", "6371", " - ", "COMPUTER SOFTWARE MAINTENANCE")</f>
        <v xml:space="preserve">          6371 - COMPUTER SOFTWARE MAINTENANCE</v>
      </c>
      <c r="C49" s="11"/>
      <c r="D49" s="8">
        <v>59.95</v>
      </c>
      <c r="E49" s="3"/>
      <c r="F49" s="7">
        <f t="shared" si="16"/>
        <v>0</v>
      </c>
      <c r="G49" s="3"/>
      <c r="H49" s="8"/>
      <c r="I49" s="3"/>
      <c r="J49" s="7">
        <f t="shared" si="17"/>
        <v>0</v>
      </c>
      <c r="K49" s="3"/>
      <c r="L49" s="8">
        <f t="shared" si="18"/>
        <v>59.95</v>
      </c>
      <c r="M49" s="3"/>
      <c r="N49" s="7">
        <f t="shared" si="19"/>
        <v>0</v>
      </c>
      <c r="O49" s="11"/>
      <c r="P49" s="8">
        <v>59.95</v>
      </c>
      <c r="Q49" s="3"/>
      <c r="R49" s="7">
        <f t="shared" si="20"/>
        <v>0</v>
      </c>
      <c r="S49" s="3"/>
      <c r="T49" s="8"/>
      <c r="U49" s="3"/>
      <c r="V49" s="7">
        <f t="shared" si="21"/>
        <v>0</v>
      </c>
      <c r="W49" s="3"/>
      <c r="X49" s="8">
        <f t="shared" si="22"/>
        <v>59.95</v>
      </c>
      <c r="Y49" s="3"/>
      <c r="Z49" s="7">
        <f t="shared" si="23"/>
        <v>0</v>
      </c>
    </row>
    <row r="50" spans="1:26" s="24" customFormat="1" hidden="1" outlineLevel="2" x14ac:dyDescent="0.3">
      <c r="A50" s="29"/>
      <c r="B50" s="11" t="str">
        <f>CONCATENATE("          ", "6373", " - ", "MAINTENANCE CONTRACTS")</f>
        <v xml:space="preserve">          6373 - MAINTENANCE CONTRACTS</v>
      </c>
      <c r="C50" s="11"/>
      <c r="D50" s="8"/>
      <c r="E50" s="3"/>
      <c r="F50" s="7">
        <f t="shared" si="16"/>
        <v>0</v>
      </c>
      <c r="G50" s="3"/>
      <c r="H50" s="8">
        <v>60</v>
      </c>
      <c r="I50" s="3"/>
      <c r="J50" s="7">
        <f t="shared" si="17"/>
        <v>0</v>
      </c>
      <c r="K50" s="3"/>
      <c r="L50" s="8">
        <f t="shared" si="18"/>
        <v>-60</v>
      </c>
      <c r="M50" s="3"/>
      <c r="N50" s="7">
        <f t="shared" si="19"/>
        <v>-1</v>
      </c>
      <c r="O50" s="11"/>
      <c r="P50" s="8"/>
      <c r="Q50" s="3"/>
      <c r="R50" s="7">
        <f t="shared" si="20"/>
        <v>0</v>
      </c>
      <c r="S50" s="3"/>
      <c r="T50" s="8">
        <v>60</v>
      </c>
      <c r="U50" s="3"/>
      <c r="V50" s="7">
        <f t="shared" si="21"/>
        <v>0</v>
      </c>
      <c r="W50" s="3"/>
      <c r="X50" s="8">
        <f t="shared" si="22"/>
        <v>-60</v>
      </c>
      <c r="Y50" s="3"/>
      <c r="Z50" s="7">
        <f t="shared" si="23"/>
        <v>-1</v>
      </c>
    </row>
    <row r="51" spans="1:26" s="24" customFormat="1" hidden="1" outlineLevel="2" x14ac:dyDescent="0.3">
      <c r="A51" s="29"/>
      <c r="B51" s="11" t="str">
        <f>CONCATENATE("          ", "6375", " - ", "OUTSIDE REPAIRS &amp; MAINTENANCE")</f>
        <v xml:space="preserve">          6375 - OUTSIDE REPAIRS &amp; MAINTENANCE</v>
      </c>
      <c r="C51" s="11"/>
      <c r="D51" s="8"/>
      <c r="E51" s="3"/>
      <c r="F51" s="7">
        <f t="shared" si="16"/>
        <v>0</v>
      </c>
      <c r="G51" s="3"/>
      <c r="H51" s="8">
        <v>150</v>
      </c>
      <c r="I51" s="3"/>
      <c r="J51" s="7">
        <f t="shared" si="17"/>
        <v>0</v>
      </c>
      <c r="K51" s="3"/>
      <c r="L51" s="8">
        <f t="shared" si="18"/>
        <v>-150</v>
      </c>
      <c r="M51" s="3"/>
      <c r="N51" s="7">
        <f t="shared" si="19"/>
        <v>-1</v>
      </c>
      <c r="O51" s="11"/>
      <c r="P51" s="8"/>
      <c r="Q51" s="3"/>
      <c r="R51" s="7">
        <f t="shared" si="20"/>
        <v>0</v>
      </c>
      <c r="S51" s="3"/>
      <c r="T51" s="8">
        <v>150</v>
      </c>
      <c r="U51" s="3"/>
      <c r="V51" s="7">
        <f t="shared" si="21"/>
        <v>0</v>
      </c>
      <c r="W51" s="3"/>
      <c r="X51" s="8">
        <f t="shared" si="22"/>
        <v>-150</v>
      </c>
      <c r="Y51" s="3"/>
      <c r="Z51" s="7">
        <f t="shared" si="23"/>
        <v>-1</v>
      </c>
    </row>
    <row r="52" spans="1:26" s="27" customFormat="1" outlineLevel="1" collapsed="1" x14ac:dyDescent="0.3">
      <c r="A52" s="28"/>
      <c r="B52" s="14" t="str">
        <f>CONCATENATE("     ","Services                                          ")</f>
        <v xml:space="preserve">     Services                                          </v>
      </c>
      <c r="C52" s="14"/>
      <c r="D52" s="1">
        <f>SUM(OSRRefD22_7x_0)</f>
        <v>0</v>
      </c>
      <c r="E52" s="1"/>
      <c r="F52" s="5">
        <f t="shared" ref="F52:F59" si="24">IF(D$12=0,0,D52/D$12)</f>
        <v>0</v>
      </c>
      <c r="G52" s="1"/>
      <c r="H52" s="1">
        <f>SUM(OSRRefH22_7x_0)</f>
        <v>625</v>
      </c>
      <c r="I52" s="1"/>
      <c r="J52" s="5">
        <f t="shared" ref="J52:J59" si="25">IF(H$12=0,0,H52/H$12)</f>
        <v>0</v>
      </c>
      <c r="K52" s="1"/>
      <c r="L52" s="1">
        <f t="shared" ref="L52:L59" si="26">+D52-H52</f>
        <v>-625</v>
      </c>
      <c r="M52" s="1"/>
      <c r="N52" s="5">
        <f t="shared" ref="N52:N59" si="27">IF(H52=0,0,L52/H52)</f>
        <v>-1</v>
      </c>
      <c r="O52" s="14"/>
      <c r="P52" s="1">
        <f>SUM(OSRRefP22_7x_0)</f>
        <v>0</v>
      </c>
      <c r="Q52" s="1"/>
      <c r="R52" s="5">
        <f t="shared" ref="R52:R59" si="28">IF(P$12=0,0,P52/P$12)</f>
        <v>0</v>
      </c>
      <c r="S52" s="1"/>
      <c r="T52" s="1">
        <f>SUM(OSRRefT22_7x_0)</f>
        <v>625</v>
      </c>
      <c r="U52" s="1"/>
      <c r="V52" s="5">
        <f t="shared" ref="V52:V59" si="29">IF(T$12=0,0,T52/T$12)</f>
        <v>0</v>
      </c>
      <c r="W52" s="1"/>
      <c r="X52" s="1">
        <f t="shared" ref="X52:X59" si="30">+P52-T52</f>
        <v>-625</v>
      </c>
      <c r="Y52" s="1"/>
      <c r="Z52" s="5">
        <f t="shared" ref="Z52:Z59" si="31">IF(T52=0,0,X52/T52)</f>
        <v>-1</v>
      </c>
    </row>
    <row r="53" spans="1:26" s="24" customFormat="1" hidden="1" outlineLevel="2" x14ac:dyDescent="0.3">
      <c r="A53" s="29"/>
      <c r="B53" s="11" t="str">
        <f>CONCATENATE("          ", "6281", " - ", "STORAGE FEE")</f>
        <v xml:space="preserve">          6281 - STORAGE FEE</v>
      </c>
      <c r="C53" s="11"/>
      <c r="D53" s="8"/>
      <c r="E53" s="3"/>
      <c r="F53" s="7">
        <f t="shared" si="24"/>
        <v>0</v>
      </c>
      <c r="G53" s="3"/>
      <c r="H53" s="8">
        <v>625</v>
      </c>
      <c r="I53" s="3"/>
      <c r="J53" s="7">
        <f t="shared" si="25"/>
        <v>0</v>
      </c>
      <c r="K53" s="3"/>
      <c r="L53" s="8">
        <f t="shared" si="26"/>
        <v>-625</v>
      </c>
      <c r="M53" s="3"/>
      <c r="N53" s="7">
        <f t="shared" si="27"/>
        <v>-1</v>
      </c>
      <c r="O53" s="11"/>
      <c r="P53" s="8"/>
      <c r="Q53" s="3"/>
      <c r="R53" s="7">
        <f t="shared" si="28"/>
        <v>0</v>
      </c>
      <c r="S53" s="3"/>
      <c r="T53" s="8">
        <v>625</v>
      </c>
      <c r="U53" s="3"/>
      <c r="V53" s="7">
        <f t="shared" si="29"/>
        <v>0</v>
      </c>
      <c r="W53" s="3"/>
      <c r="X53" s="8">
        <f t="shared" si="30"/>
        <v>-625</v>
      </c>
      <c r="Y53" s="3"/>
      <c r="Z53" s="7">
        <f t="shared" si="31"/>
        <v>-1</v>
      </c>
    </row>
    <row r="54" spans="1:26" s="27" customFormat="1" outlineLevel="1" collapsed="1" x14ac:dyDescent="0.3">
      <c r="A54" s="28"/>
      <c r="B54" s="14" t="str">
        <f>CONCATENATE("     ","Supplies                                          ")</f>
        <v xml:space="preserve">     Supplies                                          </v>
      </c>
      <c r="C54" s="14"/>
      <c r="D54" s="1">
        <f>SUM(OSRRefD22_8x_0)</f>
        <v>272.22000000000003</v>
      </c>
      <c r="E54" s="1"/>
      <c r="F54" s="5">
        <f t="shared" si="24"/>
        <v>0</v>
      </c>
      <c r="G54" s="1"/>
      <c r="H54" s="1">
        <f>SUM(OSRRefH22_8x_0)</f>
        <v>100</v>
      </c>
      <c r="I54" s="1"/>
      <c r="J54" s="5">
        <f t="shared" si="25"/>
        <v>0</v>
      </c>
      <c r="K54" s="1"/>
      <c r="L54" s="1">
        <f t="shared" si="26"/>
        <v>172.22000000000003</v>
      </c>
      <c r="M54" s="1"/>
      <c r="N54" s="5">
        <f t="shared" si="27"/>
        <v>1.7222000000000002</v>
      </c>
      <c r="O54" s="14"/>
      <c r="P54" s="1">
        <f>SUM(OSRRefP22_8x_0)</f>
        <v>272.22000000000003</v>
      </c>
      <c r="Q54" s="1"/>
      <c r="R54" s="5">
        <f t="shared" si="28"/>
        <v>0</v>
      </c>
      <c r="S54" s="1"/>
      <c r="T54" s="1">
        <f>SUM(OSRRefT22_8x_0)</f>
        <v>100</v>
      </c>
      <c r="U54" s="1"/>
      <c r="V54" s="5">
        <f t="shared" si="29"/>
        <v>0</v>
      </c>
      <c r="W54" s="1"/>
      <c r="X54" s="1">
        <f t="shared" si="30"/>
        <v>172.22000000000003</v>
      </c>
      <c r="Y54" s="1"/>
      <c r="Z54" s="5">
        <f t="shared" si="31"/>
        <v>1.7222000000000002</v>
      </c>
    </row>
    <row r="55" spans="1:26" s="24" customFormat="1" hidden="1" outlineLevel="2" x14ac:dyDescent="0.3">
      <c r="A55" s="29"/>
      <c r="B55" s="11" t="str">
        <f>CONCATENATE("          ", "6241", " - ", "OFFICE EXPENSE")</f>
        <v xml:space="preserve">          6241 - OFFICE EXPENSE</v>
      </c>
      <c r="C55" s="11"/>
      <c r="D55" s="8">
        <v>272.22000000000003</v>
      </c>
      <c r="E55" s="3"/>
      <c r="F55" s="7">
        <f t="shared" si="24"/>
        <v>0</v>
      </c>
      <c r="G55" s="3"/>
      <c r="H55" s="8">
        <v>100</v>
      </c>
      <c r="I55" s="3"/>
      <c r="J55" s="7">
        <f t="shared" si="25"/>
        <v>0</v>
      </c>
      <c r="K55" s="3"/>
      <c r="L55" s="8">
        <f t="shared" si="26"/>
        <v>172.22000000000003</v>
      </c>
      <c r="M55" s="3"/>
      <c r="N55" s="7">
        <f t="shared" si="27"/>
        <v>1.7222000000000002</v>
      </c>
      <c r="O55" s="11"/>
      <c r="P55" s="8">
        <v>272.22000000000003</v>
      </c>
      <c r="Q55" s="3"/>
      <c r="R55" s="7">
        <f t="shared" si="28"/>
        <v>0</v>
      </c>
      <c r="S55" s="3"/>
      <c r="T55" s="8">
        <v>100</v>
      </c>
      <c r="U55" s="3"/>
      <c r="V55" s="7">
        <f t="shared" si="29"/>
        <v>0</v>
      </c>
      <c r="W55" s="3"/>
      <c r="X55" s="8">
        <f t="shared" si="30"/>
        <v>172.22000000000003</v>
      </c>
      <c r="Y55" s="3"/>
      <c r="Z55" s="7">
        <f t="shared" si="31"/>
        <v>1.7222000000000002</v>
      </c>
    </row>
    <row r="56" spans="1:26" s="27" customFormat="1" outlineLevel="1" collapsed="1" x14ac:dyDescent="0.3">
      <c r="A56" s="28"/>
      <c r="B56" s="14" t="str">
        <f>CONCATENATE("     ","Telephone/Data Lines                              ")</f>
        <v xml:space="preserve">     Telephone/Data Lines                              </v>
      </c>
      <c r="C56" s="14"/>
      <c r="D56" s="1">
        <f>SUM(OSRRefD22_9x_0)</f>
        <v>448.1</v>
      </c>
      <c r="E56" s="1"/>
      <c r="F56" s="5">
        <f t="shared" si="24"/>
        <v>0</v>
      </c>
      <c r="G56" s="1"/>
      <c r="H56" s="1">
        <f>SUM(OSRRefH22_9x_0)</f>
        <v>400</v>
      </c>
      <c r="I56" s="1"/>
      <c r="J56" s="5">
        <f t="shared" si="25"/>
        <v>0</v>
      </c>
      <c r="K56" s="1"/>
      <c r="L56" s="1">
        <f t="shared" si="26"/>
        <v>48.100000000000023</v>
      </c>
      <c r="M56" s="1"/>
      <c r="N56" s="5">
        <f t="shared" si="27"/>
        <v>0.12025000000000005</v>
      </c>
      <c r="O56" s="14"/>
      <c r="P56" s="1">
        <f>SUM(OSRRefP22_9x_0)</f>
        <v>448.1</v>
      </c>
      <c r="Q56" s="1"/>
      <c r="R56" s="5">
        <f t="shared" si="28"/>
        <v>0</v>
      </c>
      <c r="S56" s="1"/>
      <c r="T56" s="1">
        <f>SUM(OSRRefT22_9x_0)</f>
        <v>400</v>
      </c>
      <c r="U56" s="1"/>
      <c r="V56" s="5">
        <f t="shared" si="29"/>
        <v>0</v>
      </c>
      <c r="W56" s="1"/>
      <c r="X56" s="1">
        <f t="shared" si="30"/>
        <v>48.100000000000023</v>
      </c>
      <c r="Y56" s="1"/>
      <c r="Z56" s="5">
        <f t="shared" si="31"/>
        <v>0.12025000000000005</v>
      </c>
    </row>
    <row r="57" spans="1:26" s="24" customFormat="1" hidden="1" outlineLevel="2" x14ac:dyDescent="0.3">
      <c r="A57" s="29"/>
      <c r="B57" s="11" t="str">
        <f>CONCATENATE("          ", "6309", " - ", "TELEPHONE")</f>
        <v xml:space="preserve">          6309 - TELEPHONE</v>
      </c>
      <c r="C57" s="11"/>
      <c r="D57" s="8">
        <v>448.1</v>
      </c>
      <c r="E57" s="3"/>
      <c r="F57" s="7">
        <f t="shared" si="24"/>
        <v>0</v>
      </c>
      <c r="G57" s="3"/>
      <c r="H57" s="8">
        <v>400</v>
      </c>
      <c r="I57" s="3"/>
      <c r="J57" s="7">
        <f t="shared" si="25"/>
        <v>0</v>
      </c>
      <c r="K57" s="3"/>
      <c r="L57" s="8">
        <f t="shared" si="26"/>
        <v>48.100000000000023</v>
      </c>
      <c r="M57" s="3"/>
      <c r="N57" s="7">
        <f t="shared" si="27"/>
        <v>0.12025000000000005</v>
      </c>
      <c r="O57" s="11"/>
      <c r="P57" s="8">
        <v>448.1</v>
      </c>
      <c r="Q57" s="3"/>
      <c r="R57" s="7">
        <f t="shared" si="28"/>
        <v>0</v>
      </c>
      <c r="S57" s="3"/>
      <c r="T57" s="8">
        <v>400</v>
      </c>
      <c r="U57" s="3"/>
      <c r="V57" s="7">
        <f t="shared" si="29"/>
        <v>0</v>
      </c>
      <c r="W57" s="3"/>
      <c r="X57" s="8">
        <f t="shared" si="30"/>
        <v>48.100000000000023</v>
      </c>
      <c r="Y57" s="3"/>
      <c r="Z57" s="7">
        <f t="shared" si="31"/>
        <v>0.12025000000000005</v>
      </c>
    </row>
    <row r="58" spans="1:26" s="27" customFormat="1" outlineLevel="1" collapsed="1" x14ac:dyDescent="0.3">
      <c r="A58" s="28"/>
      <c r="B58" s="14" t="str">
        <f>CONCATENATE("     ","Travel                                            ")</f>
        <v xml:space="preserve">     Travel                                            </v>
      </c>
      <c r="C58" s="14"/>
      <c r="D58" s="1">
        <f>SUM(OSRRefD22_10x_0)</f>
        <v>17.100000000000001</v>
      </c>
      <c r="E58" s="1"/>
      <c r="F58" s="5">
        <f t="shared" si="24"/>
        <v>0</v>
      </c>
      <c r="G58" s="1"/>
      <c r="H58" s="1">
        <f>SUM(OSRRefH22_10x_0)</f>
        <v>0</v>
      </c>
      <c r="I58" s="1"/>
      <c r="J58" s="5">
        <f t="shared" si="25"/>
        <v>0</v>
      </c>
      <c r="K58" s="1"/>
      <c r="L58" s="1">
        <f t="shared" si="26"/>
        <v>17.100000000000001</v>
      </c>
      <c r="M58" s="1"/>
      <c r="N58" s="5">
        <f t="shared" si="27"/>
        <v>0</v>
      </c>
      <c r="O58" s="14"/>
      <c r="P58" s="1">
        <f>SUM(OSRRefP22_10x_0)</f>
        <v>17.100000000000001</v>
      </c>
      <c r="Q58" s="1"/>
      <c r="R58" s="5">
        <f t="shared" si="28"/>
        <v>0</v>
      </c>
      <c r="S58" s="1"/>
      <c r="T58" s="1">
        <f>SUM(OSRRefT22_10x_0)</f>
        <v>0</v>
      </c>
      <c r="U58" s="1"/>
      <c r="V58" s="5">
        <f t="shared" si="29"/>
        <v>0</v>
      </c>
      <c r="W58" s="1"/>
      <c r="X58" s="1">
        <f t="shared" si="30"/>
        <v>17.100000000000001</v>
      </c>
      <c r="Y58" s="1"/>
      <c r="Z58" s="5">
        <f t="shared" si="31"/>
        <v>0</v>
      </c>
    </row>
    <row r="59" spans="1:26" s="24" customFormat="1" hidden="1" outlineLevel="2" x14ac:dyDescent="0.3">
      <c r="A59" s="29"/>
      <c r="B59" s="11" t="str">
        <f>CONCATENATE("          ", "6294", " - ", "TRAVEL OPERATIONAL")</f>
        <v xml:space="preserve">          6294 - TRAVEL OPERATIONAL</v>
      </c>
      <c r="C59" s="11"/>
      <c r="D59" s="8">
        <v>17.100000000000001</v>
      </c>
      <c r="E59" s="3"/>
      <c r="F59" s="7">
        <f t="shared" si="24"/>
        <v>0</v>
      </c>
      <c r="G59" s="3"/>
      <c r="H59" s="8"/>
      <c r="I59" s="3"/>
      <c r="J59" s="7">
        <f t="shared" si="25"/>
        <v>0</v>
      </c>
      <c r="K59" s="3"/>
      <c r="L59" s="8">
        <f t="shared" si="26"/>
        <v>17.100000000000001</v>
      </c>
      <c r="M59" s="3"/>
      <c r="N59" s="7">
        <f t="shared" si="27"/>
        <v>0</v>
      </c>
      <c r="O59" s="11"/>
      <c r="P59" s="8">
        <v>17.100000000000001</v>
      </c>
      <c r="Q59" s="3"/>
      <c r="R59" s="7">
        <f t="shared" si="28"/>
        <v>0</v>
      </c>
      <c r="S59" s="3"/>
      <c r="T59" s="8"/>
      <c r="U59" s="3"/>
      <c r="V59" s="7">
        <f t="shared" si="29"/>
        <v>0</v>
      </c>
      <c r="W59" s="3"/>
      <c r="X59" s="8">
        <f t="shared" si="30"/>
        <v>17.100000000000001</v>
      </c>
      <c r="Y59" s="3"/>
      <c r="Z59" s="7">
        <f t="shared" si="31"/>
        <v>0</v>
      </c>
    </row>
    <row r="60" spans="1:26" s="62" customFormat="1" x14ac:dyDescent="0.3">
      <c r="A60" s="36"/>
      <c r="B60" s="36"/>
      <c r="C60" s="36"/>
      <c r="D60" s="1"/>
      <c r="E60" s="1"/>
      <c r="F60" s="5"/>
      <c r="G60" s="1"/>
      <c r="H60" s="1"/>
      <c r="I60" s="1"/>
      <c r="J60" s="5"/>
      <c r="K60" s="1"/>
      <c r="L60" s="1"/>
      <c r="M60" s="1"/>
      <c r="N60" s="5"/>
      <c r="O60" s="36"/>
      <c r="P60" s="1"/>
      <c r="Q60" s="1"/>
      <c r="R60" s="5"/>
      <c r="S60" s="1"/>
      <c r="T60" s="1"/>
      <c r="U60" s="1"/>
      <c r="V60" s="5"/>
      <c r="W60" s="1"/>
      <c r="X60" s="1"/>
      <c r="Y60" s="1"/>
      <c r="Z60" s="5"/>
    </row>
    <row r="61" spans="1:26" s="23" customFormat="1" x14ac:dyDescent="0.3">
      <c r="A61" s="10"/>
      <c r="B61" s="25" t="s">
        <v>293</v>
      </c>
      <c r="C61" s="10"/>
      <c r="D61" s="4">
        <f>SUM(0)</f>
        <v>0</v>
      </c>
      <c r="E61" s="4"/>
      <c r="F61" s="12">
        <f>IF(D$12=0,0,D61/D$12)</f>
        <v>0</v>
      </c>
      <c r="G61" s="4"/>
      <c r="H61" s="4">
        <f>SUM(0)</f>
        <v>0</v>
      </c>
      <c r="I61" s="4"/>
      <c r="J61" s="12">
        <f>IF(H$12=0,0,H61/H$12)</f>
        <v>0</v>
      </c>
      <c r="K61" s="4"/>
      <c r="L61" s="4">
        <f>+D61-H61</f>
        <v>0</v>
      </c>
      <c r="M61" s="4"/>
      <c r="N61" s="12">
        <f>IF(H61=0,0,L61/H61)</f>
        <v>0</v>
      </c>
      <c r="O61" s="10"/>
      <c r="P61" s="4">
        <f>SUM(0)</f>
        <v>0</v>
      </c>
      <c r="Q61" s="4"/>
      <c r="R61" s="12">
        <f>IF(P$12=0,0,P61/P$12)</f>
        <v>0</v>
      </c>
      <c r="S61" s="4"/>
      <c r="T61" s="4">
        <f>SUM(0)</f>
        <v>0</v>
      </c>
      <c r="U61" s="4"/>
      <c r="V61" s="12">
        <f>IF(T$12=0,0,T61/T$12)</f>
        <v>0</v>
      </c>
      <c r="W61" s="4"/>
      <c r="X61" s="4">
        <f>+P61-T61</f>
        <v>0</v>
      </c>
      <c r="Y61" s="4"/>
      <c r="Z61" s="12">
        <f>IF(T61=0,0,X61/T61)</f>
        <v>0</v>
      </c>
    </row>
    <row r="62" spans="1:26" x14ac:dyDescent="0.3">
      <c r="A62" s="9"/>
      <c r="B62" s="10"/>
      <c r="C62" s="10"/>
      <c r="D62" s="2"/>
      <c r="E62" s="2"/>
      <c r="F62" s="6"/>
      <c r="G62" s="2"/>
      <c r="H62" s="2"/>
      <c r="I62" s="2"/>
      <c r="J62" s="6"/>
      <c r="K62" s="2"/>
      <c r="L62" s="2"/>
      <c r="M62" s="2"/>
      <c r="N62" s="6"/>
      <c r="O62" s="10"/>
      <c r="P62" s="2"/>
      <c r="Q62" s="2"/>
      <c r="R62" s="6"/>
      <c r="S62" s="2"/>
      <c r="T62" s="2"/>
      <c r="U62" s="2"/>
      <c r="V62" s="6"/>
      <c r="W62" s="2"/>
      <c r="X62" s="2"/>
      <c r="Y62" s="2"/>
      <c r="Z62" s="6"/>
    </row>
    <row r="63" spans="1:26" s="23" customFormat="1" x14ac:dyDescent="0.3">
      <c r="A63" s="10"/>
      <c r="B63" s="26" t="s">
        <v>277</v>
      </c>
      <c r="C63" s="26"/>
      <c r="D63" s="21">
        <f>+D16-D18+D61</f>
        <v>-41601.359999999993</v>
      </c>
      <c r="E63" s="13"/>
      <c r="F63" s="22">
        <f>IF(D$12=0,0,D63/D$12)</f>
        <v>0</v>
      </c>
      <c r="G63" s="13"/>
      <c r="H63" s="21">
        <f>+H16-H18+H61</f>
        <v>-42012.076430384586</v>
      </c>
      <c r="I63" s="13"/>
      <c r="J63" s="22">
        <f>IF(H$12=0,0,H63/H$12)</f>
        <v>0</v>
      </c>
      <c r="K63" s="16"/>
      <c r="L63" s="21">
        <f>+D63-H63</f>
        <v>410.71643038459297</v>
      </c>
      <c r="M63" s="16"/>
      <c r="N63" s="22">
        <f>IF(H63=0,0,L63/H63)</f>
        <v>-9.7761516516605366E-3</v>
      </c>
      <c r="O63" s="25"/>
      <c r="P63" s="21">
        <f>+P16-P18+P61</f>
        <v>-41601.359999999993</v>
      </c>
      <c r="Q63" s="13"/>
      <c r="R63" s="22">
        <f>IF(P$12=0,0,P63/P$12)</f>
        <v>0</v>
      </c>
      <c r="S63" s="13"/>
      <c r="T63" s="21">
        <f>+T16-T18+T61</f>
        <v>-42012.076430384586</v>
      </c>
      <c r="U63" s="13"/>
      <c r="V63" s="22">
        <f>IF(T$12=0,0,T63/T$12)</f>
        <v>0</v>
      </c>
      <c r="W63" s="16"/>
      <c r="X63" s="21">
        <f>+P63-T63</f>
        <v>410.71643038459297</v>
      </c>
      <c r="Y63" s="16"/>
      <c r="Z63" s="22">
        <f>IF(T63=0,0,X63/T63)</f>
        <v>-9.7761516516605366E-3</v>
      </c>
    </row>
    <row r="64" spans="1:26" x14ac:dyDescent="0.3">
      <c r="A64" s="9"/>
      <c r="B64" s="10"/>
      <c r="C64" s="9"/>
      <c r="D64" s="2"/>
      <c r="E64" s="2"/>
      <c r="F64" s="6"/>
      <c r="G64" s="2"/>
      <c r="H64" s="2"/>
      <c r="I64" s="2"/>
      <c r="J64" s="6"/>
      <c r="K64" s="2"/>
      <c r="L64" s="2"/>
      <c r="M64" s="2"/>
      <c r="N64" s="6"/>
      <c r="P64" s="2"/>
      <c r="Q64" s="2"/>
      <c r="R64" s="6"/>
      <c r="S64" s="2"/>
      <c r="T64" s="2"/>
      <c r="U64" s="2"/>
      <c r="V64" s="6"/>
      <c r="W64" s="2"/>
      <c r="X64" s="2"/>
      <c r="Y64" s="2"/>
      <c r="Z64" s="6"/>
    </row>
    <row r="65" spans="1:26" s="23" customFormat="1" x14ac:dyDescent="0.3">
      <c r="A65" s="52"/>
      <c r="B65" s="10" t="s">
        <v>128</v>
      </c>
      <c r="C65" s="10"/>
      <c r="D65" s="4"/>
      <c r="E65" s="4"/>
      <c r="F65" s="12">
        <f>IF(D$12=0,0,D65/D$12)</f>
        <v>0</v>
      </c>
      <c r="G65" s="4"/>
      <c r="H65" s="4"/>
      <c r="I65" s="4"/>
      <c r="J65" s="12">
        <f>IF(H$12=0,0,H65/H$12)</f>
        <v>0</v>
      </c>
      <c r="K65" s="4"/>
      <c r="L65" s="4">
        <f>+D65-H65</f>
        <v>0</v>
      </c>
      <c r="M65" s="4"/>
      <c r="N65" s="12">
        <f>IF(H65=0,0,L65/H65)</f>
        <v>0</v>
      </c>
      <c r="O65" s="10"/>
      <c r="P65" s="4"/>
      <c r="Q65" s="4"/>
      <c r="R65" s="12">
        <f>IF(P$12=0,0,P65/P$12)</f>
        <v>0</v>
      </c>
      <c r="S65" s="4"/>
      <c r="T65" s="4"/>
      <c r="U65" s="4"/>
      <c r="V65" s="12">
        <f>IF(T$12=0,0,T65/T$12)</f>
        <v>0</v>
      </c>
      <c r="W65" s="4"/>
      <c r="X65" s="4">
        <f>+P65-T65</f>
        <v>0</v>
      </c>
      <c r="Y65" s="4"/>
      <c r="Z65" s="12">
        <f>IF(T65=0,0,X65/T65)</f>
        <v>0</v>
      </c>
    </row>
    <row r="66" spans="1:26" x14ac:dyDescent="0.3">
      <c r="A66" s="9"/>
      <c r="B66" s="10"/>
      <c r="C66" s="10"/>
      <c r="D66" s="2"/>
      <c r="E66" s="2"/>
      <c r="F66" s="6"/>
      <c r="G66" s="2"/>
      <c r="H66" s="2"/>
      <c r="I66" s="2"/>
      <c r="J66" s="6"/>
      <c r="K66" s="2"/>
      <c r="L66" s="2"/>
      <c r="M66" s="2"/>
      <c r="N66" s="6"/>
      <c r="O66" s="10"/>
      <c r="P66" s="2"/>
      <c r="Q66" s="2"/>
      <c r="R66" s="6"/>
      <c r="S66" s="2"/>
      <c r="T66" s="2"/>
      <c r="U66" s="2"/>
      <c r="V66" s="6"/>
      <c r="W66" s="2"/>
      <c r="X66" s="2"/>
      <c r="Y66" s="2"/>
      <c r="Z66" s="6"/>
    </row>
    <row r="67" spans="1:26" s="23" customFormat="1" ht="15" thickBot="1" x14ac:dyDescent="0.35">
      <c r="A67" s="10"/>
      <c r="B67" s="26" t="s">
        <v>126</v>
      </c>
      <c r="C67" s="26"/>
      <c r="D67" s="35">
        <f>+D63-D65</f>
        <v>-41601.359999999993</v>
      </c>
      <c r="E67" s="13"/>
      <c r="F67" s="30">
        <f>IF(D$12=0,0,D67/D$12)</f>
        <v>0</v>
      </c>
      <c r="G67" s="13"/>
      <c r="H67" s="35">
        <f>+H63-H65</f>
        <v>-42012.076430384586</v>
      </c>
      <c r="I67" s="13"/>
      <c r="J67" s="30">
        <f>IF(H$12=0,0,H67/H$12)</f>
        <v>0</v>
      </c>
      <c r="K67" s="16"/>
      <c r="L67" s="35">
        <f>D67-H67</f>
        <v>410.71643038459297</v>
      </c>
      <c r="M67" s="16"/>
      <c r="N67" s="30">
        <f>IF(H67=0,0,L67/H67)</f>
        <v>-9.7761516516605366E-3</v>
      </c>
      <c r="O67" s="25"/>
      <c r="P67" s="35">
        <f>+P63-P65</f>
        <v>-41601.359999999993</v>
      </c>
      <c r="Q67" s="13"/>
      <c r="R67" s="30">
        <f>IF(P$12=0,0,P67/P$12)</f>
        <v>0</v>
      </c>
      <c r="S67" s="13"/>
      <c r="T67" s="35">
        <f>+T63-T65</f>
        <v>-42012.076430384586</v>
      </c>
      <c r="U67" s="13"/>
      <c r="V67" s="30">
        <f>IF(T$12=0,0,T67/T$12)</f>
        <v>0</v>
      </c>
      <c r="W67" s="16"/>
      <c r="X67" s="35">
        <f>P67-T67</f>
        <v>410.71643038459297</v>
      </c>
      <c r="Y67" s="16"/>
      <c r="Z67" s="30">
        <f>IF(T67=0,0,X67/T67)</f>
        <v>-9.7761516516605366E-3</v>
      </c>
    </row>
    <row r="68" spans="1:26" ht="15" thickTop="1" x14ac:dyDescent="0.3">
      <c r="A68" s="9"/>
      <c r="B68" s="9"/>
      <c r="C68" s="9"/>
      <c r="D68" s="2"/>
      <c r="E68" s="2"/>
      <c r="F68" s="6"/>
      <c r="G68" s="2"/>
      <c r="H68" s="2"/>
      <c r="I68" s="2"/>
      <c r="J68" s="6"/>
      <c r="K68" s="2"/>
      <c r="L68" s="2"/>
      <c r="M68" s="2"/>
      <c r="N68" s="6"/>
      <c r="P68" s="2"/>
      <c r="Q68" s="2"/>
      <c r="R68" s="6"/>
      <c r="S68" s="2"/>
      <c r="T68" s="2"/>
      <c r="U68" s="2"/>
      <c r="V68" s="6"/>
      <c r="W68" s="2"/>
      <c r="X68" s="2"/>
      <c r="Y68" s="2"/>
      <c r="Z68" s="6"/>
    </row>
    <row r="69" spans="1:26" x14ac:dyDescent="0.3">
      <c r="A69" s="9"/>
      <c r="B69" s="9"/>
      <c r="C69" s="9"/>
      <c r="D69" s="2"/>
      <c r="E69" s="2"/>
      <c r="F69" s="6"/>
      <c r="G69" s="2"/>
      <c r="H69" s="2"/>
      <c r="I69" s="2"/>
      <c r="J69" s="6"/>
      <c r="K69" s="2"/>
      <c r="L69" s="2"/>
      <c r="M69" s="2"/>
      <c r="N69" s="6"/>
      <c r="P69" s="2"/>
      <c r="Q69" s="2"/>
      <c r="R69" s="6"/>
      <c r="S69" s="2"/>
      <c r="T69" s="2"/>
      <c r="U69" s="2"/>
      <c r="V69" s="6"/>
      <c r="W69" s="2"/>
      <c r="X69" s="2"/>
      <c r="Y69" s="2"/>
      <c r="Z69" s="6"/>
    </row>
    <row r="70" spans="1:26" s="23" customFormat="1" ht="15" thickBot="1" x14ac:dyDescent="0.35">
      <c r="A70" s="10"/>
      <c r="B70" s="26" t="s">
        <v>294</v>
      </c>
      <c r="C70" s="26"/>
      <c r="D70" s="33">
        <f>SUM(D67:D69)</f>
        <v>-41601.359999999993</v>
      </c>
      <c r="E70" s="13"/>
      <c r="F70" s="31">
        <f>IF(D$12=0,0,D70/D$12)</f>
        <v>0</v>
      </c>
      <c r="G70" s="13"/>
      <c r="H70" s="33">
        <f>SUM(H67:H69)</f>
        <v>-42012.076430384586</v>
      </c>
      <c r="I70" s="13"/>
      <c r="J70" s="31">
        <f>IF(H$12=0,0,H70/H$12)</f>
        <v>0</v>
      </c>
      <c r="K70" s="16"/>
      <c r="L70" s="33">
        <f>+D70-H70</f>
        <v>410.71643038459297</v>
      </c>
      <c r="M70" s="16"/>
      <c r="N70" s="31">
        <f>IF(H70=0,0,L70/H70)</f>
        <v>-9.7761516516605366E-3</v>
      </c>
      <c r="O70" s="25"/>
      <c r="P70" s="33">
        <f>SUM(P67:P69)</f>
        <v>-41601.359999999993</v>
      </c>
      <c r="Q70" s="13"/>
      <c r="R70" s="31">
        <f>IF(P$12=0,0,P70/P$12)</f>
        <v>0</v>
      </c>
      <c r="S70" s="13"/>
      <c r="T70" s="33">
        <f>SUM(T67:T69)</f>
        <v>-42012.076430384586</v>
      </c>
      <c r="U70" s="13"/>
      <c r="V70" s="31">
        <f>IF(T$12=0,0,T70/T$12)</f>
        <v>0</v>
      </c>
      <c r="W70" s="16"/>
      <c r="X70" s="33">
        <f>+P70-T70</f>
        <v>410.71643038459297</v>
      </c>
      <c r="Y70" s="16"/>
      <c r="Z70" s="31">
        <f>IF(T70=0,0,X70/T70)</f>
        <v>-9.7761516516605366E-3</v>
      </c>
    </row>
    <row r="71" spans="1:26" ht="15" thickTop="1" x14ac:dyDescent="0.3">
      <c r="A71" s="9"/>
      <c r="C71" s="9"/>
      <c r="D71" s="18"/>
      <c r="E71" s="18"/>
      <c r="G71" s="18"/>
      <c r="H71" s="18"/>
      <c r="I71" s="18"/>
      <c r="J71" s="43"/>
      <c r="K71" s="18"/>
      <c r="L71" s="18"/>
      <c r="M71" s="18"/>
      <c r="P71" s="18"/>
      <c r="Q71" s="18"/>
      <c r="R71" s="43"/>
      <c r="S71" s="18"/>
      <c r="T71" s="18"/>
      <c r="U71" s="18"/>
      <c r="V71" s="43"/>
      <c r="W71" s="18"/>
      <c r="X71" s="18"/>
    </row>
    <row r="72" spans="1:26" x14ac:dyDescent="0.3">
      <c r="A72" s="9"/>
      <c r="B72" s="54">
        <v>44462.64548684028</v>
      </c>
      <c r="D72" s="18"/>
      <c r="E72" s="18"/>
      <c r="G72" s="18"/>
      <c r="H72" s="18"/>
      <c r="I72" s="18"/>
      <c r="J72" s="43"/>
      <c r="K72" s="18"/>
      <c r="L72" s="18"/>
      <c r="M72" s="18"/>
      <c r="P72" s="18"/>
      <c r="Q72" s="18"/>
      <c r="R72" s="43"/>
      <c r="S72" s="18"/>
      <c r="T72" s="18"/>
      <c r="U72" s="18"/>
      <c r="V72" s="43"/>
      <c r="W72" s="18"/>
      <c r="X72" s="18"/>
    </row>
    <row r="73" spans="1:26" x14ac:dyDescent="0.3">
      <c r="A73" s="9"/>
      <c r="B73" s="59" t="s">
        <v>56</v>
      </c>
      <c r="D73" s="18"/>
      <c r="E73" s="18"/>
      <c r="G73" s="18"/>
      <c r="H73" s="18"/>
      <c r="I73" s="18"/>
      <c r="J73" s="43"/>
      <c r="K73" s="18"/>
      <c r="L73" s="18"/>
      <c r="M73" s="18"/>
      <c r="P73" s="18"/>
      <c r="Q73" s="18"/>
      <c r="R73" s="43"/>
      <c r="S73" s="18"/>
      <c r="T73" s="18"/>
      <c r="U73" s="18"/>
      <c r="V73" s="43"/>
      <c r="W73" s="18"/>
      <c r="X73" s="18"/>
    </row>
    <row r="74" spans="1:26" x14ac:dyDescent="0.3">
      <c r="A74" s="9"/>
      <c r="B74" s="55"/>
      <c r="D74" s="18"/>
      <c r="E74" s="18"/>
      <c r="G74" s="18"/>
      <c r="H74" s="18"/>
      <c r="I74" s="18"/>
      <c r="J74" s="43"/>
      <c r="K74" s="18"/>
      <c r="L74" s="18"/>
      <c r="M74" s="18"/>
      <c r="P74" s="18"/>
      <c r="Q74" s="18"/>
      <c r="R74" s="43"/>
      <c r="S74" s="18"/>
      <c r="T74" s="18"/>
      <c r="U74" s="18"/>
      <c r="V74" s="43"/>
      <c r="W74" s="18"/>
      <c r="X74" s="18"/>
    </row>
    <row r="75" spans="1:26" x14ac:dyDescent="0.3">
      <c r="D75" s="18"/>
      <c r="E75" s="18"/>
      <c r="G75" s="18"/>
      <c r="H75" s="18"/>
      <c r="I75" s="18"/>
      <c r="J75" s="43"/>
      <c r="K75" s="18"/>
      <c r="L75" s="18"/>
      <c r="M75" s="18"/>
      <c r="P75" s="18"/>
      <c r="Q75" s="18"/>
      <c r="R75" s="43"/>
      <c r="S75" s="18"/>
      <c r="T75" s="18"/>
      <c r="U75" s="18"/>
      <c r="V75" s="43"/>
      <c r="W75" s="18"/>
      <c r="X75" s="18"/>
    </row>
  </sheetData>
  <pageMargins left="0.25" right="0.25" top="0.75" bottom="0.75" header="0.3" footer="0.3"/>
  <pageSetup scale="55" fitToWidth="2" orientation="landscape"/>
  <drawing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>
    <tabColor rgb="FF92D050"/>
    <outlinePr summaryBelow="0" summaryRight="0"/>
  </sheetPr>
  <dimension ref="A2:Z85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50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7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50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7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7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7" customWidth="1" outlineLevel="1"/>
  </cols>
  <sheetData>
    <row r="2" spans="1:26" x14ac:dyDescent="0.3">
      <c r="D2" s="57" t="s">
        <v>23</v>
      </c>
    </row>
    <row r="3" spans="1:26" x14ac:dyDescent="0.3">
      <c r="D3" s="57" t="s">
        <v>237</v>
      </c>
      <c r="E3" s="17"/>
      <c r="F3" s="51"/>
      <c r="G3" s="17"/>
      <c r="H3" s="17"/>
      <c r="I3" s="17"/>
      <c r="J3" s="39"/>
      <c r="K3" s="17"/>
      <c r="L3" s="17"/>
      <c r="M3" s="17"/>
      <c r="N3" s="51"/>
      <c r="O3" s="61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3">
      <c r="D4" s="57" t="str">
        <f>CONCATENATE("Period ",RIGHT(202201,2),", ",2022)</f>
        <v>Period 01, 2022</v>
      </c>
      <c r="E4" s="17"/>
      <c r="F4" s="51"/>
      <c r="G4" s="17"/>
      <c r="H4" s="17"/>
      <c r="I4" s="17"/>
      <c r="J4" s="39"/>
      <c r="K4" s="17"/>
      <c r="L4" s="17"/>
      <c r="M4" s="17"/>
      <c r="N4" s="51"/>
      <c r="O4" s="61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3">
      <c r="A5" s="23"/>
      <c r="D5" s="64">
        <v>44408</v>
      </c>
      <c r="E5" s="17"/>
      <c r="F5" s="51"/>
      <c r="G5" s="17"/>
      <c r="H5" s="17"/>
      <c r="I5" s="17"/>
      <c r="J5" s="39"/>
      <c r="K5" s="17"/>
      <c r="L5" s="17"/>
      <c r="M5" s="17"/>
      <c r="N5" s="51"/>
      <c r="O5" s="61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3">
      <c r="A6" s="23"/>
      <c r="B6" s="47"/>
      <c r="C6" s="47"/>
      <c r="D6" s="23" t="str">
        <f>CONCATENATE("Department ","203", " - ", "Human Resources")</f>
        <v>Department 203 - Human Resources</v>
      </c>
      <c r="E6" s="17"/>
      <c r="F6" s="51"/>
      <c r="G6" s="17"/>
      <c r="H6" s="17"/>
      <c r="I6" s="17"/>
      <c r="J6" s="39"/>
      <c r="K6" s="17"/>
      <c r="L6" s="17"/>
      <c r="M6" s="17"/>
      <c r="N6" s="51"/>
      <c r="O6" s="60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3">
      <c r="B7" s="63"/>
    </row>
    <row r="8" spans="1:26" x14ac:dyDescent="0.3">
      <c r="B8" s="63"/>
    </row>
    <row r="9" spans="1:26" x14ac:dyDescent="0.3">
      <c r="B9" s="9"/>
      <c r="C9" s="9"/>
      <c r="D9" s="15" t="s">
        <v>292</v>
      </c>
      <c r="E9" s="15"/>
      <c r="F9" s="38"/>
      <c r="G9" s="15"/>
      <c r="H9" s="15"/>
      <c r="I9" s="15"/>
      <c r="J9" s="49"/>
      <c r="K9" s="15"/>
      <c r="L9" s="15"/>
      <c r="M9" s="15"/>
      <c r="N9" s="38"/>
      <c r="P9" s="15" t="s">
        <v>39</v>
      </c>
      <c r="Q9" s="15"/>
      <c r="R9" s="38"/>
      <c r="S9" s="15"/>
      <c r="T9" s="15"/>
      <c r="U9" s="15"/>
      <c r="V9" s="49"/>
      <c r="W9" s="15"/>
      <c r="X9" s="15"/>
      <c r="Y9" s="15"/>
      <c r="Z9" s="38"/>
    </row>
    <row r="10" spans="1:26" x14ac:dyDescent="0.3">
      <c r="A10" s="10"/>
      <c r="B10" s="53"/>
      <c r="C10" s="10"/>
      <c r="D10" s="42" t="s">
        <v>57</v>
      </c>
      <c r="E10" s="34"/>
      <c r="F10" s="40" t="s">
        <v>40</v>
      </c>
      <c r="G10" s="34"/>
      <c r="H10" s="45" t="s">
        <v>238</v>
      </c>
      <c r="I10" s="34"/>
      <c r="J10" s="48" t="s">
        <v>58</v>
      </c>
      <c r="K10" s="10"/>
      <c r="L10" s="42" t="s">
        <v>127</v>
      </c>
      <c r="M10" s="10"/>
      <c r="N10" s="40" t="s">
        <v>258</v>
      </c>
      <c r="O10" s="10"/>
      <c r="P10" s="56" t="s">
        <v>57</v>
      </c>
      <c r="Q10" s="34"/>
      <c r="R10" s="40" t="s">
        <v>40</v>
      </c>
      <c r="S10" s="34"/>
      <c r="T10" s="45" t="s">
        <v>238</v>
      </c>
      <c r="U10" s="34"/>
      <c r="V10" s="48" t="s">
        <v>58</v>
      </c>
      <c r="W10" s="10"/>
      <c r="X10" s="42" t="s">
        <v>127</v>
      </c>
      <c r="Y10" s="10"/>
      <c r="Z10" s="40" t="s">
        <v>258</v>
      </c>
    </row>
    <row r="11" spans="1:26" ht="15.6" x14ac:dyDescent="0.3">
      <c r="A11" s="9"/>
      <c r="B11" s="58"/>
      <c r="C11" s="9"/>
      <c r="D11" s="9"/>
      <c r="E11" s="9"/>
      <c r="F11" s="6"/>
      <c r="G11" s="9"/>
      <c r="H11" s="9"/>
      <c r="I11" s="9"/>
      <c r="J11" s="46"/>
      <c r="K11" s="9"/>
      <c r="L11" s="9"/>
      <c r="M11" s="9"/>
      <c r="N11" s="6"/>
      <c r="P11" s="9"/>
      <c r="Q11" s="9"/>
      <c r="R11" s="6"/>
      <c r="S11" s="9"/>
      <c r="T11" s="9"/>
      <c r="U11" s="9"/>
      <c r="V11" s="46"/>
      <c r="W11" s="9"/>
      <c r="X11" s="9"/>
      <c r="Y11" s="9"/>
      <c r="Z11" s="6"/>
    </row>
    <row r="12" spans="1:26" s="23" customFormat="1" x14ac:dyDescent="0.3">
      <c r="A12" s="10"/>
      <c r="B12" s="25" t="s">
        <v>140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3">
      <c r="A13" s="9"/>
      <c r="B13" s="10"/>
      <c r="C13" s="9"/>
      <c r="D13" s="2"/>
      <c r="E13" s="2"/>
      <c r="F13" s="6"/>
      <c r="G13" s="2"/>
      <c r="H13" s="2"/>
      <c r="I13" s="2"/>
      <c r="J13" s="6"/>
      <c r="K13" s="2"/>
      <c r="L13" s="2"/>
      <c r="M13" s="2"/>
      <c r="N13" s="6"/>
      <c r="P13" s="2"/>
      <c r="Q13" s="2"/>
      <c r="R13" s="6"/>
      <c r="S13" s="2"/>
      <c r="T13" s="2"/>
      <c r="U13" s="2"/>
      <c r="V13" s="6"/>
      <c r="W13" s="2"/>
      <c r="X13" s="2"/>
      <c r="Y13" s="2"/>
      <c r="Z13" s="6"/>
    </row>
    <row r="14" spans="1:26" s="23" customFormat="1" x14ac:dyDescent="0.3">
      <c r="A14" s="10"/>
      <c r="B14" s="25" t="s">
        <v>257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3">
      <c r="A15" s="9"/>
      <c r="B15" s="10"/>
      <c r="C15" s="10"/>
      <c r="D15" s="2"/>
      <c r="E15" s="2"/>
      <c r="F15" s="6"/>
      <c r="G15" s="2"/>
      <c r="H15" s="2"/>
      <c r="I15" s="2"/>
      <c r="J15" s="6"/>
      <c r="K15" s="2"/>
      <c r="L15" s="2"/>
      <c r="M15" s="2"/>
      <c r="N15" s="6"/>
      <c r="O15" s="10"/>
      <c r="P15" s="2"/>
      <c r="Q15" s="2"/>
      <c r="R15" s="6"/>
      <c r="S15" s="2"/>
      <c r="T15" s="2"/>
      <c r="U15" s="2"/>
      <c r="V15" s="6"/>
      <c r="W15" s="2"/>
      <c r="X15" s="2"/>
      <c r="Y15" s="2"/>
      <c r="Z15" s="6"/>
    </row>
    <row r="16" spans="1:26" s="23" customFormat="1" x14ac:dyDescent="0.3">
      <c r="A16" s="10"/>
      <c r="B16" s="26" t="s">
        <v>108</v>
      </c>
      <c r="C16" s="26"/>
      <c r="D16" s="21">
        <f>D12-D14</f>
        <v>0</v>
      </c>
      <c r="E16" s="13"/>
      <c r="F16" s="22">
        <f>IF(D$12=0,0,D16/D$12)</f>
        <v>0</v>
      </c>
      <c r="G16" s="13"/>
      <c r="H16" s="21">
        <f>H12-H14</f>
        <v>0</v>
      </c>
      <c r="I16" s="13"/>
      <c r="J16" s="22">
        <f>IF(H$12=0,0,H16/H$12)</f>
        <v>0</v>
      </c>
      <c r="K16" s="16"/>
      <c r="L16" s="21">
        <f>+D16-H16</f>
        <v>0</v>
      </c>
      <c r="M16" s="16"/>
      <c r="N16" s="22">
        <f>IF(H16=0,0,L16/H16)</f>
        <v>0</v>
      </c>
      <c r="O16" s="25"/>
      <c r="P16" s="21">
        <f>P12-P14</f>
        <v>0</v>
      </c>
      <c r="Q16" s="13"/>
      <c r="R16" s="22">
        <f>IF(P$12=0,0,P16/P$12)</f>
        <v>0</v>
      </c>
      <c r="S16" s="13"/>
      <c r="T16" s="21">
        <f>T12-T14</f>
        <v>0</v>
      </c>
      <c r="U16" s="13"/>
      <c r="V16" s="22">
        <f>IF(T$12=0,0,T16/T$12)</f>
        <v>0</v>
      </c>
      <c r="W16" s="16"/>
      <c r="X16" s="21">
        <f>+P16-T16</f>
        <v>0</v>
      </c>
      <c r="Y16" s="16"/>
      <c r="Z16" s="22">
        <f>IF(T16=0,0,X16/T16)</f>
        <v>0</v>
      </c>
    </row>
    <row r="17" spans="1:26" x14ac:dyDescent="0.3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3">
      <c r="A18" s="10"/>
      <c r="B18" s="25" t="s">
        <v>295</v>
      </c>
      <c r="C18" s="10"/>
      <c r="D18" s="20">
        <f>SUM(OSRRefD22x_0)</f>
        <v>58630.38</v>
      </c>
      <c r="E18" s="20"/>
      <c r="F18" s="32">
        <f t="shared" ref="F18:F29" si="0">IF(D$12=0,0,D18/D$12)</f>
        <v>0</v>
      </c>
      <c r="G18" s="20"/>
      <c r="H18" s="20">
        <f>SUM(OSRRefH22x_0)</f>
        <v>54242.831462107686</v>
      </c>
      <c r="I18" s="20"/>
      <c r="J18" s="32">
        <f t="shared" ref="J18:J29" si="1">IF(H$12=0,0,H18/H$12)</f>
        <v>0</v>
      </c>
      <c r="K18" s="4"/>
      <c r="L18" s="20">
        <f t="shared" ref="L18:L29" si="2">+D18-H18</f>
        <v>4387.5485378923113</v>
      </c>
      <c r="M18" s="4"/>
      <c r="N18" s="32">
        <f t="shared" ref="N18:N29" si="3">IF(H18=0,0,L18/H18)</f>
        <v>8.0887159088612715E-2</v>
      </c>
      <c r="O18" s="10"/>
      <c r="P18" s="20">
        <f>SUM(OSRRefP22x_0)</f>
        <v>58630.38</v>
      </c>
      <c r="Q18" s="20"/>
      <c r="R18" s="32">
        <f t="shared" ref="R18:R29" si="4">IF(P$12=0,0,P18/P$12)</f>
        <v>0</v>
      </c>
      <c r="S18" s="20"/>
      <c r="T18" s="20">
        <f>SUM(OSRRefT22x_0)</f>
        <v>54242.831462107686</v>
      </c>
      <c r="U18" s="20"/>
      <c r="V18" s="32">
        <f t="shared" ref="V18:V29" si="5">IF(T$12=0,0,T18/T$12)</f>
        <v>0</v>
      </c>
      <c r="W18" s="4"/>
      <c r="X18" s="20">
        <f t="shared" ref="X18:X29" si="6">+P18-T18</f>
        <v>4387.5485378923113</v>
      </c>
      <c r="Y18" s="4"/>
      <c r="Z18" s="32">
        <f t="shared" ref="Z18:Z29" si="7">IF(T18=0,0,X18/T18)</f>
        <v>8.0887159088612715E-2</v>
      </c>
    </row>
    <row r="19" spans="1:26" s="27" customFormat="1" outlineLevel="1" collapsed="1" x14ac:dyDescent="0.3">
      <c r="A19" s="28"/>
      <c r="B19" s="14" t="str">
        <f>CONCATENATE("     ","*Benefits                                         ")</f>
        <v xml:space="preserve">     *Benefits                                         </v>
      </c>
      <c r="C19" s="14"/>
      <c r="D19" s="1">
        <f>SUM(OSRRefD22_0x_0)</f>
        <v>13418.699999999999</v>
      </c>
      <c r="E19" s="1"/>
      <c r="F19" s="5">
        <f t="shared" si="0"/>
        <v>0</v>
      </c>
      <c r="G19" s="1"/>
      <c r="H19" s="1">
        <f>SUM(OSRRefH22_0x_0)</f>
        <v>13249.599262107689</v>
      </c>
      <c r="I19" s="1"/>
      <c r="J19" s="5">
        <f t="shared" si="1"/>
        <v>0</v>
      </c>
      <c r="K19" s="1"/>
      <c r="L19" s="1">
        <f t="shared" si="2"/>
        <v>169.10073789230955</v>
      </c>
      <c r="M19" s="1"/>
      <c r="N19" s="5">
        <f t="shared" si="3"/>
        <v>1.2762705840916861E-2</v>
      </c>
      <c r="O19" s="14"/>
      <c r="P19" s="1">
        <f>SUM(OSRRefP22_0x_0)</f>
        <v>13418.699999999999</v>
      </c>
      <c r="Q19" s="1"/>
      <c r="R19" s="5">
        <f t="shared" si="4"/>
        <v>0</v>
      </c>
      <c r="S19" s="1"/>
      <c r="T19" s="1">
        <f>SUM(OSRRefT22_0x_0)</f>
        <v>13249.599262107689</v>
      </c>
      <c r="U19" s="1"/>
      <c r="V19" s="5">
        <f t="shared" si="5"/>
        <v>0</v>
      </c>
      <c r="W19" s="1"/>
      <c r="X19" s="1">
        <f t="shared" si="6"/>
        <v>169.10073789230955</v>
      </c>
      <c r="Y19" s="1"/>
      <c r="Z19" s="5">
        <f t="shared" si="7"/>
        <v>1.2762705840916861E-2</v>
      </c>
    </row>
    <row r="20" spans="1:26" s="24" customFormat="1" hidden="1" outlineLevel="2" x14ac:dyDescent="0.3">
      <c r="A20" s="29"/>
      <c r="B20" s="11" t="str">
        <f>CONCATENATE("          ", "6111", " - ", "F.I.C.A.")</f>
        <v xml:space="preserve">          6111 - F.I.C.A.</v>
      </c>
      <c r="C20" s="11"/>
      <c r="D20" s="8">
        <v>2117.13</v>
      </c>
      <c r="E20" s="3"/>
      <c r="F20" s="7">
        <f t="shared" si="0"/>
        <v>0</v>
      </c>
      <c r="G20" s="3"/>
      <c r="H20" s="8">
        <v>1950.3104178000001</v>
      </c>
      <c r="I20" s="3"/>
      <c r="J20" s="7">
        <f t="shared" si="1"/>
        <v>0</v>
      </c>
      <c r="K20" s="3"/>
      <c r="L20" s="8">
        <f t="shared" si="2"/>
        <v>166.81958220000001</v>
      </c>
      <c r="M20" s="3"/>
      <c r="N20" s="7">
        <f t="shared" si="3"/>
        <v>8.5534887511997587E-2</v>
      </c>
      <c r="O20" s="11"/>
      <c r="P20" s="8">
        <v>2117.13</v>
      </c>
      <c r="Q20" s="3"/>
      <c r="R20" s="7">
        <f t="shared" si="4"/>
        <v>0</v>
      </c>
      <c r="S20" s="3"/>
      <c r="T20" s="8">
        <v>1950.3104178000001</v>
      </c>
      <c r="U20" s="3"/>
      <c r="V20" s="7">
        <f t="shared" si="5"/>
        <v>0</v>
      </c>
      <c r="W20" s="3"/>
      <c r="X20" s="8">
        <f t="shared" si="6"/>
        <v>166.81958220000001</v>
      </c>
      <c r="Y20" s="3"/>
      <c r="Z20" s="7">
        <f t="shared" si="7"/>
        <v>8.5534887511997587E-2</v>
      </c>
    </row>
    <row r="21" spans="1:26" s="24" customFormat="1" hidden="1" outlineLevel="2" x14ac:dyDescent="0.3">
      <c r="A21" s="29"/>
      <c r="B21" s="11" t="str">
        <f>CONCATENATE("          ", "6112", " - ", "COMPENSATION INSURANCE")</f>
        <v xml:space="preserve">          6112 - COMPENSATION INSURANCE</v>
      </c>
      <c r="C21" s="11"/>
      <c r="D21" s="8">
        <v>355.88</v>
      </c>
      <c r="E21" s="3"/>
      <c r="F21" s="7">
        <f t="shared" si="0"/>
        <v>0</v>
      </c>
      <c r="G21" s="3"/>
      <c r="H21" s="8">
        <v>102.251206</v>
      </c>
      <c r="I21" s="3"/>
      <c r="J21" s="7">
        <f t="shared" si="1"/>
        <v>0</v>
      </c>
      <c r="K21" s="3"/>
      <c r="L21" s="8">
        <f t="shared" si="2"/>
        <v>253.628794</v>
      </c>
      <c r="M21" s="3"/>
      <c r="N21" s="7">
        <f t="shared" si="3"/>
        <v>2.4804479469904739</v>
      </c>
      <c r="O21" s="11"/>
      <c r="P21" s="8">
        <v>355.88</v>
      </c>
      <c r="Q21" s="3"/>
      <c r="R21" s="7">
        <f t="shared" si="4"/>
        <v>0</v>
      </c>
      <c r="S21" s="3"/>
      <c r="T21" s="8">
        <v>102.251206</v>
      </c>
      <c r="U21" s="3"/>
      <c r="V21" s="7">
        <f t="shared" si="5"/>
        <v>0</v>
      </c>
      <c r="W21" s="3"/>
      <c r="X21" s="8">
        <f t="shared" si="6"/>
        <v>253.628794</v>
      </c>
      <c r="Y21" s="3"/>
      <c r="Z21" s="7">
        <f t="shared" si="7"/>
        <v>2.4804479469904739</v>
      </c>
    </row>
    <row r="22" spans="1:26" s="24" customFormat="1" hidden="1" outlineLevel="2" x14ac:dyDescent="0.3">
      <c r="A22" s="29"/>
      <c r="B22" s="11" t="str">
        <f>CONCATENATE("          ", "6113", " - ", "GROUP INSURANCE")</f>
        <v xml:space="preserve">          6113 - GROUP INSURANCE</v>
      </c>
      <c r="C22" s="11"/>
      <c r="D22" s="8">
        <v>6048.94</v>
      </c>
      <c r="E22" s="3"/>
      <c r="F22" s="7">
        <f t="shared" si="0"/>
        <v>0</v>
      </c>
      <c r="G22" s="3"/>
      <c r="H22" s="8">
        <v>7304.3076923076896</v>
      </c>
      <c r="I22" s="3"/>
      <c r="J22" s="7">
        <f t="shared" si="1"/>
        <v>0</v>
      </c>
      <c r="K22" s="3"/>
      <c r="L22" s="8">
        <f t="shared" si="2"/>
        <v>-1255.36769230769</v>
      </c>
      <c r="M22" s="3"/>
      <c r="N22" s="7">
        <f t="shared" si="3"/>
        <v>-0.1718667593411683</v>
      </c>
      <c r="O22" s="11"/>
      <c r="P22" s="8">
        <v>6048.94</v>
      </c>
      <c r="Q22" s="3"/>
      <c r="R22" s="7">
        <f t="shared" si="4"/>
        <v>0</v>
      </c>
      <c r="S22" s="3"/>
      <c r="T22" s="8">
        <v>7304.3076923076896</v>
      </c>
      <c r="U22" s="3"/>
      <c r="V22" s="7">
        <f t="shared" si="5"/>
        <v>0</v>
      </c>
      <c r="W22" s="3"/>
      <c r="X22" s="8">
        <f t="shared" si="6"/>
        <v>-1255.36769230769</v>
      </c>
      <c r="Y22" s="3"/>
      <c r="Z22" s="7">
        <f t="shared" si="7"/>
        <v>-0.1718667593411683</v>
      </c>
    </row>
    <row r="23" spans="1:26" s="24" customFormat="1" hidden="1" outlineLevel="2" x14ac:dyDescent="0.3">
      <c r="A23" s="29"/>
      <c r="B23" s="11" t="str">
        <f>CONCATENATE("          ", "6114", " - ", "STATE UNEMPLOYMENT INSURANCE")</f>
        <v xml:space="preserve">          6114 - STATE UNEMPLOYMENT INSURANCE</v>
      </c>
      <c r="C23" s="11"/>
      <c r="D23" s="8">
        <v>71.73</v>
      </c>
      <c r="E23" s="3"/>
      <c r="F23" s="7">
        <f t="shared" si="0"/>
        <v>0</v>
      </c>
      <c r="G23" s="3"/>
      <c r="H23" s="8">
        <v>69.266946000000004</v>
      </c>
      <c r="I23" s="3"/>
      <c r="J23" s="7">
        <f t="shared" si="1"/>
        <v>0</v>
      </c>
      <c r="K23" s="3"/>
      <c r="L23" s="8">
        <f t="shared" si="2"/>
        <v>2.4630539999999996</v>
      </c>
      <c r="M23" s="3"/>
      <c r="N23" s="7">
        <f t="shared" si="3"/>
        <v>3.5558865263093875E-2</v>
      </c>
      <c r="O23" s="11"/>
      <c r="P23" s="8">
        <v>71.73</v>
      </c>
      <c r="Q23" s="3"/>
      <c r="R23" s="7">
        <f t="shared" si="4"/>
        <v>0</v>
      </c>
      <c r="S23" s="3"/>
      <c r="T23" s="8">
        <v>69.266946000000004</v>
      </c>
      <c r="U23" s="3"/>
      <c r="V23" s="7">
        <f t="shared" si="5"/>
        <v>0</v>
      </c>
      <c r="W23" s="3"/>
      <c r="X23" s="8">
        <f t="shared" si="6"/>
        <v>2.4630539999999996</v>
      </c>
      <c r="Y23" s="3"/>
      <c r="Z23" s="7">
        <f t="shared" si="7"/>
        <v>3.5558865263093875E-2</v>
      </c>
    </row>
    <row r="24" spans="1:26" s="24" customFormat="1" hidden="1" outlineLevel="2" x14ac:dyDescent="0.3">
      <c r="A24" s="29"/>
      <c r="B24" s="11" t="str">
        <f>CONCATENATE("          ", "6115", " - ", "P.E.R.S.")</f>
        <v xml:space="preserve">          6115 - P.E.R.S.</v>
      </c>
      <c r="C24" s="11"/>
      <c r="D24" s="8">
        <v>1238.02</v>
      </c>
      <c r="E24" s="3"/>
      <c r="F24" s="7">
        <f t="shared" si="0"/>
        <v>0</v>
      </c>
      <c r="G24" s="3"/>
      <c r="H24" s="8">
        <v>1107.25</v>
      </c>
      <c r="I24" s="3"/>
      <c r="J24" s="7">
        <f t="shared" si="1"/>
        <v>0</v>
      </c>
      <c r="K24" s="3"/>
      <c r="L24" s="8">
        <f t="shared" si="2"/>
        <v>130.76999999999998</v>
      </c>
      <c r="M24" s="3"/>
      <c r="N24" s="7">
        <f t="shared" si="3"/>
        <v>0.11810340934748248</v>
      </c>
      <c r="O24" s="11"/>
      <c r="P24" s="8">
        <v>1238.02</v>
      </c>
      <c r="Q24" s="3"/>
      <c r="R24" s="7">
        <f t="shared" si="4"/>
        <v>0</v>
      </c>
      <c r="S24" s="3"/>
      <c r="T24" s="8">
        <v>1107.25</v>
      </c>
      <c r="U24" s="3"/>
      <c r="V24" s="7">
        <f t="shared" si="5"/>
        <v>0</v>
      </c>
      <c r="W24" s="3"/>
      <c r="X24" s="8">
        <f t="shared" si="6"/>
        <v>130.76999999999998</v>
      </c>
      <c r="Y24" s="3"/>
      <c r="Z24" s="7">
        <f t="shared" si="7"/>
        <v>0.11810340934748248</v>
      </c>
    </row>
    <row r="25" spans="1:26" s="24" customFormat="1" hidden="1" outlineLevel="2" x14ac:dyDescent="0.3">
      <c r="A25" s="29"/>
      <c r="B25" s="11" t="str">
        <f>CONCATENATE("          ", "6116", " - ", "EDUCATIONAL BENEFITS")</f>
        <v xml:space="preserve">          6116 - EDUCATIONAL BENEFITS</v>
      </c>
      <c r="C25" s="11"/>
      <c r="D25" s="8"/>
      <c r="E25" s="3"/>
      <c r="F25" s="7">
        <f t="shared" si="0"/>
        <v>0</v>
      </c>
      <c r="G25" s="3"/>
      <c r="H25" s="8">
        <v>417</v>
      </c>
      <c r="I25" s="3"/>
      <c r="J25" s="7">
        <f t="shared" si="1"/>
        <v>0</v>
      </c>
      <c r="K25" s="3"/>
      <c r="L25" s="8">
        <f t="shared" si="2"/>
        <v>-417</v>
      </c>
      <c r="M25" s="3"/>
      <c r="N25" s="7">
        <f t="shared" si="3"/>
        <v>-1</v>
      </c>
      <c r="O25" s="11"/>
      <c r="P25" s="8"/>
      <c r="Q25" s="3"/>
      <c r="R25" s="7">
        <f t="shared" si="4"/>
        <v>0</v>
      </c>
      <c r="S25" s="3"/>
      <c r="T25" s="8">
        <v>417</v>
      </c>
      <c r="U25" s="3"/>
      <c r="V25" s="7">
        <f t="shared" si="5"/>
        <v>0</v>
      </c>
      <c r="W25" s="3"/>
      <c r="X25" s="8">
        <f t="shared" si="6"/>
        <v>-417</v>
      </c>
      <c r="Y25" s="3"/>
      <c r="Z25" s="7">
        <f t="shared" si="7"/>
        <v>-1</v>
      </c>
    </row>
    <row r="26" spans="1:26" s="24" customFormat="1" hidden="1" outlineLevel="2" x14ac:dyDescent="0.3">
      <c r="A26" s="29"/>
      <c r="B26" s="11" t="str">
        <f>CONCATENATE("          ", "6117", " - ", "RETIREMENT STAFF HOURLY")</f>
        <v xml:space="preserve">          6117 - RETIREMENT STAFF HOURLY</v>
      </c>
      <c r="C26" s="11"/>
      <c r="D26" s="8">
        <v>603.48</v>
      </c>
      <c r="E26" s="3"/>
      <c r="F26" s="7">
        <f t="shared" si="0"/>
        <v>0</v>
      </c>
      <c r="G26" s="3"/>
      <c r="H26" s="8"/>
      <c r="I26" s="3"/>
      <c r="J26" s="7">
        <f t="shared" si="1"/>
        <v>0</v>
      </c>
      <c r="K26" s="3"/>
      <c r="L26" s="8">
        <f t="shared" si="2"/>
        <v>603.48</v>
      </c>
      <c r="M26" s="3"/>
      <c r="N26" s="7">
        <f t="shared" si="3"/>
        <v>0</v>
      </c>
      <c r="O26" s="11"/>
      <c r="P26" s="8">
        <v>603.48</v>
      </c>
      <c r="Q26" s="3"/>
      <c r="R26" s="7">
        <f t="shared" si="4"/>
        <v>0</v>
      </c>
      <c r="S26" s="3"/>
      <c r="T26" s="8"/>
      <c r="U26" s="3"/>
      <c r="V26" s="7">
        <f t="shared" si="5"/>
        <v>0</v>
      </c>
      <c r="W26" s="3"/>
      <c r="X26" s="8">
        <f t="shared" si="6"/>
        <v>603.48</v>
      </c>
      <c r="Y26" s="3"/>
      <c r="Z26" s="7">
        <f t="shared" si="7"/>
        <v>0</v>
      </c>
    </row>
    <row r="27" spans="1:26" s="24" customFormat="1" hidden="1" outlineLevel="2" x14ac:dyDescent="0.3">
      <c r="A27" s="29"/>
      <c r="B27" s="11" t="str">
        <f>CONCATENATE("          ", "6118", " - ", "VACATION")</f>
        <v xml:space="preserve">          6118 - VACATION</v>
      </c>
      <c r="C27" s="11"/>
      <c r="D27" s="8">
        <v>1769.48</v>
      </c>
      <c r="E27" s="3"/>
      <c r="F27" s="7">
        <f t="shared" si="0"/>
        <v>0</v>
      </c>
      <c r="G27" s="3"/>
      <c r="H27" s="8">
        <v>914.52779999999996</v>
      </c>
      <c r="I27" s="3"/>
      <c r="J27" s="7">
        <f t="shared" si="1"/>
        <v>0</v>
      </c>
      <c r="K27" s="3"/>
      <c r="L27" s="8">
        <f t="shared" si="2"/>
        <v>854.95220000000006</v>
      </c>
      <c r="M27" s="3"/>
      <c r="N27" s="7">
        <f t="shared" si="3"/>
        <v>0.93485643629422754</v>
      </c>
      <c r="O27" s="11"/>
      <c r="P27" s="8">
        <v>1769.48</v>
      </c>
      <c r="Q27" s="3"/>
      <c r="R27" s="7">
        <f t="shared" si="4"/>
        <v>0</v>
      </c>
      <c r="S27" s="3"/>
      <c r="T27" s="8">
        <v>914.52779999999996</v>
      </c>
      <c r="U27" s="3"/>
      <c r="V27" s="7">
        <f t="shared" si="5"/>
        <v>0</v>
      </c>
      <c r="W27" s="3"/>
      <c r="X27" s="8">
        <f t="shared" si="6"/>
        <v>854.95220000000006</v>
      </c>
      <c r="Y27" s="3"/>
      <c r="Z27" s="7">
        <f t="shared" si="7"/>
        <v>0.93485643629422754</v>
      </c>
    </row>
    <row r="28" spans="1:26" s="24" customFormat="1" hidden="1" outlineLevel="2" x14ac:dyDescent="0.3">
      <c r="A28" s="29"/>
      <c r="B28" s="11" t="str">
        <f>CONCATENATE("          ", "6119", " - ", "SICK LEAVE")</f>
        <v xml:space="preserve">          6119 - SICK LEAVE</v>
      </c>
      <c r="C28" s="11"/>
      <c r="D28" s="8">
        <v>1161.08</v>
      </c>
      <c r="E28" s="3"/>
      <c r="F28" s="7">
        <f t="shared" si="0"/>
        <v>0</v>
      </c>
      <c r="G28" s="3"/>
      <c r="H28" s="8">
        <v>684.68520000000001</v>
      </c>
      <c r="I28" s="3"/>
      <c r="J28" s="7">
        <f t="shared" si="1"/>
        <v>0</v>
      </c>
      <c r="K28" s="3"/>
      <c r="L28" s="8">
        <f t="shared" si="2"/>
        <v>476.39479999999992</v>
      </c>
      <c r="M28" s="3"/>
      <c r="N28" s="7">
        <f t="shared" si="3"/>
        <v>0.6957866184342818</v>
      </c>
      <c r="O28" s="11"/>
      <c r="P28" s="8">
        <v>1161.08</v>
      </c>
      <c r="Q28" s="3"/>
      <c r="R28" s="7">
        <f t="shared" si="4"/>
        <v>0</v>
      </c>
      <c r="S28" s="3"/>
      <c r="T28" s="8">
        <v>684.68520000000001</v>
      </c>
      <c r="U28" s="3"/>
      <c r="V28" s="7">
        <f t="shared" si="5"/>
        <v>0</v>
      </c>
      <c r="W28" s="3"/>
      <c r="X28" s="8">
        <f t="shared" si="6"/>
        <v>476.39479999999992</v>
      </c>
      <c r="Y28" s="3"/>
      <c r="Z28" s="7">
        <f t="shared" si="7"/>
        <v>0.6957866184342818</v>
      </c>
    </row>
    <row r="29" spans="1:26" s="24" customFormat="1" hidden="1" outlineLevel="2" x14ac:dyDescent="0.3">
      <c r="A29" s="29"/>
      <c r="B29" s="11" t="str">
        <f>CONCATENATE("          ", "6156", " - ", "EMPLOYEE MEALS")</f>
        <v xml:space="preserve">          6156 - EMPLOYEE MEALS</v>
      </c>
      <c r="C29" s="11"/>
      <c r="D29" s="8">
        <v>52.96</v>
      </c>
      <c r="E29" s="3"/>
      <c r="F29" s="7">
        <f t="shared" si="0"/>
        <v>0</v>
      </c>
      <c r="G29" s="3"/>
      <c r="H29" s="8">
        <v>700</v>
      </c>
      <c r="I29" s="3"/>
      <c r="J29" s="7">
        <f t="shared" si="1"/>
        <v>0</v>
      </c>
      <c r="K29" s="3"/>
      <c r="L29" s="8">
        <f t="shared" si="2"/>
        <v>-647.04</v>
      </c>
      <c r="M29" s="3"/>
      <c r="N29" s="7">
        <f t="shared" si="3"/>
        <v>-0.92434285714285713</v>
      </c>
      <c r="O29" s="11"/>
      <c r="P29" s="8">
        <v>52.96</v>
      </c>
      <c r="Q29" s="3"/>
      <c r="R29" s="7">
        <f t="shared" si="4"/>
        <v>0</v>
      </c>
      <c r="S29" s="3"/>
      <c r="T29" s="8">
        <v>700</v>
      </c>
      <c r="U29" s="3"/>
      <c r="V29" s="7">
        <f t="shared" si="5"/>
        <v>0</v>
      </c>
      <c r="W29" s="3"/>
      <c r="X29" s="8">
        <f t="shared" si="6"/>
        <v>-647.04</v>
      </c>
      <c r="Y29" s="3"/>
      <c r="Z29" s="7">
        <f t="shared" si="7"/>
        <v>-0.92434285714285713</v>
      </c>
    </row>
    <row r="30" spans="1:26" s="27" customFormat="1" outlineLevel="1" collapsed="1" x14ac:dyDescent="0.3">
      <c r="A30" s="28"/>
      <c r="B30" s="14" t="str">
        <f>CONCATENATE("     ","*Payroll                                          ")</f>
        <v xml:space="preserve">     *Payroll                                          </v>
      </c>
      <c r="C30" s="14"/>
      <c r="D30" s="1">
        <f>SUM(OSRRefD22_1x_0)</f>
        <v>32156.34</v>
      </c>
      <c r="E30" s="1"/>
      <c r="F30" s="5">
        <f t="shared" ref="F30:F40" si="8">IF(D$12=0,0,D30/D$12)</f>
        <v>0</v>
      </c>
      <c r="G30" s="1"/>
      <c r="H30" s="1">
        <f>SUM(OSRRefH22_1x_0)</f>
        <v>29312.232199999999</v>
      </c>
      <c r="I30" s="1"/>
      <c r="J30" s="5">
        <f t="shared" ref="J30:J40" si="9">IF(H$12=0,0,H30/H$12)</f>
        <v>0</v>
      </c>
      <c r="K30" s="1"/>
      <c r="L30" s="1">
        <f t="shared" ref="L30:L40" si="10">+D30-H30</f>
        <v>2844.1078000000016</v>
      </c>
      <c r="M30" s="1"/>
      <c r="N30" s="5">
        <f t="shared" ref="N30:N40" si="11">IF(H30=0,0,L30/H30)</f>
        <v>9.702801822100747E-2</v>
      </c>
      <c r="O30" s="14"/>
      <c r="P30" s="1">
        <f>SUM(OSRRefP22_1x_0)</f>
        <v>32156.34</v>
      </c>
      <c r="Q30" s="1"/>
      <c r="R30" s="5">
        <f t="shared" ref="R30:R40" si="12">IF(P$12=0,0,P30/P$12)</f>
        <v>0</v>
      </c>
      <c r="S30" s="1"/>
      <c r="T30" s="1">
        <f>SUM(OSRRefT22_1x_0)</f>
        <v>29312.232199999999</v>
      </c>
      <c r="U30" s="1"/>
      <c r="V30" s="5">
        <f t="shared" ref="V30:V40" si="13">IF(T$12=0,0,T30/T$12)</f>
        <v>0</v>
      </c>
      <c r="W30" s="1"/>
      <c r="X30" s="1">
        <f t="shared" ref="X30:X40" si="14">+P30-T30</f>
        <v>2844.1078000000016</v>
      </c>
      <c r="Y30" s="1"/>
      <c r="Z30" s="5">
        <f t="shared" ref="Z30:Z40" si="15">IF(T30=0,0,X30/T30)</f>
        <v>9.702801822100747E-2</v>
      </c>
    </row>
    <row r="31" spans="1:26" s="24" customFormat="1" hidden="1" outlineLevel="2" x14ac:dyDescent="0.3">
      <c r="A31" s="29"/>
      <c r="B31" s="11" t="str">
        <f>CONCATENATE("          ", "6001", " - ", "ADMINISTRATIVE SALARIES")</f>
        <v xml:space="preserve">          6001 - ADMINISTRATIVE SALARIES</v>
      </c>
      <c r="C31" s="11"/>
      <c r="D31" s="8">
        <v>13086</v>
      </c>
      <c r="E31" s="3"/>
      <c r="F31" s="7">
        <f t="shared" si="8"/>
        <v>0</v>
      </c>
      <c r="G31" s="3"/>
      <c r="H31" s="8">
        <v>12231.25</v>
      </c>
      <c r="I31" s="3"/>
      <c r="J31" s="7">
        <f t="shared" si="9"/>
        <v>0</v>
      </c>
      <c r="K31" s="3"/>
      <c r="L31" s="8">
        <f t="shared" si="10"/>
        <v>854.75</v>
      </c>
      <c r="M31" s="3"/>
      <c r="N31" s="7">
        <f t="shared" si="11"/>
        <v>6.9882473173224324E-2</v>
      </c>
      <c r="O31" s="11"/>
      <c r="P31" s="8">
        <v>13086</v>
      </c>
      <c r="Q31" s="3"/>
      <c r="R31" s="7">
        <f t="shared" si="12"/>
        <v>0</v>
      </c>
      <c r="S31" s="3"/>
      <c r="T31" s="8">
        <v>12231.25</v>
      </c>
      <c r="U31" s="3"/>
      <c r="V31" s="7">
        <f t="shared" si="13"/>
        <v>0</v>
      </c>
      <c r="W31" s="3"/>
      <c r="X31" s="8">
        <f t="shared" si="14"/>
        <v>854.75</v>
      </c>
      <c r="Y31" s="3"/>
      <c r="Z31" s="7">
        <f t="shared" si="15"/>
        <v>6.9882473173224324E-2</v>
      </c>
    </row>
    <row r="32" spans="1:26" s="24" customFormat="1" hidden="1" outlineLevel="2" x14ac:dyDescent="0.3">
      <c r="A32" s="29"/>
      <c r="B32" s="11" t="str">
        <f>CONCATENATE("          ", "6002", " - ", "STAFF SALARIES")</f>
        <v xml:space="preserve">          6002 - STAFF SALARIES</v>
      </c>
      <c r="C32" s="11"/>
      <c r="D32" s="8"/>
      <c r="E32" s="3"/>
      <c r="F32" s="7">
        <f t="shared" si="8"/>
        <v>0</v>
      </c>
      <c r="G32" s="3"/>
      <c r="H32" s="8">
        <v>0</v>
      </c>
      <c r="I32" s="3"/>
      <c r="J32" s="7">
        <f t="shared" si="9"/>
        <v>0</v>
      </c>
      <c r="K32" s="3"/>
      <c r="L32" s="8">
        <f t="shared" si="10"/>
        <v>0</v>
      </c>
      <c r="M32" s="3"/>
      <c r="N32" s="7">
        <f t="shared" si="11"/>
        <v>0</v>
      </c>
      <c r="O32" s="11"/>
      <c r="P32" s="8"/>
      <c r="Q32" s="3"/>
      <c r="R32" s="7">
        <f t="shared" si="12"/>
        <v>0</v>
      </c>
      <c r="S32" s="3"/>
      <c r="T32" s="8">
        <v>0</v>
      </c>
      <c r="U32" s="3"/>
      <c r="V32" s="7">
        <f t="shared" si="13"/>
        <v>0</v>
      </c>
      <c r="W32" s="3"/>
      <c r="X32" s="8">
        <f t="shared" si="14"/>
        <v>0</v>
      </c>
      <c r="Y32" s="3"/>
      <c r="Z32" s="7">
        <f t="shared" si="15"/>
        <v>0</v>
      </c>
    </row>
    <row r="33" spans="1:26" s="24" customFormat="1" hidden="1" outlineLevel="2" x14ac:dyDescent="0.3">
      <c r="A33" s="29"/>
      <c r="B33" s="11" t="str">
        <f>CONCATENATE("          ", "6003", " - ", "STAFF HOURLY-9 MONTH")</f>
        <v xml:space="preserve">          6003 - STAFF HOURLY-9 MONTH</v>
      </c>
      <c r="C33" s="11"/>
      <c r="D33" s="8"/>
      <c r="E33" s="3"/>
      <c r="F33" s="7">
        <f t="shared" si="8"/>
        <v>0</v>
      </c>
      <c r="G33" s="3"/>
      <c r="H33" s="8">
        <v>0</v>
      </c>
      <c r="I33" s="3"/>
      <c r="J33" s="7">
        <f t="shared" si="9"/>
        <v>0</v>
      </c>
      <c r="K33" s="3"/>
      <c r="L33" s="8">
        <f t="shared" si="10"/>
        <v>0</v>
      </c>
      <c r="M33" s="3"/>
      <c r="N33" s="7">
        <f t="shared" si="11"/>
        <v>0</v>
      </c>
      <c r="O33" s="11"/>
      <c r="P33" s="8"/>
      <c r="Q33" s="3"/>
      <c r="R33" s="7">
        <f t="shared" si="12"/>
        <v>0</v>
      </c>
      <c r="S33" s="3"/>
      <c r="T33" s="8">
        <v>0</v>
      </c>
      <c r="U33" s="3"/>
      <c r="V33" s="7">
        <f t="shared" si="13"/>
        <v>0</v>
      </c>
      <c r="W33" s="3"/>
      <c r="X33" s="8">
        <f t="shared" si="14"/>
        <v>0</v>
      </c>
      <c r="Y33" s="3"/>
      <c r="Z33" s="7">
        <f t="shared" si="15"/>
        <v>0</v>
      </c>
    </row>
    <row r="34" spans="1:26" s="24" customFormat="1" hidden="1" outlineLevel="2" x14ac:dyDescent="0.3">
      <c r="A34" s="29"/>
      <c r="B34" s="11" t="str">
        <f>CONCATENATE("          ", "6004", " - ", "STAFF HOURLY")</f>
        <v xml:space="preserve">          6004 - STAFF HOURLY</v>
      </c>
      <c r="C34" s="11"/>
      <c r="D34" s="8">
        <v>13206.34</v>
      </c>
      <c r="E34" s="3"/>
      <c r="F34" s="7">
        <f t="shared" si="8"/>
        <v>0</v>
      </c>
      <c r="G34" s="3"/>
      <c r="H34" s="8">
        <v>12230.9822</v>
      </c>
      <c r="I34" s="3"/>
      <c r="J34" s="7">
        <f t="shared" si="9"/>
        <v>0</v>
      </c>
      <c r="K34" s="3"/>
      <c r="L34" s="8">
        <f t="shared" si="10"/>
        <v>975.35779999999977</v>
      </c>
      <c r="M34" s="3"/>
      <c r="N34" s="7">
        <f t="shared" si="11"/>
        <v>7.9744846656714108E-2</v>
      </c>
      <c r="O34" s="11"/>
      <c r="P34" s="8">
        <v>13206.34</v>
      </c>
      <c r="Q34" s="3"/>
      <c r="R34" s="7">
        <f t="shared" si="12"/>
        <v>0</v>
      </c>
      <c r="S34" s="3"/>
      <c r="T34" s="8">
        <v>12230.9822</v>
      </c>
      <c r="U34" s="3"/>
      <c r="V34" s="7">
        <f t="shared" si="13"/>
        <v>0</v>
      </c>
      <c r="W34" s="3"/>
      <c r="X34" s="8">
        <f t="shared" si="14"/>
        <v>975.35779999999977</v>
      </c>
      <c r="Y34" s="3"/>
      <c r="Z34" s="7">
        <f t="shared" si="15"/>
        <v>7.9744846656714108E-2</v>
      </c>
    </row>
    <row r="35" spans="1:26" s="24" customFormat="1" hidden="1" outlineLevel="2" x14ac:dyDescent="0.3">
      <c r="A35" s="29"/>
      <c r="B35" s="11" t="str">
        <f>CONCATENATE("          ", "6005", " - ", "TEMPORARY WAGES-HOURLY")</f>
        <v xml:space="preserve">          6005 - TEMPORARY WAGES-HOURLY</v>
      </c>
      <c r="C35" s="11"/>
      <c r="D35" s="8">
        <v>2027</v>
      </c>
      <c r="E35" s="3"/>
      <c r="F35" s="7">
        <f t="shared" si="8"/>
        <v>0</v>
      </c>
      <c r="G35" s="3"/>
      <c r="H35" s="8">
        <v>4850</v>
      </c>
      <c r="I35" s="3"/>
      <c r="J35" s="7">
        <f t="shared" si="9"/>
        <v>0</v>
      </c>
      <c r="K35" s="3"/>
      <c r="L35" s="8">
        <f t="shared" si="10"/>
        <v>-2823</v>
      </c>
      <c r="M35" s="3"/>
      <c r="N35" s="7">
        <f t="shared" si="11"/>
        <v>-0.58206185567010305</v>
      </c>
      <c r="O35" s="11"/>
      <c r="P35" s="8">
        <v>2027</v>
      </c>
      <c r="Q35" s="3"/>
      <c r="R35" s="7">
        <f t="shared" si="12"/>
        <v>0</v>
      </c>
      <c r="S35" s="3"/>
      <c r="T35" s="8">
        <v>4850</v>
      </c>
      <c r="U35" s="3"/>
      <c r="V35" s="7">
        <f t="shared" si="13"/>
        <v>0</v>
      </c>
      <c r="W35" s="3"/>
      <c r="X35" s="8">
        <f t="shared" si="14"/>
        <v>-2823</v>
      </c>
      <c r="Y35" s="3"/>
      <c r="Z35" s="7">
        <f t="shared" si="15"/>
        <v>-0.58206185567010305</v>
      </c>
    </row>
    <row r="36" spans="1:26" s="24" customFormat="1" hidden="1" outlineLevel="2" x14ac:dyDescent="0.3">
      <c r="A36" s="29"/>
      <c r="B36" s="11" t="str">
        <f>CONCATENATE("          ", "6006", " - ", "TEMPORARY PART TIME")</f>
        <v xml:space="preserve">          6006 - TEMPORARY PART TIME</v>
      </c>
      <c r="C36" s="11"/>
      <c r="D36" s="8"/>
      <c r="E36" s="3"/>
      <c r="F36" s="7">
        <f t="shared" si="8"/>
        <v>0</v>
      </c>
      <c r="G36" s="3"/>
      <c r="H36" s="8">
        <v>0</v>
      </c>
      <c r="I36" s="3"/>
      <c r="J36" s="7">
        <f t="shared" si="9"/>
        <v>0</v>
      </c>
      <c r="K36" s="3"/>
      <c r="L36" s="8">
        <f t="shared" si="10"/>
        <v>0</v>
      </c>
      <c r="M36" s="3"/>
      <c r="N36" s="7">
        <f t="shared" si="11"/>
        <v>0</v>
      </c>
      <c r="O36" s="11"/>
      <c r="P36" s="8"/>
      <c r="Q36" s="3"/>
      <c r="R36" s="7">
        <f t="shared" si="12"/>
        <v>0</v>
      </c>
      <c r="S36" s="3"/>
      <c r="T36" s="8">
        <v>0</v>
      </c>
      <c r="U36" s="3"/>
      <c r="V36" s="7">
        <f t="shared" si="13"/>
        <v>0</v>
      </c>
      <c r="W36" s="3"/>
      <c r="X36" s="8">
        <f t="shared" si="14"/>
        <v>0</v>
      </c>
      <c r="Y36" s="3"/>
      <c r="Z36" s="7">
        <f t="shared" si="15"/>
        <v>0</v>
      </c>
    </row>
    <row r="37" spans="1:26" s="24" customFormat="1" hidden="1" outlineLevel="2" x14ac:dyDescent="0.3">
      <c r="A37" s="29"/>
      <c r="B37" s="11" t="str">
        <f>CONCATENATE("          ", "6007", " - ", "STUDENT HOURLY")</f>
        <v xml:space="preserve">          6007 - STUDENT HOURLY</v>
      </c>
      <c r="C37" s="11"/>
      <c r="D37" s="8">
        <v>3837</v>
      </c>
      <c r="E37" s="3"/>
      <c r="F37" s="7">
        <f t="shared" si="8"/>
        <v>0</v>
      </c>
      <c r="G37" s="3"/>
      <c r="H37" s="8">
        <v>0</v>
      </c>
      <c r="I37" s="3"/>
      <c r="J37" s="7">
        <f t="shared" si="9"/>
        <v>0</v>
      </c>
      <c r="K37" s="3"/>
      <c r="L37" s="8">
        <f t="shared" si="10"/>
        <v>3837</v>
      </c>
      <c r="M37" s="3"/>
      <c r="N37" s="7">
        <f t="shared" si="11"/>
        <v>0</v>
      </c>
      <c r="O37" s="11"/>
      <c r="P37" s="8">
        <v>3837</v>
      </c>
      <c r="Q37" s="3"/>
      <c r="R37" s="7">
        <f t="shared" si="12"/>
        <v>0</v>
      </c>
      <c r="S37" s="3"/>
      <c r="T37" s="8">
        <v>0</v>
      </c>
      <c r="U37" s="3"/>
      <c r="V37" s="7">
        <f t="shared" si="13"/>
        <v>0</v>
      </c>
      <c r="W37" s="3"/>
      <c r="X37" s="8">
        <f t="shared" si="14"/>
        <v>3837</v>
      </c>
      <c r="Y37" s="3"/>
      <c r="Z37" s="7">
        <f t="shared" si="15"/>
        <v>0</v>
      </c>
    </row>
    <row r="38" spans="1:26" s="24" customFormat="1" hidden="1" outlineLevel="2" x14ac:dyDescent="0.3">
      <c r="A38" s="29"/>
      <c r="B38" s="11" t="str">
        <f>CONCATENATE("          ", "6008", " - ", "STUDENT HOURLY-FICA EXEMPT")</f>
        <v xml:space="preserve">          6008 - STUDENT HOURLY-FICA EXEMPT</v>
      </c>
      <c r="C38" s="11"/>
      <c r="D38" s="8"/>
      <c r="E38" s="3"/>
      <c r="F38" s="7">
        <f t="shared" si="8"/>
        <v>0</v>
      </c>
      <c r="G38" s="3"/>
      <c r="H38" s="8">
        <v>0</v>
      </c>
      <c r="I38" s="3"/>
      <c r="J38" s="7">
        <f t="shared" si="9"/>
        <v>0</v>
      </c>
      <c r="K38" s="3"/>
      <c r="L38" s="8">
        <f t="shared" si="10"/>
        <v>0</v>
      </c>
      <c r="M38" s="3"/>
      <c r="N38" s="7">
        <f t="shared" si="11"/>
        <v>0</v>
      </c>
      <c r="O38" s="11"/>
      <c r="P38" s="8"/>
      <c r="Q38" s="3"/>
      <c r="R38" s="7">
        <f t="shared" si="12"/>
        <v>0</v>
      </c>
      <c r="S38" s="3"/>
      <c r="T38" s="8">
        <v>0</v>
      </c>
      <c r="U38" s="3"/>
      <c r="V38" s="7">
        <f t="shared" si="13"/>
        <v>0</v>
      </c>
      <c r="W38" s="3"/>
      <c r="X38" s="8">
        <f t="shared" si="14"/>
        <v>0</v>
      </c>
      <c r="Y38" s="3"/>
      <c r="Z38" s="7">
        <f t="shared" si="15"/>
        <v>0</v>
      </c>
    </row>
    <row r="39" spans="1:26" s="24" customFormat="1" hidden="1" outlineLevel="2" x14ac:dyDescent="0.3">
      <c r="A39" s="29"/>
      <c r="B39" s="11" t="str">
        <f>CONCATENATE("          ", "6009", " - ", "TEMPORARY-SEASONAL")</f>
        <v xml:space="preserve">          6009 - TEMPORARY-SEASONAL</v>
      </c>
      <c r="C39" s="11"/>
      <c r="D39" s="8"/>
      <c r="E39" s="3"/>
      <c r="F39" s="7">
        <f t="shared" si="8"/>
        <v>0</v>
      </c>
      <c r="G39" s="3"/>
      <c r="H39" s="8">
        <v>0</v>
      </c>
      <c r="I39" s="3"/>
      <c r="J39" s="7">
        <f t="shared" si="9"/>
        <v>0</v>
      </c>
      <c r="K39" s="3"/>
      <c r="L39" s="8">
        <f t="shared" si="10"/>
        <v>0</v>
      </c>
      <c r="M39" s="3"/>
      <c r="N39" s="7">
        <f t="shared" si="11"/>
        <v>0</v>
      </c>
      <c r="O39" s="11"/>
      <c r="P39" s="8"/>
      <c r="Q39" s="3"/>
      <c r="R39" s="7">
        <f t="shared" si="12"/>
        <v>0</v>
      </c>
      <c r="S39" s="3"/>
      <c r="T39" s="8">
        <v>0</v>
      </c>
      <c r="U39" s="3"/>
      <c r="V39" s="7">
        <f t="shared" si="13"/>
        <v>0</v>
      </c>
      <c r="W39" s="3"/>
      <c r="X39" s="8">
        <f t="shared" si="14"/>
        <v>0</v>
      </c>
      <c r="Y39" s="3"/>
      <c r="Z39" s="7">
        <f t="shared" si="15"/>
        <v>0</v>
      </c>
    </row>
    <row r="40" spans="1:26" s="24" customFormat="1" hidden="1" outlineLevel="2" x14ac:dyDescent="0.3">
      <c r="A40" s="29"/>
      <c r="B40" s="11" t="str">
        <f>CONCATENATE("          ", "6010", " - ", "GRATUITY")</f>
        <v xml:space="preserve">          6010 - GRATUITY</v>
      </c>
      <c r="C40" s="11"/>
      <c r="D40" s="8"/>
      <c r="E40" s="3"/>
      <c r="F40" s="7">
        <f t="shared" si="8"/>
        <v>0</v>
      </c>
      <c r="G40" s="3"/>
      <c r="H40" s="8">
        <v>0</v>
      </c>
      <c r="I40" s="3"/>
      <c r="J40" s="7">
        <f t="shared" si="9"/>
        <v>0</v>
      </c>
      <c r="K40" s="3"/>
      <c r="L40" s="8">
        <f t="shared" si="10"/>
        <v>0</v>
      </c>
      <c r="M40" s="3"/>
      <c r="N40" s="7">
        <f t="shared" si="11"/>
        <v>0</v>
      </c>
      <c r="O40" s="11"/>
      <c r="P40" s="8"/>
      <c r="Q40" s="3"/>
      <c r="R40" s="7">
        <f t="shared" si="12"/>
        <v>0</v>
      </c>
      <c r="S40" s="3"/>
      <c r="T40" s="8">
        <v>0</v>
      </c>
      <c r="U40" s="3"/>
      <c r="V40" s="7">
        <f t="shared" si="13"/>
        <v>0</v>
      </c>
      <c r="W40" s="3"/>
      <c r="X40" s="8">
        <f t="shared" si="14"/>
        <v>0</v>
      </c>
      <c r="Y40" s="3"/>
      <c r="Z40" s="7">
        <f t="shared" si="15"/>
        <v>0</v>
      </c>
    </row>
    <row r="41" spans="1:26" s="27" customFormat="1" outlineLevel="1" collapsed="1" x14ac:dyDescent="0.3">
      <c r="A41" s="28"/>
      <c r="B41" s="14" t="str">
        <f>CONCATENATE("     ","Advertising/Promo                                 ")</f>
        <v xml:space="preserve">     Advertising/Promo                                 </v>
      </c>
      <c r="C41" s="14"/>
      <c r="D41" s="1">
        <f>SUM(OSRRefD22_2x_0)</f>
        <v>0</v>
      </c>
      <c r="E41" s="1"/>
      <c r="F41" s="5">
        <f t="shared" ref="F41:F56" si="16">IF(D$12=0,0,D41/D$12)</f>
        <v>0</v>
      </c>
      <c r="G41" s="1"/>
      <c r="H41" s="1">
        <f>SUM(OSRRefH22_2x_0)</f>
        <v>150</v>
      </c>
      <c r="I41" s="1"/>
      <c r="J41" s="5">
        <f t="shared" ref="J41:J56" si="17">IF(H$12=0,0,H41/H$12)</f>
        <v>0</v>
      </c>
      <c r="K41" s="1"/>
      <c r="L41" s="1">
        <f t="shared" ref="L41:L56" si="18">+D41-H41</f>
        <v>-150</v>
      </c>
      <c r="M41" s="1"/>
      <c r="N41" s="5">
        <f t="shared" ref="N41:N56" si="19">IF(H41=0,0,L41/H41)</f>
        <v>-1</v>
      </c>
      <c r="O41" s="14"/>
      <c r="P41" s="1">
        <f>SUM(OSRRefP22_2x_0)</f>
        <v>0</v>
      </c>
      <c r="Q41" s="1"/>
      <c r="R41" s="5">
        <f t="shared" ref="R41:R56" si="20">IF(P$12=0,0,P41/P$12)</f>
        <v>0</v>
      </c>
      <c r="S41" s="1"/>
      <c r="T41" s="1">
        <f>SUM(OSRRefT22_2x_0)</f>
        <v>150</v>
      </c>
      <c r="U41" s="1"/>
      <c r="V41" s="5">
        <f t="shared" ref="V41:V56" si="21">IF(T$12=0,0,T41/T$12)</f>
        <v>0</v>
      </c>
      <c r="W41" s="1"/>
      <c r="X41" s="1">
        <f t="shared" ref="X41:X56" si="22">+P41-T41</f>
        <v>-150</v>
      </c>
      <c r="Y41" s="1"/>
      <c r="Z41" s="5">
        <f t="shared" ref="Z41:Z56" si="23">IF(T41=0,0,X41/T41)</f>
        <v>-1</v>
      </c>
    </row>
    <row r="42" spans="1:26" s="24" customFormat="1" hidden="1" outlineLevel="2" x14ac:dyDescent="0.3">
      <c r="A42" s="29"/>
      <c r="B42" s="11" t="str">
        <f>CONCATENATE("          ", "6362", " - ", "ADVERTISING EXPENSE")</f>
        <v xml:space="preserve">          6362 - ADVERTISING EXPENSE</v>
      </c>
      <c r="C42" s="11"/>
      <c r="D42" s="8"/>
      <c r="E42" s="3"/>
      <c r="F42" s="7">
        <f t="shared" si="16"/>
        <v>0</v>
      </c>
      <c r="G42" s="3"/>
      <c r="H42" s="8">
        <v>150</v>
      </c>
      <c r="I42" s="3"/>
      <c r="J42" s="7">
        <f t="shared" si="17"/>
        <v>0</v>
      </c>
      <c r="K42" s="3"/>
      <c r="L42" s="8">
        <f t="shared" si="18"/>
        <v>-150</v>
      </c>
      <c r="M42" s="3"/>
      <c r="N42" s="7">
        <f t="shared" si="19"/>
        <v>-1</v>
      </c>
      <c r="O42" s="11"/>
      <c r="P42" s="8"/>
      <c r="Q42" s="3"/>
      <c r="R42" s="7">
        <f t="shared" si="20"/>
        <v>0</v>
      </c>
      <c r="S42" s="3"/>
      <c r="T42" s="8">
        <v>150</v>
      </c>
      <c r="U42" s="3"/>
      <c r="V42" s="7">
        <f t="shared" si="21"/>
        <v>0</v>
      </c>
      <c r="W42" s="3"/>
      <c r="X42" s="8">
        <f t="shared" si="22"/>
        <v>-150</v>
      </c>
      <c r="Y42" s="3"/>
      <c r="Z42" s="7">
        <f t="shared" si="23"/>
        <v>-1</v>
      </c>
    </row>
    <row r="43" spans="1:26" s="27" customFormat="1" outlineLevel="1" collapsed="1" x14ac:dyDescent="0.3">
      <c r="A43" s="28"/>
      <c r="B43" s="14" t="str">
        <f>CONCATENATE("     ","Employees' Appreciation                           ")</f>
        <v xml:space="preserve">     Employees' Appreciation                           </v>
      </c>
      <c r="C43" s="14"/>
      <c r="D43" s="1">
        <f>SUM(OSRRefD22_3x_0)</f>
        <v>0</v>
      </c>
      <c r="E43" s="1"/>
      <c r="F43" s="5">
        <f t="shared" si="16"/>
        <v>0</v>
      </c>
      <c r="G43" s="1"/>
      <c r="H43" s="1">
        <f>SUM(OSRRefH22_3x_0)</f>
        <v>250</v>
      </c>
      <c r="I43" s="1"/>
      <c r="J43" s="5">
        <f t="shared" si="17"/>
        <v>0</v>
      </c>
      <c r="K43" s="1"/>
      <c r="L43" s="1">
        <f t="shared" si="18"/>
        <v>-250</v>
      </c>
      <c r="M43" s="1"/>
      <c r="N43" s="5">
        <f t="shared" si="19"/>
        <v>-1</v>
      </c>
      <c r="O43" s="14"/>
      <c r="P43" s="1">
        <f>SUM(OSRRefP22_3x_0)</f>
        <v>0</v>
      </c>
      <c r="Q43" s="1"/>
      <c r="R43" s="5">
        <f t="shared" si="20"/>
        <v>0</v>
      </c>
      <c r="S43" s="1"/>
      <c r="T43" s="1">
        <f>SUM(OSRRefT22_3x_0)</f>
        <v>250</v>
      </c>
      <c r="U43" s="1"/>
      <c r="V43" s="5">
        <f t="shared" si="21"/>
        <v>0</v>
      </c>
      <c r="W43" s="1"/>
      <c r="X43" s="1">
        <f t="shared" si="22"/>
        <v>-250</v>
      </c>
      <c r="Y43" s="1"/>
      <c r="Z43" s="5">
        <f t="shared" si="23"/>
        <v>-1</v>
      </c>
    </row>
    <row r="44" spans="1:26" s="24" customFormat="1" hidden="1" outlineLevel="2" x14ac:dyDescent="0.3">
      <c r="A44" s="29"/>
      <c r="B44" s="11" t="str">
        <f>CONCATENATE("          ", "6277", " - ", "EMPLOYEE APPRECIATION")</f>
        <v xml:space="preserve">          6277 - EMPLOYEE APPRECIATION</v>
      </c>
      <c r="C44" s="11"/>
      <c r="D44" s="8"/>
      <c r="E44" s="3"/>
      <c r="F44" s="7">
        <f t="shared" si="16"/>
        <v>0</v>
      </c>
      <c r="G44" s="3"/>
      <c r="H44" s="8">
        <v>250</v>
      </c>
      <c r="I44" s="3"/>
      <c r="J44" s="7">
        <f t="shared" si="17"/>
        <v>0</v>
      </c>
      <c r="K44" s="3"/>
      <c r="L44" s="8">
        <f t="shared" si="18"/>
        <v>-250</v>
      </c>
      <c r="M44" s="3"/>
      <c r="N44" s="7">
        <f t="shared" si="19"/>
        <v>-1</v>
      </c>
      <c r="O44" s="11"/>
      <c r="P44" s="8"/>
      <c r="Q44" s="3"/>
      <c r="R44" s="7">
        <f t="shared" si="20"/>
        <v>0</v>
      </c>
      <c r="S44" s="3"/>
      <c r="T44" s="8">
        <v>250</v>
      </c>
      <c r="U44" s="3"/>
      <c r="V44" s="7">
        <f t="shared" si="21"/>
        <v>0</v>
      </c>
      <c r="W44" s="3"/>
      <c r="X44" s="8">
        <f t="shared" si="22"/>
        <v>-250</v>
      </c>
      <c r="Y44" s="3"/>
      <c r="Z44" s="7">
        <f t="shared" si="23"/>
        <v>-1</v>
      </c>
    </row>
    <row r="45" spans="1:26" s="27" customFormat="1" outlineLevel="1" collapsed="1" x14ac:dyDescent="0.3">
      <c r="A45" s="28"/>
      <c r="B45" s="14" t="str">
        <f>CONCATENATE("     ","Equipment Rental                                  ")</f>
        <v xml:space="preserve">     Equipment Rental                                  </v>
      </c>
      <c r="C45" s="14"/>
      <c r="D45" s="1">
        <f>SUM(OSRRefD22_4x_0)</f>
        <v>0</v>
      </c>
      <c r="E45" s="1"/>
      <c r="F45" s="5">
        <f t="shared" si="16"/>
        <v>0</v>
      </c>
      <c r="G45" s="1"/>
      <c r="H45" s="1">
        <f>SUM(OSRRefH22_4x_0)</f>
        <v>75</v>
      </c>
      <c r="I45" s="1"/>
      <c r="J45" s="5">
        <f t="shared" si="17"/>
        <v>0</v>
      </c>
      <c r="K45" s="1"/>
      <c r="L45" s="1">
        <f t="shared" si="18"/>
        <v>-75</v>
      </c>
      <c r="M45" s="1"/>
      <c r="N45" s="5">
        <f t="shared" si="19"/>
        <v>-1</v>
      </c>
      <c r="O45" s="14"/>
      <c r="P45" s="1">
        <f>SUM(OSRRefP22_4x_0)</f>
        <v>0</v>
      </c>
      <c r="Q45" s="1"/>
      <c r="R45" s="5">
        <f t="shared" si="20"/>
        <v>0</v>
      </c>
      <c r="S45" s="1"/>
      <c r="T45" s="1">
        <f>SUM(OSRRefT22_4x_0)</f>
        <v>75</v>
      </c>
      <c r="U45" s="1"/>
      <c r="V45" s="5">
        <f t="shared" si="21"/>
        <v>0</v>
      </c>
      <c r="W45" s="1"/>
      <c r="X45" s="1">
        <f t="shared" si="22"/>
        <v>-75</v>
      </c>
      <c r="Y45" s="1"/>
      <c r="Z45" s="5">
        <f t="shared" si="23"/>
        <v>-1</v>
      </c>
    </row>
    <row r="46" spans="1:26" s="24" customFormat="1" hidden="1" outlineLevel="2" x14ac:dyDescent="0.3">
      <c r="A46" s="29"/>
      <c r="B46" s="11" t="str">
        <f>CONCATENATE("          ", "6351", " - ", "EQUIPMENT RENTAL")</f>
        <v xml:space="preserve">          6351 - EQUIPMENT RENTAL</v>
      </c>
      <c r="C46" s="11"/>
      <c r="D46" s="8"/>
      <c r="E46" s="3"/>
      <c r="F46" s="7">
        <f t="shared" si="16"/>
        <v>0</v>
      </c>
      <c r="G46" s="3"/>
      <c r="H46" s="8">
        <v>75</v>
      </c>
      <c r="I46" s="3"/>
      <c r="J46" s="7">
        <f t="shared" si="17"/>
        <v>0</v>
      </c>
      <c r="K46" s="3"/>
      <c r="L46" s="8">
        <f t="shared" si="18"/>
        <v>-75</v>
      </c>
      <c r="M46" s="3"/>
      <c r="N46" s="7">
        <f t="shared" si="19"/>
        <v>-1</v>
      </c>
      <c r="O46" s="11"/>
      <c r="P46" s="8"/>
      <c r="Q46" s="3"/>
      <c r="R46" s="7">
        <f t="shared" si="20"/>
        <v>0</v>
      </c>
      <c r="S46" s="3"/>
      <c r="T46" s="8">
        <v>75</v>
      </c>
      <c r="U46" s="3"/>
      <c r="V46" s="7">
        <f t="shared" si="21"/>
        <v>0</v>
      </c>
      <c r="W46" s="3"/>
      <c r="X46" s="8">
        <f t="shared" si="22"/>
        <v>-75</v>
      </c>
      <c r="Y46" s="3"/>
      <c r="Z46" s="7">
        <f t="shared" si="23"/>
        <v>-1</v>
      </c>
    </row>
    <row r="47" spans="1:26" s="27" customFormat="1" outlineLevel="1" collapsed="1" x14ac:dyDescent="0.3">
      <c r="A47" s="28"/>
      <c r="B47" s="14" t="str">
        <f>CONCATENATE("     ","Freight out/Postage                               ")</f>
        <v xml:space="preserve">     Freight out/Postage                               </v>
      </c>
      <c r="C47" s="14"/>
      <c r="D47" s="1">
        <f>SUM(OSRRefD22_5x_0)</f>
        <v>1.73</v>
      </c>
      <c r="E47" s="1"/>
      <c r="F47" s="5">
        <f t="shared" si="16"/>
        <v>0</v>
      </c>
      <c r="G47" s="1"/>
      <c r="H47" s="1">
        <f>SUM(OSRRefH22_5x_0)</f>
        <v>0</v>
      </c>
      <c r="I47" s="1"/>
      <c r="J47" s="5">
        <f t="shared" si="17"/>
        <v>0</v>
      </c>
      <c r="K47" s="1"/>
      <c r="L47" s="1">
        <f t="shared" si="18"/>
        <v>1.73</v>
      </c>
      <c r="M47" s="1"/>
      <c r="N47" s="5">
        <f t="shared" si="19"/>
        <v>0</v>
      </c>
      <c r="O47" s="14"/>
      <c r="P47" s="1">
        <f>SUM(OSRRefP22_5x_0)</f>
        <v>1.73</v>
      </c>
      <c r="Q47" s="1"/>
      <c r="R47" s="5">
        <f t="shared" si="20"/>
        <v>0</v>
      </c>
      <c r="S47" s="1"/>
      <c r="T47" s="1">
        <f>SUM(OSRRefT22_5x_0)</f>
        <v>0</v>
      </c>
      <c r="U47" s="1"/>
      <c r="V47" s="5">
        <f t="shared" si="21"/>
        <v>0</v>
      </c>
      <c r="W47" s="1"/>
      <c r="X47" s="1">
        <f t="shared" si="22"/>
        <v>1.73</v>
      </c>
      <c r="Y47" s="1"/>
      <c r="Z47" s="5">
        <f t="shared" si="23"/>
        <v>0</v>
      </c>
    </row>
    <row r="48" spans="1:26" s="24" customFormat="1" hidden="1" outlineLevel="2" x14ac:dyDescent="0.3">
      <c r="A48" s="29"/>
      <c r="B48" s="11" t="str">
        <f>CONCATENATE("          ", "6307", " - ", "POSTAGE")</f>
        <v xml:space="preserve">          6307 - POSTAGE</v>
      </c>
      <c r="C48" s="11"/>
      <c r="D48" s="8">
        <v>1.73</v>
      </c>
      <c r="E48" s="3"/>
      <c r="F48" s="7">
        <f t="shared" si="16"/>
        <v>0</v>
      </c>
      <c r="G48" s="3"/>
      <c r="H48" s="8"/>
      <c r="I48" s="3"/>
      <c r="J48" s="7">
        <f t="shared" si="17"/>
        <v>0</v>
      </c>
      <c r="K48" s="3"/>
      <c r="L48" s="8">
        <f t="shared" si="18"/>
        <v>1.73</v>
      </c>
      <c r="M48" s="3"/>
      <c r="N48" s="7">
        <f t="shared" si="19"/>
        <v>0</v>
      </c>
      <c r="O48" s="11"/>
      <c r="P48" s="8">
        <v>1.73</v>
      </c>
      <c r="Q48" s="3"/>
      <c r="R48" s="7">
        <f t="shared" si="20"/>
        <v>0</v>
      </c>
      <c r="S48" s="3"/>
      <c r="T48" s="8"/>
      <c r="U48" s="3"/>
      <c r="V48" s="7">
        <f t="shared" si="21"/>
        <v>0</v>
      </c>
      <c r="W48" s="3"/>
      <c r="X48" s="8">
        <f t="shared" si="22"/>
        <v>1.73</v>
      </c>
      <c r="Y48" s="3"/>
      <c r="Z48" s="7">
        <f t="shared" si="23"/>
        <v>0</v>
      </c>
    </row>
    <row r="49" spans="1:26" s="27" customFormat="1" outlineLevel="1" collapsed="1" x14ac:dyDescent="0.3">
      <c r="A49" s="28"/>
      <c r="B49" s="14" t="str">
        <f>CONCATENATE("     ","General                                           ")</f>
        <v xml:space="preserve">     General                                           </v>
      </c>
      <c r="C49" s="14"/>
      <c r="D49" s="1">
        <f>SUM(OSRRefD22_6x_0)</f>
        <v>1029.5</v>
      </c>
      <c r="E49" s="1"/>
      <c r="F49" s="5">
        <f t="shared" si="16"/>
        <v>0</v>
      </c>
      <c r="G49" s="1"/>
      <c r="H49" s="1">
        <f>SUM(OSRRefH22_6x_0)</f>
        <v>0</v>
      </c>
      <c r="I49" s="1"/>
      <c r="J49" s="5">
        <f t="shared" si="17"/>
        <v>0</v>
      </c>
      <c r="K49" s="1"/>
      <c r="L49" s="1">
        <f t="shared" si="18"/>
        <v>1029.5</v>
      </c>
      <c r="M49" s="1"/>
      <c r="N49" s="5">
        <f t="shared" si="19"/>
        <v>0</v>
      </c>
      <c r="O49" s="14"/>
      <c r="P49" s="1">
        <f>SUM(OSRRefP22_6x_0)</f>
        <v>1029.5</v>
      </c>
      <c r="Q49" s="1"/>
      <c r="R49" s="5">
        <f t="shared" si="20"/>
        <v>0</v>
      </c>
      <c r="S49" s="1"/>
      <c r="T49" s="1">
        <f>SUM(OSRRefT22_6x_0)</f>
        <v>0</v>
      </c>
      <c r="U49" s="1"/>
      <c r="V49" s="5">
        <f t="shared" si="21"/>
        <v>0</v>
      </c>
      <c r="W49" s="1"/>
      <c r="X49" s="1">
        <f t="shared" si="22"/>
        <v>1029.5</v>
      </c>
      <c r="Y49" s="1"/>
      <c r="Z49" s="5">
        <f t="shared" si="23"/>
        <v>0</v>
      </c>
    </row>
    <row r="50" spans="1:26" s="24" customFormat="1" hidden="1" outlineLevel="2" x14ac:dyDescent="0.3">
      <c r="A50" s="29"/>
      <c r="B50" s="11" t="str">
        <f>CONCATENATE("          ", "6279", " - ", "GENERAL EXPENSE")</f>
        <v xml:space="preserve">          6279 - GENERAL EXPENSE</v>
      </c>
      <c r="C50" s="11"/>
      <c r="D50" s="8">
        <v>1029.5</v>
      </c>
      <c r="E50" s="3"/>
      <c r="F50" s="7">
        <f t="shared" si="16"/>
        <v>0</v>
      </c>
      <c r="G50" s="3"/>
      <c r="H50" s="8"/>
      <c r="I50" s="3"/>
      <c r="J50" s="7">
        <f t="shared" si="17"/>
        <v>0</v>
      </c>
      <c r="K50" s="3"/>
      <c r="L50" s="8">
        <f t="shared" si="18"/>
        <v>1029.5</v>
      </c>
      <c r="M50" s="3"/>
      <c r="N50" s="7">
        <f t="shared" si="19"/>
        <v>0</v>
      </c>
      <c r="O50" s="11"/>
      <c r="P50" s="8">
        <v>1029.5</v>
      </c>
      <c r="Q50" s="3"/>
      <c r="R50" s="7">
        <f t="shared" si="20"/>
        <v>0</v>
      </c>
      <c r="S50" s="3"/>
      <c r="T50" s="8"/>
      <c r="U50" s="3"/>
      <c r="V50" s="7">
        <f t="shared" si="21"/>
        <v>0</v>
      </c>
      <c r="W50" s="3"/>
      <c r="X50" s="8">
        <f t="shared" si="22"/>
        <v>1029.5</v>
      </c>
      <c r="Y50" s="3"/>
      <c r="Z50" s="7">
        <f t="shared" si="23"/>
        <v>0</v>
      </c>
    </row>
    <row r="51" spans="1:26" s="27" customFormat="1" outlineLevel="1" collapsed="1" x14ac:dyDescent="0.3">
      <c r="A51" s="28"/>
      <c r="B51" s="14" t="str">
        <f>CONCATENATE("     ","Insurance                                         ")</f>
        <v xml:space="preserve">     Insurance                                         </v>
      </c>
      <c r="C51" s="14"/>
      <c r="D51" s="1">
        <f>SUM(OSRRefD22_7x_0)</f>
        <v>88.99</v>
      </c>
      <c r="E51" s="1"/>
      <c r="F51" s="5">
        <f t="shared" si="16"/>
        <v>0</v>
      </c>
      <c r="G51" s="1"/>
      <c r="H51" s="1">
        <f>SUM(OSRRefH22_7x_0)</f>
        <v>90</v>
      </c>
      <c r="I51" s="1"/>
      <c r="J51" s="5">
        <f t="shared" si="17"/>
        <v>0</v>
      </c>
      <c r="K51" s="1"/>
      <c r="L51" s="1">
        <f t="shared" si="18"/>
        <v>-1.0100000000000051</v>
      </c>
      <c r="M51" s="1"/>
      <c r="N51" s="5">
        <f t="shared" si="19"/>
        <v>-1.1222222222222279E-2</v>
      </c>
      <c r="O51" s="14"/>
      <c r="P51" s="1">
        <f>SUM(OSRRefP22_7x_0)</f>
        <v>88.99</v>
      </c>
      <c r="Q51" s="1"/>
      <c r="R51" s="5">
        <f t="shared" si="20"/>
        <v>0</v>
      </c>
      <c r="S51" s="1"/>
      <c r="T51" s="1">
        <f>SUM(OSRRefT22_7x_0)</f>
        <v>90</v>
      </c>
      <c r="U51" s="1"/>
      <c r="V51" s="5">
        <f t="shared" si="21"/>
        <v>0</v>
      </c>
      <c r="W51" s="1"/>
      <c r="X51" s="1">
        <f t="shared" si="22"/>
        <v>-1.0100000000000051</v>
      </c>
      <c r="Y51" s="1"/>
      <c r="Z51" s="5">
        <f t="shared" si="23"/>
        <v>-1.1222222222222279E-2</v>
      </c>
    </row>
    <row r="52" spans="1:26" s="24" customFormat="1" hidden="1" outlineLevel="2" x14ac:dyDescent="0.3">
      <c r="A52" s="29"/>
      <c r="B52" s="11" t="str">
        <f>CONCATENATE("          ", "6314", " - ", "LIABILITY INSURANCE")</f>
        <v xml:space="preserve">          6314 - LIABILITY INSURANCE</v>
      </c>
      <c r="C52" s="11"/>
      <c r="D52" s="8">
        <v>88.99</v>
      </c>
      <c r="E52" s="3"/>
      <c r="F52" s="7">
        <f t="shared" si="16"/>
        <v>0</v>
      </c>
      <c r="G52" s="3"/>
      <c r="H52" s="8">
        <v>90</v>
      </c>
      <c r="I52" s="3"/>
      <c r="J52" s="7">
        <f t="shared" si="17"/>
        <v>0</v>
      </c>
      <c r="K52" s="3"/>
      <c r="L52" s="8">
        <f t="shared" si="18"/>
        <v>-1.0100000000000051</v>
      </c>
      <c r="M52" s="3"/>
      <c r="N52" s="7">
        <f t="shared" si="19"/>
        <v>-1.1222222222222279E-2</v>
      </c>
      <c r="O52" s="11"/>
      <c r="P52" s="8">
        <v>88.99</v>
      </c>
      <c r="Q52" s="3"/>
      <c r="R52" s="7">
        <f t="shared" si="20"/>
        <v>0</v>
      </c>
      <c r="S52" s="3"/>
      <c r="T52" s="8">
        <v>90</v>
      </c>
      <c r="U52" s="3"/>
      <c r="V52" s="7">
        <f t="shared" si="21"/>
        <v>0</v>
      </c>
      <c r="W52" s="3"/>
      <c r="X52" s="8">
        <f t="shared" si="22"/>
        <v>-1.0100000000000051</v>
      </c>
      <c r="Y52" s="3"/>
      <c r="Z52" s="7">
        <f t="shared" si="23"/>
        <v>-1.1222222222222279E-2</v>
      </c>
    </row>
    <row r="53" spans="1:26" s="27" customFormat="1" outlineLevel="1" collapsed="1" x14ac:dyDescent="0.3">
      <c r="A53" s="28"/>
      <c r="B53" s="14" t="str">
        <f>CONCATENATE("     ","Professional Services                             ")</f>
        <v xml:space="preserve">     Professional Services                             </v>
      </c>
      <c r="C53" s="14"/>
      <c r="D53" s="1">
        <f>SUM(OSRRefD22_8x_0)</f>
        <v>4950</v>
      </c>
      <c r="E53" s="1"/>
      <c r="F53" s="5">
        <f t="shared" si="16"/>
        <v>0</v>
      </c>
      <c r="G53" s="1"/>
      <c r="H53" s="1">
        <f>SUM(OSRRefH22_8x_0)</f>
        <v>1666</v>
      </c>
      <c r="I53" s="1"/>
      <c r="J53" s="5">
        <f t="shared" si="17"/>
        <v>0</v>
      </c>
      <c r="K53" s="1"/>
      <c r="L53" s="1">
        <f t="shared" si="18"/>
        <v>3284</v>
      </c>
      <c r="M53" s="1"/>
      <c r="N53" s="5">
        <f t="shared" si="19"/>
        <v>1.9711884753901561</v>
      </c>
      <c r="O53" s="14"/>
      <c r="P53" s="1">
        <f>SUM(OSRRefP22_8x_0)</f>
        <v>4950</v>
      </c>
      <c r="Q53" s="1"/>
      <c r="R53" s="5">
        <f t="shared" si="20"/>
        <v>0</v>
      </c>
      <c r="S53" s="1"/>
      <c r="T53" s="1">
        <f>SUM(OSRRefT22_8x_0)</f>
        <v>1666</v>
      </c>
      <c r="U53" s="1"/>
      <c r="V53" s="5">
        <f t="shared" si="21"/>
        <v>0</v>
      </c>
      <c r="W53" s="1"/>
      <c r="X53" s="1">
        <f t="shared" si="22"/>
        <v>3284</v>
      </c>
      <c r="Y53" s="1"/>
      <c r="Z53" s="5">
        <f t="shared" si="23"/>
        <v>1.9711884753901561</v>
      </c>
    </row>
    <row r="54" spans="1:26" s="24" customFormat="1" hidden="1" outlineLevel="2" x14ac:dyDescent="0.3">
      <c r="A54" s="29"/>
      <c r="B54" s="11" t="str">
        <f>CONCATENATE("          ", "6332", " - ", "CONSULTANT FEES")</f>
        <v xml:space="preserve">          6332 - CONSULTANT FEES</v>
      </c>
      <c r="C54" s="11"/>
      <c r="D54" s="8"/>
      <c r="E54" s="3"/>
      <c r="F54" s="7">
        <f t="shared" si="16"/>
        <v>0</v>
      </c>
      <c r="G54" s="3"/>
      <c r="H54" s="8">
        <v>0</v>
      </c>
      <c r="I54" s="3"/>
      <c r="J54" s="7">
        <f t="shared" si="17"/>
        <v>0</v>
      </c>
      <c r="K54" s="3"/>
      <c r="L54" s="8">
        <f t="shared" si="18"/>
        <v>0</v>
      </c>
      <c r="M54" s="3"/>
      <c r="N54" s="7">
        <f t="shared" si="19"/>
        <v>0</v>
      </c>
      <c r="O54" s="11"/>
      <c r="P54" s="8"/>
      <c r="Q54" s="3"/>
      <c r="R54" s="7">
        <f t="shared" si="20"/>
        <v>0</v>
      </c>
      <c r="S54" s="3"/>
      <c r="T54" s="8">
        <v>0</v>
      </c>
      <c r="U54" s="3"/>
      <c r="V54" s="7">
        <f t="shared" si="21"/>
        <v>0</v>
      </c>
      <c r="W54" s="3"/>
      <c r="X54" s="8">
        <f t="shared" si="22"/>
        <v>0</v>
      </c>
      <c r="Y54" s="3"/>
      <c r="Z54" s="7">
        <f t="shared" si="23"/>
        <v>0</v>
      </c>
    </row>
    <row r="55" spans="1:26" s="24" customFormat="1" hidden="1" outlineLevel="2" x14ac:dyDescent="0.3">
      <c r="A55" s="29"/>
      <c r="B55" s="11" t="str">
        <f>CONCATENATE("          ", "6334", " - ", "LEGAL COUNCIL EXPENSE")</f>
        <v xml:space="preserve">          6334 - LEGAL COUNCIL EXPENSE</v>
      </c>
      <c r="C55" s="11"/>
      <c r="D55" s="8">
        <v>3255</v>
      </c>
      <c r="E55" s="3"/>
      <c r="F55" s="7">
        <f t="shared" si="16"/>
        <v>0</v>
      </c>
      <c r="G55" s="3"/>
      <c r="H55" s="8">
        <v>833</v>
      </c>
      <c r="I55" s="3"/>
      <c r="J55" s="7">
        <f t="shared" si="17"/>
        <v>0</v>
      </c>
      <c r="K55" s="3"/>
      <c r="L55" s="8">
        <f t="shared" si="18"/>
        <v>2422</v>
      </c>
      <c r="M55" s="3"/>
      <c r="N55" s="7">
        <f t="shared" si="19"/>
        <v>2.9075630252100839</v>
      </c>
      <c r="O55" s="11"/>
      <c r="P55" s="8">
        <v>3255</v>
      </c>
      <c r="Q55" s="3"/>
      <c r="R55" s="7">
        <f t="shared" si="20"/>
        <v>0</v>
      </c>
      <c r="S55" s="3"/>
      <c r="T55" s="8">
        <v>833</v>
      </c>
      <c r="U55" s="3"/>
      <c r="V55" s="7">
        <f t="shared" si="21"/>
        <v>0</v>
      </c>
      <c r="W55" s="3"/>
      <c r="X55" s="8">
        <f t="shared" si="22"/>
        <v>2422</v>
      </c>
      <c r="Y55" s="3"/>
      <c r="Z55" s="7">
        <f t="shared" si="23"/>
        <v>2.9075630252100839</v>
      </c>
    </row>
    <row r="56" spans="1:26" s="24" customFormat="1" hidden="1" outlineLevel="2" x14ac:dyDescent="0.3">
      <c r="A56" s="29"/>
      <c r="B56" s="11" t="str">
        <f>CONCATENATE("          ", "6336", " - ", "PROFESSIONAL SERVICES")</f>
        <v xml:space="preserve">          6336 - PROFESSIONAL SERVICES</v>
      </c>
      <c r="C56" s="11"/>
      <c r="D56" s="8">
        <v>1695</v>
      </c>
      <c r="E56" s="3"/>
      <c r="F56" s="7">
        <f t="shared" si="16"/>
        <v>0</v>
      </c>
      <c r="G56" s="3"/>
      <c r="H56" s="8">
        <v>833</v>
      </c>
      <c r="I56" s="3"/>
      <c r="J56" s="7">
        <f t="shared" si="17"/>
        <v>0</v>
      </c>
      <c r="K56" s="3"/>
      <c r="L56" s="8">
        <f t="shared" si="18"/>
        <v>862</v>
      </c>
      <c r="M56" s="3"/>
      <c r="N56" s="7">
        <f t="shared" si="19"/>
        <v>1.034813925570228</v>
      </c>
      <c r="O56" s="11"/>
      <c r="P56" s="8">
        <v>1695</v>
      </c>
      <c r="Q56" s="3"/>
      <c r="R56" s="7">
        <f t="shared" si="20"/>
        <v>0</v>
      </c>
      <c r="S56" s="3"/>
      <c r="T56" s="8">
        <v>833</v>
      </c>
      <c r="U56" s="3"/>
      <c r="V56" s="7">
        <f t="shared" si="21"/>
        <v>0</v>
      </c>
      <c r="W56" s="3"/>
      <c r="X56" s="8">
        <f t="shared" si="22"/>
        <v>862</v>
      </c>
      <c r="Y56" s="3"/>
      <c r="Z56" s="7">
        <f t="shared" si="23"/>
        <v>1.034813925570228</v>
      </c>
    </row>
    <row r="57" spans="1:26" s="27" customFormat="1" outlineLevel="1" collapsed="1" x14ac:dyDescent="0.3">
      <c r="A57" s="28"/>
      <c r="B57" s="14" t="str">
        <f>CONCATENATE("     ","Repair and Maintenance                            ")</f>
        <v xml:space="preserve">     Repair and Maintenance                            </v>
      </c>
      <c r="C57" s="14"/>
      <c r="D57" s="1">
        <f>SUM(OSRRefD22_9x_0)</f>
        <v>3624.93</v>
      </c>
      <c r="E57" s="1"/>
      <c r="F57" s="5">
        <f t="shared" ref="F57:F65" si="24">IF(D$12=0,0,D57/D$12)</f>
        <v>0</v>
      </c>
      <c r="G57" s="1"/>
      <c r="H57" s="1">
        <f>SUM(OSRRefH22_9x_0)</f>
        <v>7000</v>
      </c>
      <c r="I57" s="1"/>
      <c r="J57" s="5">
        <f t="shared" ref="J57:J65" si="25">IF(H$12=0,0,H57/H$12)</f>
        <v>0</v>
      </c>
      <c r="K57" s="1"/>
      <c r="L57" s="1">
        <f t="shared" ref="L57:L65" si="26">+D57-H57</f>
        <v>-3375.07</v>
      </c>
      <c r="M57" s="1"/>
      <c r="N57" s="5">
        <f t="shared" ref="N57:N65" si="27">IF(H57=0,0,L57/H57)</f>
        <v>-0.48215285714285716</v>
      </c>
      <c r="O57" s="14"/>
      <c r="P57" s="1">
        <f>SUM(OSRRefP22_9x_0)</f>
        <v>3624.93</v>
      </c>
      <c r="Q57" s="1"/>
      <c r="R57" s="5">
        <f t="shared" ref="R57:R65" si="28">IF(P$12=0,0,P57/P$12)</f>
        <v>0</v>
      </c>
      <c r="S57" s="1"/>
      <c r="T57" s="1">
        <f>SUM(OSRRefT22_9x_0)</f>
        <v>7000</v>
      </c>
      <c r="U57" s="1"/>
      <c r="V57" s="5">
        <f t="shared" ref="V57:V65" si="29">IF(T$12=0,0,T57/T$12)</f>
        <v>0</v>
      </c>
      <c r="W57" s="1"/>
      <c r="X57" s="1">
        <f t="shared" ref="X57:X65" si="30">+P57-T57</f>
        <v>-3375.07</v>
      </c>
      <c r="Y57" s="1"/>
      <c r="Z57" s="5">
        <f t="shared" ref="Z57:Z65" si="31">IF(T57=0,0,X57/T57)</f>
        <v>-0.48215285714285716</v>
      </c>
    </row>
    <row r="58" spans="1:26" s="24" customFormat="1" hidden="1" outlineLevel="2" x14ac:dyDescent="0.3">
      <c r="A58" s="29"/>
      <c r="B58" s="11" t="str">
        <f>CONCATENATE("          ", "6371", " - ", "COMPUTER SOFTWARE MAINTENANCE")</f>
        <v xml:space="preserve">          6371 - COMPUTER SOFTWARE MAINTENANCE</v>
      </c>
      <c r="C58" s="11"/>
      <c r="D58" s="8">
        <v>3624.93</v>
      </c>
      <c r="E58" s="3"/>
      <c r="F58" s="7">
        <f t="shared" si="24"/>
        <v>0</v>
      </c>
      <c r="G58" s="3"/>
      <c r="H58" s="8">
        <v>7000</v>
      </c>
      <c r="I58" s="3"/>
      <c r="J58" s="7">
        <f t="shared" si="25"/>
        <v>0</v>
      </c>
      <c r="K58" s="3"/>
      <c r="L58" s="8">
        <f t="shared" si="26"/>
        <v>-3375.07</v>
      </c>
      <c r="M58" s="3"/>
      <c r="N58" s="7">
        <f t="shared" si="27"/>
        <v>-0.48215285714285716</v>
      </c>
      <c r="O58" s="11"/>
      <c r="P58" s="8">
        <v>3624.93</v>
      </c>
      <c r="Q58" s="3"/>
      <c r="R58" s="7">
        <f t="shared" si="28"/>
        <v>0</v>
      </c>
      <c r="S58" s="3"/>
      <c r="T58" s="8">
        <v>7000</v>
      </c>
      <c r="U58" s="3"/>
      <c r="V58" s="7">
        <f t="shared" si="29"/>
        <v>0</v>
      </c>
      <c r="W58" s="3"/>
      <c r="X58" s="8">
        <f t="shared" si="30"/>
        <v>-3375.07</v>
      </c>
      <c r="Y58" s="3"/>
      <c r="Z58" s="7">
        <f t="shared" si="31"/>
        <v>-0.48215285714285716</v>
      </c>
    </row>
    <row r="59" spans="1:26" s="27" customFormat="1" outlineLevel="1" collapsed="1" x14ac:dyDescent="0.3">
      <c r="A59" s="28"/>
      <c r="B59" s="14" t="str">
        <f>CONCATENATE("     ","Subscriptions &amp; Dues                              ")</f>
        <v xml:space="preserve">     Subscriptions &amp; Dues                              </v>
      </c>
      <c r="C59" s="14"/>
      <c r="D59" s="1">
        <f>SUM(OSRRefD22_10x_0)</f>
        <v>219</v>
      </c>
      <c r="E59" s="1"/>
      <c r="F59" s="5">
        <f t="shared" si="24"/>
        <v>0</v>
      </c>
      <c r="G59" s="1"/>
      <c r="H59" s="1">
        <f>SUM(OSRRefH22_10x_0)</f>
        <v>0</v>
      </c>
      <c r="I59" s="1"/>
      <c r="J59" s="5">
        <f t="shared" si="25"/>
        <v>0</v>
      </c>
      <c r="K59" s="1"/>
      <c r="L59" s="1">
        <f t="shared" si="26"/>
        <v>219</v>
      </c>
      <c r="M59" s="1"/>
      <c r="N59" s="5">
        <f t="shared" si="27"/>
        <v>0</v>
      </c>
      <c r="O59" s="14"/>
      <c r="P59" s="1">
        <f>SUM(OSRRefP22_10x_0)</f>
        <v>219</v>
      </c>
      <c r="Q59" s="1"/>
      <c r="R59" s="5">
        <f t="shared" si="28"/>
        <v>0</v>
      </c>
      <c r="S59" s="1"/>
      <c r="T59" s="1">
        <f>SUM(OSRRefT22_10x_0)</f>
        <v>0</v>
      </c>
      <c r="U59" s="1"/>
      <c r="V59" s="5">
        <f t="shared" si="29"/>
        <v>0</v>
      </c>
      <c r="W59" s="1"/>
      <c r="X59" s="1">
        <f t="shared" si="30"/>
        <v>219</v>
      </c>
      <c r="Y59" s="1"/>
      <c r="Z59" s="5">
        <f t="shared" si="31"/>
        <v>0</v>
      </c>
    </row>
    <row r="60" spans="1:26" s="24" customFormat="1" hidden="1" outlineLevel="2" x14ac:dyDescent="0.3">
      <c r="A60" s="29"/>
      <c r="B60" s="11" t="str">
        <f>CONCATENATE("          ", "6258", " - ", "MEMBERSHIP DUES")</f>
        <v xml:space="preserve">          6258 - MEMBERSHIP DUES</v>
      </c>
      <c r="C60" s="11"/>
      <c r="D60" s="8">
        <v>219</v>
      </c>
      <c r="E60" s="3"/>
      <c r="F60" s="7">
        <f t="shared" si="24"/>
        <v>0</v>
      </c>
      <c r="G60" s="3"/>
      <c r="H60" s="8"/>
      <c r="I60" s="3"/>
      <c r="J60" s="7">
        <f t="shared" si="25"/>
        <v>0</v>
      </c>
      <c r="K60" s="3"/>
      <c r="L60" s="8">
        <f t="shared" si="26"/>
        <v>219</v>
      </c>
      <c r="M60" s="3"/>
      <c r="N60" s="7">
        <f t="shared" si="27"/>
        <v>0</v>
      </c>
      <c r="O60" s="11"/>
      <c r="P60" s="8">
        <v>219</v>
      </c>
      <c r="Q60" s="3"/>
      <c r="R60" s="7">
        <f t="shared" si="28"/>
        <v>0</v>
      </c>
      <c r="S60" s="3"/>
      <c r="T60" s="8"/>
      <c r="U60" s="3"/>
      <c r="V60" s="7">
        <f t="shared" si="29"/>
        <v>0</v>
      </c>
      <c r="W60" s="3"/>
      <c r="X60" s="8">
        <f t="shared" si="30"/>
        <v>219</v>
      </c>
      <c r="Y60" s="3"/>
      <c r="Z60" s="7">
        <f t="shared" si="31"/>
        <v>0</v>
      </c>
    </row>
    <row r="61" spans="1:26" s="27" customFormat="1" outlineLevel="1" collapsed="1" x14ac:dyDescent="0.3">
      <c r="A61" s="28"/>
      <c r="B61" s="14" t="str">
        <f>CONCATENATE("     ","Supplies                                          ")</f>
        <v xml:space="preserve">     Supplies                                          </v>
      </c>
      <c r="C61" s="14"/>
      <c r="D61" s="1">
        <f>SUM(OSRRefD22_11x_0)</f>
        <v>2798.89</v>
      </c>
      <c r="E61" s="1"/>
      <c r="F61" s="5">
        <f t="shared" si="24"/>
        <v>0</v>
      </c>
      <c r="G61" s="1"/>
      <c r="H61" s="1">
        <f>SUM(OSRRefH22_11x_0)</f>
        <v>1834</v>
      </c>
      <c r="I61" s="1"/>
      <c r="J61" s="5">
        <f t="shared" si="25"/>
        <v>0</v>
      </c>
      <c r="K61" s="1"/>
      <c r="L61" s="1">
        <f t="shared" si="26"/>
        <v>964.88999999999987</v>
      </c>
      <c r="M61" s="1"/>
      <c r="N61" s="5">
        <f t="shared" si="27"/>
        <v>0.52611232279171205</v>
      </c>
      <c r="O61" s="14"/>
      <c r="P61" s="1">
        <f>SUM(OSRRefP22_11x_0)</f>
        <v>2798.89</v>
      </c>
      <c r="Q61" s="1"/>
      <c r="R61" s="5">
        <f t="shared" si="28"/>
        <v>0</v>
      </c>
      <c r="S61" s="1"/>
      <c r="T61" s="1">
        <f>SUM(OSRRefT22_11x_0)</f>
        <v>1834</v>
      </c>
      <c r="U61" s="1"/>
      <c r="V61" s="5">
        <f t="shared" si="29"/>
        <v>0</v>
      </c>
      <c r="W61" s="1"/>
      <c r="X61" s="1">
        <f t="shared" si="30"/>
        <v>964.88999999999987</v>
      </c>
      <c r="Y61" s="1"/>
      <c r="Z61" s="5">
        <f t="shared" si="31"/>
        <v>0.52611232279171205</v>
      </c>
    </row>
    <row r="62" spans="1:26" s="24" customFormat="1" hidden="1" outlineLevel="2" x14ac:dyDescent="0.3">
      <c r="A62" s="29"/>
      <c r="B62" s="11" t="str">
        <f>CONCATENATE("          ", "6235", " - ", "COVID-19 EXPENSES")</f>
        <v xml:space="preserve">          6235 - COVID-19 EXPENSES</v>
      </c>
      <c r="C62" s="11"/>
      <c r="D62" s="8">
        <v>2447.77</v>
      </c>
      <c r="E62" s="3"/>
      <c r="F62" s="7">
        <f t="shared" si="24"/>
        <v>0</v>
      </c>
      <c r="G62" s="3"/>
      <c r="H62" s="8"/>
      <c r="I62" s="3"/>
      <c r="J62" s="7">
        <f t="shared" si="25"/>
        <v>0</v>
      </c>
      <c r="K62" s="3"/>
      <c r="L62" s="8">
        <f t="shared" si="26"/>
        <v>2447.77</v>
      </c>
      <c r="M62" s="3"/>
      <c r="N62" s="7">
        <f t="shared" si="27"/>
        <v>0</v>
      </c>
      <c r="O62" s="11"/>
      <c r="P62" s="8">
        <v>2447.77</v>
      </c>
      <c r="Q62" s="3"/>
      <c r="R62" s="7">
        <f t="shared" si="28"/>
        <v>0</v>
      </c>
      <c r="S62" s="3"/>
      <c r="T62" s="8"/>
      <c r="U62" s="3"/>
      <c r="V62" s="7">
        <f t="shared" si="29"/>
        <v>0</v>
      </c>
      <c r="W62" s="3"/>
      <c r="X62" s="8">
        <f t="shared" si="30"/>
        <v>2447.77</v>
      </c>
      <c r="Y62" s="3"/>
      <c r="Z62" s="7">
        <f t="shared" si="31"/>
        <v>0</v>
      </c>
    </row>
    <row r="63" spans="1:26" s="24" customFormat="1" hidden="1" outlineLevel="2" x14ac:dyDescent="0.3">
      <c r="A63" s="29"/>
      <c r="B63" s="11" t="str">
        <f>CONCATENATE("          ", "6241", " - ", "OFFICE EXPENSE")</f>
        <v xml:space="preserve">          6241 - OFFICE EXPENSE</v>
      </c>
      <c r="C63" s="11"/>
      <c r="D63" s="8">
        <v>176.12</v>
      </c>
      <c r="E63" s="3"/>
      <c r="F63" s="7">
        <f t="shared" si="24"/>
        <v>0</v>
      </c>
      <c r="G63" s="3"/>
      <c r="H63" s="8">
        <v>1417</v>
      </c>
      <c r="I63" s="3"/>
      <c r="J63" s="7">
        <f t="shared" si="25"/>
        <v>0</v>
      </c>
      <c r="K63" s="3"/>
      <c r="L63" s="8">
        <f t="shared" si="26"/>
        <v>-1240.8800000000001</v>
      </c>
      <c r="M63" s="3"/>
      <c r="N63" s="7">
        <f t="shared" si="27"/>
        <v>-0.87570924488355684</v>
      </c>
      <c r="O63" s="11"/>
      <c r="P63" s="8">
        <v>176.12</v>
      </c>
      <c r="Q63" s="3"/>
      <c r="R63" s="7">
        <f t="shared" si="28"/>
        <v>0</v>
      </c>
      <c r="S63" s="3"/>
      <c r="T63" s="8">
        <v>1417</v>
      </c>
      <c r="U63" s="3"/>
      <c r="V63" s="7">
        <f t="shared" si="29"/>
        <v>0</v>
      </c>
      <c r="W63" s="3"/>
      <c r="X63" s="8">
        <f t="shared" si="30"/>
        <v>-1240.8800000000001</v>
      </c>
      <c r="Y63" s="3"/>
      <c r="Z63" s="7">
        <f t="shared" si="31"/>
        <v>-0.87570924488355684</v>
      </c>
    </row>
    <row r="64" spans="1:26" s="24" customFormat="1" hidden="1" outlineLevel="2" x14ac:dyDescent="0.3">
      <c r="A64" s="29"/>
      <c r="B64" s="11" t="str">
        <f>CONCATENATE("          ", "6244", " - ", "SAFETY SUPPLY EXPENSE")</f>
        <v xml:space="preserve">          6244 - SAFETY SUPPLY EXPENSE</v>
      </c>
      <c r="C64" s="11"/>
      <c r="D64" s="8">
        <v>175</v>
      </c>
      <c r="E64" s="3"/>
      <c r="F64" s="7">
        <f t="shared" si="24"/>
        <v>0</v>
      </c>
      <c r="G64" s="3"/>
      <c r="H64" s="8">
        <v>417</v>
      </c>
      <c r="I64" s="3"/>
      <c r="J64" s="7">
        <f t="shared" si="25"/>
        <v>0</v>
      </c>
      <c r="K64" s="3"/>
      <c r="L64" s="8">
        <f t="shared" si="26"/>
        <v>-242</v>
      </c>
      <c r="M64" s="3"/>
      <c r="N64" s="7">
        <f t="shared" si="27"/>
        <v>-0.58033573141486805</v>
      </c>
      <c r="O64" s="11"/>
      <c r="P64" s="8">
        <v>175</v>
      </c>
      <c r="Q64" s="3"/>
      <c r="R64" s="7">
        <f t="shared" si="28"/>
        <v>0</v>
      </c>
      <c r="S64" s="3"/>
      <c r="T64" s="8">
        <v>417</v>
      </c>
      <c r="U64" s="3"/>
      <c r="V64" s="7">
        <f t="shared" si="29"/>
        <v>0</v>
      </c>
      <c r="W64" s="3"/>
      <c r="X64" s="8">
        <f t="shared" si="30"/>
        <v>-242</v>
      </c>
      <c r="Y64" s="3"/>
      <c r="Z64" s="7">
        <f t="shared" si="31"/>
        <v>-0.58033573141486805</v>
      </c>
    </row>
    <row r="65" spans="1:26" s="24" customFormat="1" hidden="1" outlineLevel="2" x14ac:dyDescent="0.3">
      <c r="A65" s="29"/>
      <c r="B65" s="11" t="str">
        <f>CONCATENATE("          ", "6248", " - ", "UNIFORMS")</f>
        <v xml:space="preserve">          6248 - UNIFORMS</v>
      </c>
      <c r="C65" s="11"/>
      <c r="D65" s="8">
        <v>0</v>
      </c>
      <c r="E65" s="3"/>
      <c r="F65" s="7">
        <f t="shared" si="24"/>
        <v>0</v>
      </c>
      <c r="G65" s="3"/>
      <c r="H65" s="8"/>
      <c r="I65" s="3"/>
      <c r="J65" s="7">
        <f t="shared" si="25"/>
        <v>0</v>
      </c>
      <c r="K65" s="3"/>
      <c r="L65" s="8">
        <f t="shared" si="26"/>
        <v>0</v>
      </c>
      <c r="M65" s="3"/>
      <c r="N65" s="7">
        <f t="shared" si="27"/>
        <v>0</v>
      </c>
      <c r="O65" s="11"/>
      <c r="P65" s="8">
        <v>0</v>
      </c>
      <c r="Q65" s="3"/>
      <c r="R65" s="7">
        <f t="shared" si="28"/>
        <v>0</v>
      </c>
      <c r="S65" s="3"/>
      <c r="T65" s="8"/>
      <c r="U65" s="3"/>
      <c r="V65" s="7">
        <f t="shared" si="29"/>
        <v>0</v>
      </c>
      <c r="W65" s="3"/>
      <c r="X65" s="8">
        <f t="shared" si="30"/>
        <v>0</v>
      </c>
      <c r="Y65" s="3"/>
      <c r="Z65" s="7">
        <f t="shared" si="31"/>
        <v>0</v>
      </c>
    </row>
    <row r="66" spans="1:26" s="27" customFormat="1" outlineLevel="1" collapsed="1" x14ac:dyDescent="0.3">
      <c r="A66" s="28"/>
      <c r="B66" s="14" t="str">
        <f>CONCATENATE("     ","Telephone/Data Lines                              ")</f>
        <v xml:space="preserve">     Telephone/Data Lines                              </v>
      </c>
      <c r="C66" s="14"/>
      <c r="D66" s="1">
        <f>SUM(OSRRefD22_12x_0)</f>
        <v>342.3</v>
      </c>
      <c r="E66" s="1"/>
      <c r="F66" s="5">
        <f t="shared" ref="F66:F69" si="32">IF(D$12=0,0,D66/D$12)</f>
        <v>0</v>
      </c>
      <c r="G66" s="1"/>
      <c r="H66" s="1">
        <f>SUM(OSRRefH22_12x_0)</f>
        <v>283</v>
      </c>
      <c r="I66" s="1"/>
      <c r="J66" s="5">
        <f t="shared" ref="J66:J69" si="33">IF(H$12=0,0,H66/H$12)</f>
        <v>0</v>
      </c>
      <c r="K66" s="1"/>
      <c r="L66" s="1">
        <f t="shared" ref="L66:L69" si="34">+D66-H66</f>
        <v>59.300000000000011</v>
      </c>
      <c r="M66" s="1"/>
      <c r="N66" s="5">
        <f t="shared" ref="N66:N69" si="35">IF(H66=0,0,L66/H66)</f>
        <v>0.20954063604240286</v>
      </c>
      <c r="O66" s="14"/>
      <c r="P66" s="1">
        <f>SUM(OSRRefP22_12x_0)</f>
        <v>342.3</v>
      </c>
      <c r="Q66" s="1"/>
      <c r="R66" s="5">
        <f t="shared" ref="R66:R69" si="36">IF(P$12=0,0,P66/P$12)</f>
        <v>0</v>
      </c>
      <c r="S66" s="1"/>
      <c r="T66" s="1">
        <f>SUM(OSRRefT22_12x_0)</f>
        <v>283</v>
      </c>
      <c r="U66" s="1"/>
      <c r="V66" s="5">
        <f t="shared" ref="V66:V69" si="37">IF(T$12=0,0,T66/T$12)</f>
        <v>0</v>
      </c>
      <c r="W66" s="1"/>
      <c r="X66" s="1">
        <f t="shared" ref="X66:X69" si="38">+P66-T66</f>
        <v>59.300000000000011</v>
      </c>
      <c r="Y66" s="1"/>
      <c r="Z66" s="5">
        <f t="shared" ref="Z66:Z69" si="39">IF(T66=0,0,X66/T66)</f>
        <v>0.20954063604240286</v>
      </c>
    </row>
    <row r="67" spans="1:26" s="24" customFormat="1" hidden="1" outlineLevel="2" x14ac:dyDescent="0.3">
      <c r="A67" s="29"/>
      <c r="B67" s="11" t="str">
        <f>CONCATENATE("          ", "6309", " - ", "TELEPHONE")</f>
        <v xml:space="preserve">          6309 - TELEPHONE</v>
      </c>
      <c r="C67" s="11"/>
      <c r="D67" s="8">
        <v>342.3</v>
      </c>
      <c r="E67" s="3"/>
      <c r="F67" s="7">
        <f t="shared" si="32"/>
        <v>0</v>
      </c>
      <c r="G67" s="3"/>
      <c r="H67" s="8">
        <v>283</v>
      </c>
      <c r="I67" s="3"/>
      <c r="J67" s="7">
        <f t="shared" si="33"/>
        <v>0</v>
      </c>
      <c r="K67" s="3"/>
      <c r="L67" s="8">
        <f t="shared" si="34"/>
        <v>59.300000000000011</v>
      </c>
      <c r="M67" s="3"/>
      <c r="N67" s="7">
        <f t="shared" si="35"/>
        <v>0.20954063604240286</v>
      </c>
      <c r="O67" s="11"/>
      <c r="P67" s="8">
        <v>342.3</v>
      </c>
      <c r="Q67" s="3"/>
      <c r="R67" s="7">
        <f t="shared" si="36"/>
        <v>0</v>
      </c>
      <c r="S67" s="3"/>
      <c r="T67" s="8">
        <v>283</v>
      </c>
      <c r="U67" s="3"/>
      <c r="V67" s="7">
        <f t="shared" si="37"/>
        <v>0</v>
      </c>
      <c r="W67" s="3"/>
      <c r="X67" s="8">
        <f t="shared" si="38"/>
        <v>59.300000000000011</v>
      </c>
      <c r="Y67" s="3"/>
      <c r="Z67" s="7">
        <f t="shared" si="39"/>
        <v>0.20954063604240286</v>
      </c>
    </row>
    <row r="68" spans="1:26" s="27" customFormat="1" outlineLevel="1" collapsed="1" x14ac:dyDescent="0.3">
      <c r="A68" s="28"/>
      <c r="B68" s="14" t="str">
        <f>CONCATENATE("     ","Training                                          ")</f>
        <v xml:space="preserve">     Training                                          </v>
      </c>
      <c r="C68" s="14"/>
      <c r="D68" s="1">
        <f>SUM(OSRRefD22_13x_0)</f>
        <v>0</v>
      </c>
      <c r="E68" s="1"/>
      <c r="F68" s="5">
        <f t="shared" si="32"/>
        <v>0</v>
      </c>
      <c r="G68" s="1"/>
      <c r="H68" s="1">
        <f>SUM(OSRRefH22_13x_0)</f>
        <v>333</v>
      </c>
      <c r="I68" s="1"/>
      <c r="J68" s="5">
        <f t="shared" si="33"/>
        <v>0</v>
      </c>
      <c r="K68" s="1"/>
      <c r="L68" s="1">
        <f t="shared" si="34"/>
        <v>-333</v>
      </c>
      <c r="M68" s="1"/>
      <c r="N68" s="5">
        <f t="shared" si="35"/>
        <v>-1</v>
      </c>
      <c r="O68" s="14"/>
      <c r="P68" s="1">
        <f>SUM(OSRRefP22_13x_0)</f>
        <v>0</v>
      </c>
      <c r="Q68" s="1"/>
      <c r="R68" s="5">
        <f t="shared" si="36"/>
        <v>0</v>
      </c>
      <c r="S68" s="1"/>
      <c r="T68" s="1">
        <f>SUM(OSRRefT22_13x_0)</f>
        <v>333</v>
      </c>
      <c r="U68" s="1"/>
      <c r="V68" s="5">
        <f t="shared" si="37"/>
        <v>0</v>
      </c>
      <c r="W68" s="1"/>
      <c r="X68" s="1">
        <f t="shared" si="38"/>
        <v>-333</v>
      </c>
      <c r="Y68" s="1"/>
      <c r="Z68" s="5">
        <f t="shared" si="39"/>
        <v>-1</v>
      </c>
    </row>
    <row r="69" spans="1:26" s="24" customFormat="1" hidden="1" outlineLevel="2" x14ac:dyDescent="0.3">
      <c r="A69" s="29"/>
      <c r="B69" s="11" t="str">
        <f>CONCATENATE("          ", "6376", " - ", "TRAINING")</f>
        <v xml:space="preserve">          6376 - TRAINING</v>
      </c>
      <c r="C69" s="11"/>
      <c r="D69" s="8"/>
      <c r="E69" s="3"/>
      <c r="F69" s="7">
        <f t="shared" si="32"/>
        <v>0</v>
      </c>
      <c r="G69" s="3"/>
      <c r="H69" s="8">
        <v>333</v>
      </c>
      <c r="I69" s="3"/>
      <c r="J69" s="7">
        <f t="shared" si="33"/>
        <v>0</v>
      </c>
      <c r="K69" s="3"/>
      <c r="L69" s="8">
        <f t="shared" si="34"/>
        <v>-333</v>
      </c>
      <c r="M69" s="3"/>
      <c r="N69" s="7">
        <f t="shared" si="35"/>
        <v>-1</v>
      </c>
      <c r="O69" s="11"/>
      <c r="P69" s="8"/>
      <c r="Q69" s="3"/>
      <c r="R69" s="7">
        <f t="shared" si="36"/>
        <v>0</v>
      </c>
      <c r="S69" s="3"/>
      <c r="T69" s="8">
        <v>333</v>
      </c>
      <c r="U69" s="3"/>
      <c r="V69" s="7">
        <f t="shared" si="37"/>
        <v>0</v>
      </c>
      <c r="W69" s="3"/>
      <c r="X69" s="8">
        <f t="shared" si="38"/>
        <v>-333</v>
      </c>
      <c r="Y69" s="3"/>
      <c r="Z69" s="7">
        <f t="shared" si="39"/>
        <v>-1</v>
      </c>
    </row>
    <row r="70" spans="1:26" s="62" customFormat="1" x14ac:dyDescent="0.3">
      <c r="A70" s="36"/>
      <c r="B70" s="36"/>
      <c r="C70" s="36"/>
      <c r="D70" s="1"/>
      <c r="E70" s="1"/>
      <c r="F70" s="5"/>
      <c r="G70" s="1"/>
      <c r="H70" s="1"/>
      <c r="I70" s="1"/>
      <c r="J70" s="5"/>
      <c r="K70" s="1"/>
      <c r="L70" s="1"/>
      <c r="M70" s="1"/>
      <c r="N70" s="5"/>
      <c r="O70" s="36"/>
      <c r="P70" s="1"/>
      <c r="Q70" s="1"/>
      <c r="R70" s="5"/>
      <c r="S70" s="1"/>
      <c r="T70" s="1"/>
      <c r="U70" s="1"/>
      <c r="V70" s="5"/>
      <c r="W70" s="1"/>
      <c r="X70" s="1"/>
      <c r="Y70" s="1"/>
      <c r="Z70" s="5"/>
    </row>
    <row r="71" spans="1:26" s="23" customFormat="1" x14ac:dyDescent="0.3">
      <c r="A71" s="10"/>
      <c r="B71" s="25" t="s">
        <v>293</v>
      </c>
      <c r="C71" s="10"/>
      <c r="D71" s="4">
        <f>SUM(0)</f>
        <v>0</v>
      </c>
      <c r="E71" s="4"/>
      <c r="F71" s="12">
        <f>IF(D$12=0,0,D71/D$12)</f>
        <v>0</v>
      </c>
      <c r="G71" s="4"/>
      <c r="H71" s="4">
        <f>SUM(0)</f>
        <v>0</v>
      </c>
      <c r="I71" s="4"/>
      <c r="J71" s="12">
        <f>IF(H$12=0,0,H71/H$12)</f>
        <v>0</v>
      </c>
      <c r="K71" s="4"/>
      <c r="L71" s="4">
        <f>+D71-H71</f>
        <v>0</v>
      </c>
      <c r="M71" s="4"/>
      <c r="N71" s="12">
        <f>IF(H71=0,0,L71/H71)</f>
        <v>0</v>
      </c>
      <c r="O71" s="10"/>
      <c r="P71" s="4">
        <f>SUM(0)</f>
        <v>0</v>
      </c>
      <c r="Q71" s="4"/>
      <c r="R71" s="12">
        <f>IF(P$12=0,0,P71/P$12)</f>
        <v>0</v>
      </c>
      <c r="S71" s="4"/>
      <c r="T71" s="4">
        <f>SUM(0)</f>
        <v>0</v>
      </c>
      <c r="U71" s="4"/>
      <c r="V71" s="12">
        <f>IF(T$12=0,0,T71/T$12)</f>
        <v>0</v>
      </c>
      <c r="W71" s="4"/>
      <c r="X71" s="4">
        <f>+P71-T71</f>
        <v>0</v>
      </c>
      <c r="Y71" s="4"/>
      <c r="Z71" s="12">
        <f>IF(T71=0,0,X71/T71)</f>
        <v>0</v>
      </c>
    </row>
    <row r="72" spans="1:26" x14ac:dyDescent="0.3">
      <c r="A72" s="9"/>
      <c r="B72" s="10"/>
      <c r="C72" s="10"/>
      <c r="D72" s="2"/>
      <c r="E72" s="2"/>
      <c r="F72" s="6"/>
      <c r="G72" s="2"/>
      <c r="H72" s="2"/>
      <c r="I72" s="2"/>
      <c r="J72" s="6"/>
      <c r="K72" s="2"/>
      <c r="L72" s="2"/>
      <c r="M72" s="2"/>
      <c r="N72" s="6"/>
      <c r="O72" s="10"/>
      <c r="P72" s="2"/>
      <c r="Q72" s="2"/>
      <c r="R72" s="6"/>
      <c r="S72" s="2"/>
      <c r="T72" s="2"/>
      <c r="U72" s="2"/>
      <c r="V72" s="6"/>
      <c r="W72" s="2"/>
      <c r="X72" s="2"/>
      <c r="Y72" s="2"/>
      <c r="Z72" s="6"/>
    </row>
    <row r="73" spans="1:26" s="23" customFormat="1" x14ac:dyDescent="0.3">
      <c r="A73" s="10"/>
      <c r="B73" s="26" t="s">
        <v>277</v>
      </c>
      <c r="C73" s="26"/>
      <c r="D73" s="21">
        <f>+D16-D18+D71</f>
        <v>-58630.38</v>
      </c>
      <c r="E73" s="13"/>
      <c r="F73" s="22">
        <f>IF(D$12=0,0,D73/D$12)</f>
        <v>0</v>
      </c>
      <c r="G73" s="13"/>
      <c r="H73" s="21">
        <f>+H16-H18+H71</f>
        <v>-54242.831462107686</v>
      </c>
      <c r="I73" s="13"/>
      <c r="J73" s="22">
        <f>IF(H$12=0,0,H73/H$12)</f>
        <v>0</v>
      </c>
      <c r="K73" s="16"/>
      <c r="L73" s="21">
        <f>+D73-H73</f>
        <v>-4387.5485378923113</v>
      </c>
      <c r="M73" s="16"/>
      <c r="N73" s="22">
        <f>IF(H73=0,0,L73/H73)</f>
        <v>8.0887159088612715E-2</v>
      </c>
      <c r="O73" s="25"/>
      <c r="P73" s="21">
        <f>+P16-P18+P71</f>
        <v>-58630.38</v>
      </c>
      <c r="Q73" s="13"/>
      <c r="R73" s="22">
        <f>IF(P$12=0,0,P73/P$12)</f>
        <v>0</v>
      </c>
      <c r="S73" s="13"/>
      <c r="T73" s="21">
        <f>+T16-T18+T71</f>
        <v>-54242.831462107686</v>
      </c>
      <c r="U73" s="13"/>
      <c r="V73" s="22">
        <f>IF(T$12=0,0,T73/T$12)</f>
        <v>0</v>
      </c>
      <c r="W73" s="16"/>
      <c r="X73" s="21">
        <f>+P73-T73</f>
        <v>-4387.5485378923113</v>
      </c>
      <c r="Y73" s="16"/>
      <c r="Z73" s="22">
        <f>IF(T73=0,0,X73/T73)</f>
        <v>8.0887159088612715E-2</v>
      </c>
    </row>
    <row r="74" spans="1:26" x14ac:dyDescent="0.3">
      <c r="A74" s="9"/>
      <c r="B74" s="10"/>
      <c r="C74" s="9"/>
      <c r="D74" s="2"/>
      <c r="E74" s="2"/>
      <c r="F74" s="6"/>
      <c r="G74" s="2"/>
      <c r="H74" s="2"/>
      <c r="I74" s="2"/>
      <c r="J74" s="6"/>
      <c r="K74" s="2"/>
      <c r="L74" s="2"/>
      <c r="M74" s="2"/>
      <c r="N74" s="6"/>
      <c r="P74" s="2"/>
      <c r="Q74" s="2"/>
      <c r="R74" s="6"/>
      <c r="S74" s="2"/>
      <c r="T74" s="2"/>
      <c r="U74" s="2"/>
      <c r="V74" s="6"/>
      <c r="W74" s="2"/>
      <c r="X74" s="2"/>
      <c r="Y74" s="2"/>
      <c r="Z74" s="6"/>
    </row>
    <row r="75" spans="1:26" s="23" customFormat="1" x14ac:dyDescent="0.3">
      <c r="A75" s="52"/>
      <c r="B75" s="10" t="s">
        <v>128</v>
      </c>
      <c r="C75" s="10"/>
      <c r="D75" s="4"/>
      <c r="E75" s="4"/>
      <c r="F75" s="12">
        <f>IF(D$12=0,0,D75/D$12)</f>
        <v>0</v>
      </c>
      <c r="G75" s="4"/>
      <c r="H75" s="4"/>
      <c r="I75" s="4"/>
      <c r="J75" s="12">
        <f>IF(H$12=0,0,H75/H$12)</f>
        <v>0</v>
      </c>
      <c r="K75" s="4"/>
      <c r="L75" s="4">
        <f>+D75-H75</f>
        <v>0</v>
      </c>
      <c r="M75" s="4"/>
      <c r="N75" s="12">
        <f>IF(H75=0,0,L75/H75)</f>
        <v>0</v>
      </c>
      <c r="O75" s="10"/>
      <c r="P75" s="4"/>
      <c r="Q75" s="4"/>
      <c r="R75" s="12">
        <f>IF(P$12=0,0,P75/P$12)</f>
        <v>0</v>
      </c>
      <c r="S75" s="4"/>
      <c r="T75" s="4"/>
      <c r="U75" s="4"/>
      <c r="V75" s="12">
        <f>IF(T$12=0,0,T75/T$12)</f>
        <v>0</v>
      </c>
      <c r="W75" s="4"/>
      <c r="X75" s="4">
        <f>+P75-T75</f>
        <v>0</v>
      </c>
      <c r="Y75" s="4"/>
      <c r="Z75" s="12">
        <f>IF(T75=0,0,X75/T75)</f>
        <v>0</v>
      </c>
    </row>
    <row r="76" spans="1:26" x14ac:dyDescent="0.3">
      <c r="A76" s="9"/>
      <c r="B76" s="10"/>
      <c r="C76" s="10"/>
      <c r="D76" s="2"/>
      <c r="E76" s="2"/>
      <c r="F76" s="6"/>
      <c r="G76" s="2"/>
      <c r="H76" s="2"/>
      <c r="I76" s="2"/>
      <c r="J76" s="6"/>
      <c r="K76" s="2"/>
      <c r="L76" s="2"/>
      <c r="M76" s="2"/>
      <c r="N76" s="6"/>
      <c r="O76" s="10"/>
      <c r="P76" s="2"/>
      <c r="Q76" s="2"/>
      <c r="R76" s="6"/>
      <c r="S76" s="2"/>
      <c r="T76" s="2"/>
      <c r="U76" s="2"/>
      <c r="V76" s="6"/>
      <c r="W76" s="2"/>
      <c r="X76" s="2"/>
      <c r="Y76" s="2"/>
      <c r="Z76" s="6"/>
    </row>
    <row r="77" spans="1:26" s="23" customFormat="1" ht="15" thickBot="1" x14ac:dyDescent="0.35">
      <c r="A77" s="10"/>
      <c r="B77" s="26" t="s">
        <v>126</v>
      </c>
      <c r="C77" s="26"/>
      <c r="D77" s="35">
        <f>+D73-D75</f>
        <v>-58630.38</v>
      </c>
      <c r="E77" s="13"/>
      <c r="F77" s="30">
        <f>IF(D$12=0,0,D77/D$12)</f>
        <v>0</v>
      </c>
      <c r="G77" s="13"/>
      <c r="H77" s="35">
        <f>+H73-H75</f>
        <v>-54242.831462107686</v>
      </c>
      <c r="I77" s="13"/>
      <c r="J77" s="30">
        <f>IF(H$12=0,0,H77/H$12)</f>
        <v>0</v>
      </c>
      <c r="K77" s="16"/>
      <c r="L77" s="35">
        <f>D77-H77</f>
        <v>-4387.5485378923113</v>
      </c>
      <c r="M77" s="16"/>
      <c r="N77" s="30">
        <f>IF(H77=0,0,L77/H77)</f>
        <v>8.0887159088612715E-2</v>
      </c>
      <c r="O77" s="25"/>
      <c r="P77" s="35">
        <f>+P73-P75</f>
        <v>-58630.38</v>
      </c>
      <c r="Q77" s="13"/>
      <c r="R77" s="30">
        <f>IF(P$12=0,0,P77/P$12)</f>
        <v>0</v>
      </c>
      <c r="S77" s="13"/>
      <c r="T77" s="35">
        <f>+T73-T75</f>
        <v>-54242.831462107686</v>
      </c>
      <c r="U77" s="13"/>
      <c r="V77" s="30">
        <f>IF(T$12=0,0,T77/T$12)</f>
        <v>0</v>
      </c>
      <c r="W77" s="16"/>
      <c r="X77" s="35">
        <f>P77-T77</f>
        <v>-4387.5485378923113</v>
      </c>
      <c r="Y77" s="16"/>
      <c r="Z77" s="30">
        <f>IF(T77=0,0,X77/T77)</f>
        <v>8.0887159088612715E-2</v>
      </c>
    </row>
    <row r="78" spans="1:26" ht="15" thickTop="1" x14ac:dyDescent="0.3">
      <c r="A78" s="9"/>
      <c r="B78" s="9"/>
      <c r="C78" s="9"/>
      <c r="D78" s="2"/>
      <c r="E78" s="2"/>
      <c r="F78" s="6"/>
      <c r="G78" s="2"/>
      <c r="H78" s="2"/>
      <c r="I78" s="2"/>
      <c r="J78" s="6"/>
      <c r="K78" s="2"/>
      <c r="L78" s="2"/>
      <c r="M78" s="2"/>
      <c r="N78" s="6"/>
      <c r="P78" s="2"/>
      <c r="Q78" s="2"/>
      <c r="R78" s="6"/>
      <c r="S78" s="2"/>
      <c r="T78" s="2"/>
      <c r="U78" s="2"/>
      <c r="V78" s="6"/>
      <c r="W78" s="2"/>
      <c r="X78" s="2"/>
      <c r="Y78" s="2"/>
      <c r="Z78" s="6"/>
    </row>
    <row r="79" spans="1:26" x14ac:dyDescent="0.3">
      <c r="A79" s="9"/>
      <c r="B79" s="9"/>
      <c r="C79" s="9"/>
      <c r="D79" s="2"/>
      <c r="E79" s="2"/>
      <c r="F79" s="6"/>
      <c r="G79" s="2"/>
      <c r="H79" s="2"/>
      <c r="I79" s="2"/>
      <c r="J79" s="6"/>
      <c r="K79" s="2"/>
      <c r="L79" s="2"/>
      <c r="M79" s="2"/>
      <c r="N79" s="6"/>
      <c r="P79" s="2"/>
      <c r="Q79" s="2"/>
      <c r="R79" s="6"/>
      <c r="S79" s="2"/>
      <c r="T79" s="2"/>
      <c r="U79" s="2"/>
      <c r="V79" s="6"/>
      <c r="W79" s="2"/>
      <c r="X79" s="2"/>
      <c r="Y79" s="2"/>
      <c r="Z79" s="6"/>
    </row>
    <row r="80" spans="1:26" s="23" customFormat="1" ht="15" thickBot="1" x14ac:dyDescent="0.35">
      <c r="A80" s="10"/>
      <c r="B80" s="26" t="s">
        <v>294</v>
      </c>
      <c r="C80" s="26"/>
      <c r="D80" s="33">
        <f>SUM(D77:D79)</f>
        <v>-58630.38</v>
      </c>
      <c r="E80" s="13"/>
      <c r="F80" s="31">
        <f>IF(D$12=0,0,D80/D$12)</f>
        <v>0</v>
      </c>
      <c r="G80" s="13"/>
      <c r="H80" s="33">
        <f>SUM(H77:H79)</f>
        <v>-54242.831462107686</v>
      </c>
      <c r="I80" s="13"/>
      <c r="J80" s="31">
        <f>IF(H$12=0,0,H80/H$12)</f>
        <v>0</v>
      </c>
      <c r="K80" s="16"/>
      <c r="L80" s="33">
        <f>+D80-H80</f>
        <v>-4387.5485378923113</v>
      </c>
      <c r="M80" s="16"/>
      <c r="N80" s="31">
        <f>IF(H80=0,0,L80/H80)</f>
        <v>8.0887159088612715E-2</v>
      </c>
      <c r="O80" s="25"/>
      <c r="P80" s="33">
        <f>SUM(P77:P79)</f>
        <v>-58630.38</v>
      </c>
      <c r="Q80" s="13"/>
      <c r="R80" s="31">
        <f>IF(P$12=0,0,P80/P$12)</f>
        <v>0</v>
      </c>
      <c r="S80" s="13"/>
      <c r="T80" s="33">
        <f>SUM(T77:T79)</f>
        <v>-54242.831462107686</v>
      </c>
      <c r="U80" s="13"/>
      <c r="V80" s="31">
        <f>IF(T$12=0,0,T80/T$12)</f>
        <v>0</v>
      </c>
      <c r="W80" s="16"/>
      <c r="X80" s="33">
        <f>+P80-T80</f>
        <v>-4387.5485378923113</v>
      </c>
      <c r="Y80" s="16"/>
      <c r="Z80" s="31">
        <f>IF(T80=0,0,X80/T80)</f>
        <v>8.0887159088612715E-2</v>
      </c>
    </row>
    <row r="81" spans="1:24" ht="15" thickTop="1" x14ac:dyDescent="0.3">
      <c r="A81" s="9"/>
      <c r="C81" s="9"/>
      <c r="D81" s="18"/>
      <c r="E81" s="18"/>
      <c r="G81" s="18"/>
      <c r="H81" s="18"/>
      <c r="I81" s="18"/>
      <c r="J81" s="43"/>
      <c r="K81" s="18"/>
      <c r="L81" s="18"/>
      <c r="M81" s="18"/>
      <c r="P81" s="18"/>
      <c r="Q81" s="18"/>
      <c r="R81" s="43"/>
      <c r="S81" s="18"/>
      <c r="T81" s="18"/>
      <c r="U81" s="18"/>
      <c r="V81" s="43"/>
      <c r="W81" s="18"/>
      <c r="X81" s="18"/>
    </row>
    <row r="82" spans="1:24" x14ac:dyDescent="0.3">
      <c r="A82" s="9"/>
      <c r="B82" s="54">
        <v>44462.64548684028</v>
      </c>
      <c r="D82" s="18"/>
      <c r="E82" s="18"/>
      <c r="G82" s="18"/>
      <c r="H82" s="18"/>
      <c r="I82" s="18"/>
      <c r="J82" s="43"/>
      <c r="K82" s="18"/>
      <c r="L82" s="18"/>
      <c r="M82" s="18"/>
      <c r="P82" s="18"/>
      <c r="Q82" s="18"/>
      <c r="R82" s="43"/>
      <c r="S82" s="18"/>
      <c r="T82" s="18"/>
      <c r="U82" s="18"/>
      <c r="V82" s="43"/>
      <c r="W82" s="18"/>
      <c r="X82" s="18"/>
    </row>
    <row r="83" spans="1:24" x14ac:dyDescent="0.3">
      <c r="A83" s="9"/>
      <c r="B83" s="59" t="s">
        <v>56</v>
      </c>
      <c r="D83" s="18"/>
      <c r="E83" s="18"/>
      <c r="G83" s="18"/>
      <c r="H83" s="18"/>
      <c r="I83" s="18"/>
      <c r="J83" s="43"/>
      <c r="K83" s="18"/>
      <c r="L83" s="18"/>
      <c r="M83" s="18"/>
      <c r="P83" s="18"/>
      <c r="Q83" s="18"/>
      <c r="R83" s="43"/>
      <c r="S83" s="18"/>
      <c r="T83" s="18"/>
      <c r="U83" s="18"/>
      <c r="V83" s="43"/>
      <c r="W83" s="18"/>
      <c r="X83" s="18"/>
    </row>
    <row r="84" spans="1:24" x14ac:dyDescent="0.3">
      <c r="A84" s="9"/>
      <c r="B84" s="55"/>
      <c r="D84" s="18"/>
      <c r="E84" s="18"/>
      <c r="G84" s="18"/>
      <c r="H84" s="18"/>
      <c r="I84" s="18"/>
      <c r="J84" s="43"/>
      <c r="K84" s="18"/>
      <c r="L84" s="18"/>
      <c r="M84" s="18"/>
      <c r="P84" s="18"/>
      <c r="Q84" s="18"/>
      <c r="R84" s="43"/>
      <c r="S84" s="18"/>
      <c r="T84" s="18"/>
      <c r="U84" s="18"/>
      <c r="V84" s="43"/>
      <c r="W84" s="18"/>
      <c r="X84" s="18"/>
    </row>
    <row r="85" spans="1:24" x14ac:dyDescent="0.3">
      <c r="D85" s="18"/>
      <c r="E85" s="18"/>
      <c r="G85" s="18"/>
      <c r="H85" s="18"/>
      <c r="I85" s="18"/>
      <c r="J85" s="43"/>
      <c r="K85" s="18"/>
      <c r="L85" s="18"/>
      <c r="M85" s="18"/>
      <c r="P85" s="18"/>
      <c r="Q85" s="18"/>
      <c r="R85" s="43"/>
      <c r="S85" s="18"/>
      <c r="T85" s="18"/>
      <c r="U85" s="18"/>
      <c r="V85" s="43"/>
      <c r="W85" s="18"/>
      <c r="X85" s="18"/>
    </row>
  </sheetData>
  <pageMargins left="0.25" right="0.25" top="0.75" bottom="0.75" header="0.3" footer="0.3"/>
  <pageSetup scale="55" fitToWidth="2" orientation="landscape"/>
  <drawing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>
    <tabColor rgb="FF92D050"/>
    <outlinePr summaryBelow="0" summaryRight="0"/>
  </sheetPr>
  <dimension ref="A2:Z7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50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7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50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7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7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7" customWidth="1" outlineLevel="1"/>
  </cols>
  <sheetData>
    <row r="2" spans="1:26" x14ac:dyDescent="0.3">
      <c r="D2" s="57" t="s">
        <v>23</v>
      </c>
    </row>
    <row r="3" spans="1:26" x14ac:dyDescent="0.3">
      <c r="D3" s="57" t="s">
        <v>237</v>
      </c>
      <c r="E3" s="17"/>
      <c r="F3" s="51"/>
      <c r="G3" s="17"/>
      <c r="H3" s="17"/>
      <c r="I3" s="17"/>
      <c r="J3" s="39"/>
      <c r="K3" s="17"/>
      <c r="L3" s="17"/>
      <c r="M3" s="17"/>
      <c r="N3" s="51"/>
      <c r="O3" s="61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3">
      <c r="D4" s="57" t="str">
        <f>CONCATENATE("Period ",RIGHT(202201,2),", ",2022)</f>
        <v>Period 01, 2022</v>
      </c>
      <c r="E4" s="17"/>
      <c r="F4" s="51"/>
      <c r="G4" s="17"/>
      <c r="H4" s="17"/>
      <c r="I4" s="17"/>
      <c r="J4" s="39"/>
      <c r="K4" s="17"/>
      <c r="L4" s="17"/>
      <c r="M4" s="17"/>
      <c r="N4" s="51"/>
      <c r="O4" s="61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3">
      <c r="A5" s="23"/>
      <c r="D5" s="64">
        <v>44408</v>
      </c>
      <c r="E5" s="17"/>
      <c r="F5" s="51"/>
      <c r="G5" s="17"/>
      <c r="H5" s="17"/>
      <c r="I5" s="17"/>
      <c r="J5" s="39"/>
      <c r="K5" s="17"/>
      <c r="L5" s="17"/>
      <c r="M5" s="17"/>
      <c r="N5" s="51"/>
      <c r="O5" s="61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3">
      <c r="A6" s="23"/>
      <c r="B6" s="47"/>
      <c r="C6" s="47"/>
      <c r="D6" s="23" t="str">
        <f>CONCATENATE("Department ","204", " - ", "Information Technology")</f>
        <v>Department 204 - Information Technology</v>
      </c>
      <c r="E6" s="17"/>
      <c r="F6" s="51"/>
      <c r="G6" s="17"/>
      <c r="H6" s="17"/>
      <c r="I6" s="17"/>
      <c r="J6" s="39"/>
      <c r="K6" s="17"/>
      <c r="L6" s="17"/>
      <c r="M6" s="17"/>
      <c r="N6" s="51"/>
      <c r="O6" s="60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3">
      <c r="B7" s="63"/>
    </row>
    <row r="8" spans="1:26" x14ac:dyDescent="0.3">
      <c r="B8" s="63"/>
    </row>
    <row r="9" spans="1:26" x14ac:dyDescent="0.3">
      <c r="B9" s="9"/>
      <c r="C9" s="9"/>
      <c r="D9" s="15" t="s">
        <v>292</v>
      </c>
      <c r="E9" s="15"/>
      <c r="F9" s="38"/>
      <c r="G9" s="15"/>
      <c r="H9" s="15"/>
      <c r="I9" s="15"/>
      <c r="J9" s="49"/>
      <c r="K9" s="15"/>
      <c r="L9" s="15"/>
      <c r="M9" s="15"/>
      <c r="N9" s="38"/>
      <c r="P9" s="15" t="s">
        <v>39</v>
      </c>
      <c r="Q9" s="15"/>
      <c r="R9" s="38"/>
      <c r="S9" s="15"/>
      <c r="T9" s="15"/>
      <c r="U9" s="15"/>
      <c r="V9" s="49"/>
      <c r="W9" s="15"/>
      <c r="X9" s="15"/>
      <c r="Y9" s="15"/>
      <c r="Z9" s="38"/>
    </row>
    <row r="10" spans="1:26" x14ac:dyDescent="0.3">
      <c r="A10" s="10"/>
      <c r="B10" s="53"/>
      <c r="C10" s="10"/>
      <c r="D10" s="42" t="s">
        <v>57</v>
      </c>
      <c r="E10" s="34"/>
      <c r="F10" s="40" t="s">
        <v>40</v>
      </c>
      <c r="G10" s="34"/>
      <c r="H10" s="45" t="s">
        <v>238</v>
      </c>
      <c r="I10" s="34"/>
      <c r="J10" s="48" t="s">
        <v>58</v>
      </c>
      <c r="K10" s="10"/>
      <c r="L10" s="42" t="s">
        <v>127</v>
      </c>
      <c r="M10" s="10"/>
      <c r="N10" s="40" t="s">
        <v>258</v>
      </c>
      <c r="O10" s="10"/>
      <c r="P10" s="56" t="s">
        <v>57</v>
      </c>
      <c r="Q10" s="34"/>
      <c r="R10" s="40" t="s">
        <v>40</v>
      </c>
      <c r="S10" s="34"/>
      <c r="T10" s="45" t="s">
        <v>238</v>
      </c>
      <c r="U10" s="34"/>
      <c r="V10" s="48" t="s">
        <v>58</v>
      </c>
      <c r="W10" s="10"/>
      <c r="X10" s="42" t="s">
        <v>127</v>
      </c>
      <c r="Y10" s="10"/>
      <c r="Z10" s="40" t="s">
        <v>258</v>
      </c>
    </row>
    <row r="11" spans="1:26" ht="15.6" x14ac:dyDescent="0.3">
      <c r="A11" s="9"/>
      <c r="B11" s="58"/>
      <c r="C11" s="9"/>
      <c r="D11" s="9"/>
      <c r="E11" s="9"/>
      <c r="F11" s="6"/>
      <c r="G11" s="9"/>
      <c r="H11" s="9"/>
      <c r="I11" s="9"/>
      <c r="J11" s="46"/>
      <c r="K11" s="9"/>
      <c r="L11" s="9"/>
      <c r="M11" s="9"/>
      <c r="N11" s="6"/>
      <c r="P11" s="9"/>
      <c r="Q11" s="9"/>
      <c r="R11" s="6"/>
      <c r="S11" s="9"/>
      <c r="T11" s="9"/>
      <c r="U11" s="9"/>
      <c r="V11" s="46"/>
      <c r="W11" s="9"/>
      <c r="X11" s="9"/>
      <c r="Y11" s="9"/>
      <c r="Z11" s="6"/>
    </row>
    <row r="12" spans="1:26" s="23" customFormat="1" x14ac:dyDescent="0.3">
      <c r="A12" s="10"/>
      <c r="B12" s="25" t="s">
        <v>140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3">
      <c r="A13" s="9"/>
      <c r="B13" s="10"/>
      <c r="C13" s="9"/>
      <c r="D13" s="2"/>
      <c r="E13" s="2"/>
      <c r="F13" s="6"/>
      <c r="G13" s="2"/>
      <c r="H13" s="2"/>
      <c r="I13" s="2"/>
      <c r="J13" s="6"/>
      <c r="K13" s="2"/>
      <c r="L13" s="2"/>
      <c r="M13" s="2"/>
      <c r="N13" s="6"/>
      <c r="P13" s="2"/>
      <c r="Q13" s="2"/>
      <c r="R13" s="6"/>
      <c r="S13" s="2"/>
      <c r="T13" s="2"/>
      <c r="U13" s="2"/>
      <c r="V13" s="6"/>
      <c r="W13" s="2"/>
      <c r="X13" s="2"/>
      <c r="Y13" s="2"/>
      <c r="Z13" s="6"/>
    </row>
    <row r="14" spans="1:26" s="23" customFormat="1" x14ac:dyDescent="0.3">
      <c r="A14" s="10"/>
      <c r="B14" s="25" t="s">
        <v>257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3">
      <c r="A15" s="9"/>
      <c r="B15" s="10"/>
      <c r="C15" s="10"/>
      <c r="D15" s="2"/>
      <c r="E15" s="2"/>
      <c r="F15" s="6"/>
      <c r="G15" s="2"/>
      <c r="H15" s="2"/>
      <c r="I15" s="2"/>
      <c r="J15" s="6"/>
      <c r="K15" s="2"/>
      <c r="L15" s="2"/>
      <c r="M15" s="2"/>
      <c r="N15" s="6"/>
      <c r="O15" s="10"/>
      <c r="P15" s="2"/>
      <c r="Q15" s="2"/>
      <c r="R15" s="6"/>
      <c r="S15" s="2"/>
      <c r="T15" s="2"/>
      <c r="U15" s="2"/>
      <c r="V15" s="6"/>
      <c r="W15" s="2"/>
      <c r="X15" s="2"/>
      <c r="Y15" s="2"/>
      <c r="Z15" s="6"/>
    </row>
    <row r="16" spans="1:26" s="23" customFormat="1" x14ac:dyDescent="0.3">
      <c r="A16" s="10"/>
      <c r="B16" s="26" t="s">
        <v>108</v>
      </c>
      <c r="C16" s="26"/>
      <c r="D16" s="21">
        <f>D12-D14</f>
        <v>0</v>
      </c>
      <c r="E16" s="13"/>
      <c r="F16" s="22">
        <f>IF(D$12=0,0,D16/D$12)</f>
        <v>0</v>
      </c>
      <c r="G16" s="13"/>
      <c r="H16" s="21">
        <f>H12-H14</f>
        <v>0</v>
      </c>
      <c r="I16" s="13"/>
      <c r="J16" s="22">
        <f>IF(H$12=0,0,H16/H$12)</f>
        <v>0</v>
      </c>
      <c r="K16" s="16"/>
      <c r="L16" s="21">
        <f>+D16-H16</f>
        <v>0</v>
      </c>
      <c r="M16" s="16"/>
      <c r="N16" s="22">
        <f>IF(H16=0,0,L16/H16)</f>
        <v>0</v>
      </c>
      <c r="O16" s="25"/>
      <c r="P16" s="21">
        <f>P12-P14</f>
        <v>0</v>
      </c>
      <c r="Q16" s="13"/>
      <c r="R16" s="22">
        <f>IF(P$12=0,0,P16/P$12)</f>
        <v>0</v>
      </c>
      <c r="S16" s="13"/>
      <c r="T16" s="21">
        <f>T12-T14</f>
        <v>0</v>
      </c>
      <c r="U16" s="13"/>
      <c r="V16" s="22">
        <f>IF(T$12=0,0,T16/T$12)</f>
        <v>0</v>
      </c>
      <c r="W16" s="16"/>
      <c r="X16" s="21">
        <f>+P16-T16</f>
        <v>0</v>
      </c>
      <c r="Y16" s="16"/>
      <c r="Z16" s="22">
        <f>IF(T16=0,0,X16/T16)</f>
        <v>0</v>
      </c>
    </row>
    <row r="17" spans="1:26" x14ac:dyDescent="0.3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3">
      <c r="A18" s="10"/>
      <c r="B18" s="25" t="s">
        <v>295</v>
      </c>
      <c r="C18" s="10"/>
      <c r="D18" s="20">
        <f>SUM(OSRRefD22x_0)</f>
        <v>47853.990000000005</v>
      </c>
      <c r="E18" s="20"/>
      <c r="F18" s="32">
        <f t="shared" ref="F18:F28" si="0">IF(D$12=0,0,D18/D$12)</f>
        <v>0</v>
      </c>
      <c r="G18" s="20"/>
      <c r="H18" s="20">
        <f>SUM(OSRRefH22x_0)</f>
        <v>58991.082559230737</v>
      </c>
      <c r="I18" s="20"/>
      <c r="J18" s="32">
        <f t="shared" ref="J18:J28" si="1">IF(H$12=0,0,H18/H$12)</f>
        <v>0</v>
      </c>
      <c r="K18" s="4"/>
      <c r="L18" s="20">
        <f t="shared" ref="L18:L28" si="2">+D18-H18</f>
        <v>-11137.092559230732</v>
      </c>
      <c r="M18" s="4"/>
      <c r="N18" s="32">
        <f t="shared" ref="N18:N28" si="3">IF(H18=0,0,L18/H18)</f>
        <v>-0.18879281538948525</v>
      </c>
      <c r="O18" s="10"/>
      <c r="P18" s="20">
        <f>SUM(OSRRefP22x_0)</f>
        <v>47853.990000000005</v>
      </c>
      <c r="Q18" s="20"/>
      <c r="R18" s="32">
        <f t="shared" ref="R18:R28" si="4">IF(P$12=0,0,P18/P$12)</f>
        <v>0</v>
      </c>
      <c r="S18" s="20"/>
      <c r="T18" s="20">
        <f>SUM(OSRRefT22x_0)</f>
        <v>58991.082559230737</v>
      </c>
      <c r="U18" s="20"/>
      <c r="V18" s="32">
        <f t="shared" ref="V18:V28" si="5">IF(T$12=0,0,T18/T$12)</f>
        <v>0</v>
      </c>
      <c r="W18" s="4"/>
      <c r="X18" s="20">
        <f t="shared" ref="X18:X28" si="6">+P18-T18</f>
        <v>-11137.092559230732</v>
      </c>
      <c r="Y18" s="4"/>
      <c r="Z18" s="32">
        <f t="shared" ref="Z18:Z28" si="7">IF(T18=0,0,X18/T18)</f>
        <v>-0.18879281538948525</v>
      </c>
    </row>
    <row r="19" spans="1:26" s="27" customFormat="1" outlineLevel="1" collapsed="1" x14ac:dyDescent="0.3">
      <c r="A19" s="28"/>
      <c r="B19" s="14" t="str">
        <f>CONCATENATE("     ","*Benefits                                         ")</f>
        <v xml:space="preserve">     *Benefits                                         </v>
      </c>
      <c r="C19" s="14"/>
      <c r="D19" s="1">
        <f>SUM(OSRRefD22_0x_0)</f>
        <v>10721.180000000002</v>
      </c>
      <c r="E19" s="1"/>
      <c r="F19" s="5">
        <f t="shared" si="0"/>
        <v>0</v>
      </c>
      <c r="G19" s="1"/>
      <c r="H19" s="1">
        <f>SUM(OSRRefH22_0x_0)</f>
        <v>12494.121020769242</v>
      </c>
      <c r="I19" s="1"/>
      <c r="J19" s="5">
        <f t="shared" si="1"/>
        <v>0</v>
      </c>
      <c r="K19" s="1"/>
      <c r="L19" s="1">
        <f t="shared" si="2"/>
        <v>-1772.9410207692399</v>
      </c>
      <c r="M19" s="1"/>
      <c r="N19" s="5">
        <f t="shared" si="3"/>
        <v>-0.14190202078417863</v>
      </c>
      <c r="O19" s="14"/>
      <c r="P19" s="1">
        <f>SUM(OSRRefP22_0x_0)</f>
        <v>10721.180000000002</v>
      </c>
      <c r="Q19" s="1"/>
      <c r="R19" s="5">
        <f t="shared" si="4"/>
        <v>0</v>
      </c>
      <c r="S19" s="1"/>
      <c r="T19" s="1">
        <f>SUM(OSRRefT22_0x_0)</f>
        <v>12494.121020769242</v>
      </c>
      <c r="U19" s="1"/>
      <c r="V19" s="5">
        <f t="shared" si="5"/>
        <v>0</v>
      </c>
      <c r="W19" s="1"/>
      <c r="X19" s="1">
        <f t="shared" si="6"/>
        <v>-1772.9410207692399</v>
      </c>
      <c r="Y19" s="1"/>
      <c r="Z19" s="5">
        <f t="shared" si="7"/>
        <v>-0.14190202078417863</v>
      </c>
    </row>
    <row r="20" spans="1:26" s="24" customFormat="1" hidden="1" outlineLevel="2" x14ac:dyDescent="0.3">
      <c r="A20" s="29"/>
      <c r="B20" s="11" t="str">
        <f>CONCATENATE("          ", "6111", " - ", "F.I.C.A.")</f>
        <v xml:space="preserve">          6111 - F.I.C.A.</v>
      </c>
      <c r="C20" s="11"/>
      <c r="D20" s="8">
        <v>1399.92</v>
      </c>
      <c r="E20" s="3"/>
      <c r="F20" s="7">
        <f t="shared" si="0"/>
        <v>0</v>
      </c>
      <c r="G20" s="3"/>
      <c r="H20" s="8">
        <v>2263.5160361538501</v>
      </c>
      <c r="I20" s="3"/>
      <c r="J20" s="7">
        <f t="shared" si="1"/>
        <v>0</v>
      </c>
      <c r="K20" s="3"/>
      <c r="L20" s="8">
        <f t="shared" si="2"/>
        <v>-863.59603615385004</v>
      </c>
      <c r="M20" s="3"/>
      <c r="N20" s="7">
        <f t="shared" si="3"/>
        <v>-0.38152856987099865</v>
      </c>
      <c r="O20" s="11"/>
      <c r="P20" s="8">
        <v>1399.92</v>
      </c>
      <c r="Q20" s="3"/>
      <c r="R20" s="7">
        <f t="shared" si="4"/>
        <v>0</v>
      </c>
      <c r="S20" s="3"/>
      <c r="T20" s="8">
        <v>2263.5160361538501</v>
      </c>
      <c r="U20" s="3"/>
      <c r="V20" s="7">
        <f t="shared" si="5"/>
        <v>0</v>
      </c>
      <c r="W20" s="3"/>
      <c r="X20" s="8">
        <f t="shared" si="6"/>
        <v>-863.59603615385004</v>
      </c>
      <c r="Y20" s="3"/>
      <c r="Z20" s="7">
        <f t="shared" si="7"/>
        <v>-0.38152856987099865</v>
      </c>
    </row>
    <row r="21" spans="1:26" s="24" customFormat="1" hidden="1" outlineLevel="2" x14ac:dyDescent="0.3">
      <c r="A21" s="29"/>
      <c r="B21" s="11" t="str">
        <f>CONCATENATE("          ", "6112", " - ", "COMPENSATION INSURANCE")</f>
        <v xml:space="preserve">          6112 - COMPENSATION INSURANCE</v>
      </c>
      <c r="C21" s="11"/>
      <c r="D21" s="8">
        <v>236.07</v>
      </c>
      <c r="E21" s="3"/>
      <c r="F21" s="7">
        <f t="shared" si="0"/>
        <v>0</v>
      </c>
      <c r="G21" s="3"/>
      <c r="H21" s="8">
        <v>91.688223076923094</v>
      </c>
      <c r="I21" s="3"/>
      <c r="J21" s="7">
        <f t="shared" si="1"/>
        <v>0</v>
      </c>
      <c r="K21" s="3"/>
      <c r="L21" s="8">
        <f t="shared" si="2"/>
        <v>144.3817769230769</v>
      </c>
      <c r="M21" s="3"/>
      <c r="N21" s="7">
        <f t="shared" si="3"/>
        <v>1.5747036214448809</v>
      </c>
      <c r="O21" s="11"/>
      <c r="P21" s="8">
        <v>236.07</v>
      </c>
      <c r="Q21" s="3"/>
      <c r="R21" s="7">
        <f t="shared" si="4"/>
        <v>0</v>
      </c>
      <c r="S21" s="3"/>
      <c r="T21" s="8">
        <v>91.688223076923094</v>
      </c>
      <c r="U21" s="3"/>
      <c r="V21" s="7">
        <f t="shared" si="5"/>
        <v>0</v>
      </c>
      <c r="W21" s="3"/>
      <c r="X21" s="8">
        <f t="shared" si="6"/>
        <v>144.3817769230769</v>
      </c>
      <c r="Y21" s="3"/>
      <c r="Z21" s="7">
        <f t="shared" si="7"/>
        <v>1.5747036214448809</v>
      </c>
    </row>
    <row r="22" spans="1:26" s="24" customFormat="1" hidden="1" outlineLevel="2" x14ac:dyDescent="0.3">
      <c r="A22" s="29"/>
      <c r="B22" s="11" t="str">
        <f>CONCATENATE("          ", "6113", " - ", "GROUP INSURANCE")</f>
        <v xml:space="preserve">          6113 - GROUP INSURANCE</v>
      </c>
      <c r="C22" s="11"/>
      <c r="D22" s="8">
        <v>4833.2700000000004</v>
      </c>
      <c r="E22" s="3"/>
      <c r="F22" s="7">
        <f t="shared" si="0"/>
        <v>0</v>
      </c>
      <c r="G22" s="3"/>
      <c r="H22" s="8">
        <v>5336</v>
      </c>
      <c r="I22" s="3"/>
      <c r="J22" s="7">
        <f t="shared" si="1"/>
        <v>0</v>
      </c>
      <c r="K22" s="3"/>
      <c r="L22" s="8">
        <f t="shared" si="2"/>
        <v>-502.72999999999956</v>
      </c>
      <c r="M22" s="3"/>
      <c r="N22" s="7">
        <f t="shared" si="3"/>
        <v>-9.4214767616191825E-2</v>
      </c>
      <c r="O22" s="11"/>
      <c r="P22" s="8">
        <v>4833.2700000000004</v>
      </c>
      <c r="Q22" s="3"/>
      <c r="R22" s="7">
        <f t="shared" si="4"/>
        <v>0</v>
      </c>
      <c r="S22" s="3"/>
      <c r="T22" s="8">
        <v>5336</v>
      </c>
      <c r="U22" s="3"/>
      <c r="V22" s="7">
        <f t="shared" si="5"/>
        <v>0</v>
      </c>
      <c r="W22" s="3"/>
      <c r="X22" s="8">
        <f t="shared" si="6"/>
        <v>-502.72999999999956</v>
      </c>
      <c r="Y22" s="3"/>
      <c r="Z22" s="7">
        <f t="shared" si="7"/>
        <v>-9.4214767616191825E-2</v>
      </c>
    </row>
    <row r="23" spans="1:26" s="24" customFormat="1" hidden="1" outlineLevel="2" x14ac:dyDescent="0.3">
      <c r="A23" s="29"/>
      <c r="B23" s="11" t="str">
        <f>CONCATENATE("          ", "6114", " - ", "STATE UNEMPLOYMENT INSURANCE")</f>
        <v xml:space="preserve">          6114 - STATE UNEMPLOYMENT INSURANCE</v>
      </c>
      <c r="C23" s="11"/>
      <c r="D23" s="8">
        <v>47.58</v>
      </c>
      <c r="E23" s="3"/>
      <c r="F23" s="7">
        <f t="shared" si="0"/>
        <v>0</v>
      </c>
      <c r="G23" s="3"/>
      <c r="H23" s="8">
        <v>62.111376923076897</v>
      </c>
      <c r="I23" s="3"/>
      <c r="J23" s="7">
        <f t="shared" si="1"/>
        <v>0</v>
      </c>
      <c r="K23" s="3"/>
      <c r="L23" s="8">
        <f t="shared" si="2"/>
        <v>-14.531376923076898</v>
      </c>
      <c r="M23" s="3"/>
      <c r="N23" s="7">
        <f t="shared" si="3"/>
        <v>-0.23395676674618854</v>
      </c>
      <c r="O23" s="11"/>
      <c r="P23" s="8">
        <v>47.58</v>
      </c>
      <c r="Q23" s="3"/>
      <c r="R23" s="7">
        <f t="shared" si="4"/>
        <v>0</v>
      </c>
      <c r="S23" s="3"/>
      <c r="T23" s="8">
        <v>62.111376923076897</v>
      </c>
      <c r="U23" s="3"/>
      <c r="V23" s="7">
        <f t="shared" si="5"/>
        <v>0</v>
      </c>
      <c r="W23" s="3"/>
      <c r="X23" s="8">
        <f t="shared" si="6"/>
        <v>-14.531376923076898</v>
      </c>
      <c r="Y23" s="3"/>
      <c r="Z23" s="7">
        <f t="shared" si="7"/>
        <v>-0.23395676674618854</v>
      </c>
    </row>
    <row r="24" spans="1:26" s="24" customFormat="1" hidden="1" outlineLevel="2" x14ac:dyDescent="0.3">
      <c r="A24" s="29"/>
      <c r="B24" s="11" t="str">
        <f>CONCATENATE("          ", "6115", " - ", "P.E.R.S.")</f>
        <v xml:space="preserve">          6115 - P.E.R.S.</v>
      </c>
      <c r="C24" s="11"/>
      <c r="D24" s="8">
        <v>1834.11</v>
      </c>
      <c r="E24" s="3"/>
      <c r="F24" s="7">
        <f t="shared" si="0"/>
        <v>0</v>
      </c>
      <c r="G24" s="3"/>
      <c r="H24" s="8">
        <v>1958.98076923077</v>
      </c>
      <c r="I24" s="3"/>
      <c r="J24" s="7">
        <f t="shared" si="1"/>
        <v>0</v>
      </c>
      <c r="K24" s="3"/>
      <c r="L24" s="8">
        <f t="shared" si="2"/>
        <v>-124.87076923077007</v>
      </c>
      <c r="M24" s="3"/>
      <c r="N24" s="7">
        <f t="shared" si="3"/>
        <v>-6.374272335496324E-2</v>
      </c>
      <c r="O24" s="11"/>
      <c r="P24" s="8">
        <v>1834.11</v>
      </c>
      <c r="Q24" s="3"/>
      <c r="R24" s="7">
        <f t="shared" si="4"/>
        <v>0</v>
      </c>
      <c r="S24" s="3"/>
      <c r="T24" s="8">
        <v>1958.98076923077</v>
      </c>
      <c r="U24" s="3"/>
      <c r="V24" s="7">
        <f t="shared" si="5"/>
        <v>0</v>
      </c>
      <c r="W24" s="3"/>
      <c r="X24" s="8">
        <f t="shared" si="6"/>
        <v>-124.87076923077007</v>
      </c>
      <c r="Y24" s="3"/>
      <c r="Z24" s="7">
        <f t="shared" si="7"/>
        <v>-6.374272335496324E-2</v>
      </c>
    </row>
    <row r="25" spans="1:26" s="24" customFormat="1" hidden="1" outlineLevel="2" x14ac:dyDescent="0.3">
      <c r="A25" s="29"/>
      <c r="B25" s="11" t="str">
        <f>CONCATENATE("          ", "6116", " - ", "EDUCATIONAL BENEFITS")</f>
        <v xml:space="preserve">          6116 - EDUCATIONAL BENEFITS</v>
      </c>
      <c r="C25" s="11"/>
      <c r="D25" s="8"/>
      <c r="E25" s="3"/>
      <c r="F25" s="7">
        <f t="shared" si="0"/>
        <v>0</v>
      </c>
      <c r="G25" s="3"/>
      <c r="H25" s="8">
        <v>0</v>
      </c>
      <c r="I25" s="3"/>
      <c r="J25" s="7">
        <f t="shared" si="1"/>
        <v>0</v>
      </c>
      <c r="K25" s="3"/>
      <c r="L25" s="8">
        <f t="shared" si="2"/>
        <v>0</v>
      </c>
      <c r="M25" s="3"/>
      <c r="N25" s="7">
        <f t="shared" si="3"/>
        <v>0</v>
      </c>
      <c r="O25" s="11"/>
      <c r="P25" s="8"/>
      <c r="Q25" s="3"/>
      <c r="R25" s="7">
        <f t="shared" si="4"/>
        <v>0</v>
      </c>
      <c r="S25" s="3"/>
      <c r="T25" s="8">
        <v>0</v>
      </c>
      <c r="U25" s="3"/>
      <c r="V25" s="7">
        <f t="shared" si="5"/>
        <v>0</v>
      </c>
      <c r="W25" s="3"/>
      <c r="X25" s="8">
        <f t="shared" si="6"/>
        <v>0</v>
      </c>
      <c r="Y25" s="3"/>
      <c r="Z25" s="7">
        <f t="shared" si="7"/>
        <v>0</v>
      </c>
    </row>
    <row r="26" spans="1:26" s="24" customFormat="1" hidden="1" outlineLevel="2" x14ac:dyDescent="0.3">
      <c r="A26" s="29"/>
      <c r="B26" s="11" t="str">
        <f>CONCATENATE("          ", "6118", " - ", "VACATION")</f>
        <v xml:space="preserve">          6118 - VACATION</v>
      </c>
      <c r="C26" s="11"/>
      <c r="D26" s="8">
        <v>1390.88</v>
      </c>
      <c r="E26" s="3"/>
      <c r="F26" s="7">
        <f t="shared" si="0"/>
        <v>0</v>
      </c>
      <c r="G26" s="3"/>
      <c r="H26" s="8">
        <v>1138.9423076923099</v>
      </c>
      <c r="I26" s="3"/>
      <c r="J26" s="7">
        <f t="shared" si="1"/>
        <v>0</v>
      </c>
      <c r="K26" s="3"/>
      <c r="L26" s="8">
        <f t="shared" si="2"/>
        <v>251.93769230769021</v>
      </c>
      <c r="M26" s="3"/>
      <c r="N26" s="7">
        <f t="shared" si="3"/>
        <v>0.22120320810468325</v>
      </c>
      <c r="O26" s="11"/>
      <c r="P26" s="8">
        <v>1390.88</v>
      </c>
      <c r="Q26" s="3"/>
      <c r="R26" s="7">
        <f t="shared" si="4"/>
        <v>0</v>
      </c>
      <c r="S26" s="3"/>
      <c r="T26" s="8">
        <v>1138.9423076923099</v>
      </c>
      <c r="U26" s="3"/>
      <c r="V26" s="7">
        <f t="shared" si="5"/>
        <v>0</v>
      </c>
      <c r="W26" s="3"/>
      <c r="X26" s="8">
        <f t="shared" si="6"/>
        <v>251.93769230769021</v>
      </c>
      <c r="Y26" s="3"/>
      <c r="Z26" s="7">
        <f t="shared" si="7"/>
        <v>0.22120320810468325</v>
      </c>
    </row>
    <row r="27" spans="1:26" s="24" customFormat="1" hidden="1" outlineLevel="2" x14ac:dyDescent="0.3">
      <c r="A27" s="29"/>
      <c r="B27" s="11" t="str">
        <f>CONCATENATE("          ", "6119", " - ", "SICK LEAVE")</f>
        <v xml:space="preserve">          6119 - SICK LEAVE</v>
      </c>
      <c r="C27" s="11"/>
      <c r="D27" s="8">
        <v>844.06</v>
      </c>
      <c r="E27" s="3"/>
      <c r="F27" s="7">
        <f t="shared" si="0"/>
        <v>0</v>
      </c>
      <c r="G27" s="3"/>
      <c r="H27" s="8">
        <v>1342.88230769231</v>
      </c>
      <c r="I27" s="3"/>
      <c r="J27" s="7">
        <f t="shared" si="1"/>
        <v>0</v>
      </c>
      <c r="K27" s="3"/>
      <c r="L27" s="8">
        <f t="shared" si="2"/>
        <v>-498.82230769231001</v>
      </c>
      <c r="M27" s="3"/>
      <c r="N27" s="7">
        <f t="shared" si="3"/>
        <v>-0.37145645961299201</v>
      </c>
      <c r="O27" s="11"/>
      <c r="P27" s="8">
        <v>844.06</v>
      </c>
      <c r="Q27" s="3"/>
      <c r="R27" s="7">
        <f t="shared" si="4"/>
        <v>0</v>
      </c>
      <c r="S27" s="3"/>
      <c r="T27" s="8">
        <v>1342.88230769231</v>
      </c>
      <c r="U27" s="3"/>
      <c r="V27" s="7">
        <f t="shared" si="5"/>
        <v>0</v>
      </c>
      <c r="W27" s="3"/>
      <c r="X27" s="8">
        <f t="shared" si="6"/>
        <v>-498.82230769231001</v>
      </c>
      <c r="Y27" s="3"/>
      <c r="Z27" s="7">
        <f t="shared" si="7"/>
        <v>-0.37145645961299201</v>
      </c>
    </row>
    <row r="28" spans="1:26" s="24" customFormat="1" hidden="1" outlineLevel="2" x14ac:dyDescent="0.3">
      <c r="A28" s="29"/>
      <c r="B28" s="11" t="str">
        <f>CONCATENATE("          ", "6156", " - ", "EMPLOYEE MEALS")</f>
        <v xml:space="preserve">          6156 - EMPLOYEE MEALS</v>
      </c>
      <c r="C28" s="11"/>
      <c r="D28" s="8">
        <v>135.29</v>
      </c>
      <c r="E28" s="3"/>
      <c r="F28" s="7">
        <f t="shared" si="0"/>
        <v>0</v>
      </c>
      <c r="G28" s="3"/>
      <c r="H28" s="8">
        <v>300</v>
      </c>
      <c r="I28" s="3"/>
      <c r="J28" s="7">
        <f t="shared" si="1"/>
        <v>0</v>
      </c>
      <c r="K28" s="3"/>
      <c r="L28" s="8">
        <f t="shared" si="2"/>
        <v>-164.71</v>
      </c>
      <c r="M28" s="3"/>
      <c r="N28" s="7">
        <f t="shared" si="3"/>
        <v>-0.54903333333333337</v>
      </c>
      <c r="O28" s="11"/>
      <c r="P28" s="8">
        <v>135.29</v>
      </c>
      <c r="Q28" s="3"/>
      <c r="R28" s="7">
        <f t="shared" si="4"/>
        <v>0</v>
      </c>
      <c r="S28" s="3"/>
      <c r="T28" s="8">
        <v>300</v>
      </c>
      <c r="U28" s="3"/>
      <c r="V28" s="7">
        <f t="shared" si="5"/>
        <v>0</v>
      </c>
      <c r="W28" s="3"/>
      <c r="X28" s="8">
        <f t="shared" si="6"/>
        <v>-164.71</v>
      </c>
      <c r="Y28" s="3"/>
      <c r="Z28" s="7">
        <f t="shared" si="7"/>
        <v>-0.54903333333333337</v>
      </c>
    </row>
    <row r="29" spans="1:26" s="27" customFormat="1" outlineLevel="1" collapsed="1" x14ac:dyDescent="0.3">
      <c r="A29" s="28"/>
      <c r="B29" s="14" t="str">
        <f>CONCATENATE("     ","*Payroll                                          ")</f>
        <v xml:space="preserve">     *Payroll                                          </v>
      </c>
      <c r="C29" s="14"/>
      <c r="D29" s="1">
        <f>SUM(OSRRefD22_1x_0)</f>
        <v>21142.27</v>
      </c>
      <c r="E29" s="1"/>
      <c r="F29" s="5">
        <f t="shared" ref="F29:F39" si="8">IF(D$12=0,0,D29/D$12)</f>
        <v>0</v>
      </c>
      <c r="G29" s="1"/>
      <c r="H29" s="1">
        <f>SUM(OSRRefH22_1x_0)</f>
        <v>27298.961538461499</v>
      </c>
      <c r="I29" s="1"/>
      <c r="J29" s="5">
        <f t="shared" ref="J29:J39" si="9">IF(H$12=0,0,H29/H$12)</f>
        <v>0</v>
      </c>
      <c r="K29" s="1"/>
      <c r="L29" s="1">
        <f t="shared" ref="L29:L39" si="10">+D29-H29</f>
        <v>-6156.6915384614986</v>
      </c>
      <c r="M29" s="1"/>
      <c r="N29" s="5">
        <f t="shared" ref="N29:N39" si="11">IF(H29=0,0,L29/H29)</f>
        <v>-0.22552841542295804</v>
      </c>
      <c r="O29" s="14"/>
      <c r="P29" s="1">
        <f>SUM(OSRRefP22_1x_0)</f>
        <v>21142.27</v>
      </c>
      <c r="Q29" s="1"/>
      <c r="R29" s="5">
        <f t="shared" ref="R29:R39" si="12">IF(P$12=0,0,P29/P$12)</f>
        <v>0</v>
      </c>
      <c r="S29" s="1"/>
      <c r="T29" s="1">
        <f>SUM(OSRRefT22_1x_0)</f>
        <v>27298.961538461499</v>
      </c>
      <c r="U29" s="1"/>
      <c r="V29" s="5">
        <f t="shared" ref="V29:V39" si="13">IF(T$12=0,0,T29/T$12)</f>
        <v>0</v>
      </c>
      <c r="W29" s="1"/>
      <c r="X29" s="1">
        <f t="shared" ref="X29:X39" si="14">+P29-T29</f>
        <v>-6156.6915384614986</v>
      </c>
      <c r="Y29" s="1"/>
      <c r="Z29" s="5">
        <f t="shared" ref="Z29:Z39" si="15">IF(T29=0,0,X29/T29)</f>
        <v>-0.22552841542295804</v>
      </c>
    </row>
    <row r="30" spans="1:26" s="24" customFormat="1" hidden="1" outlineLevel="2" x14ac:dyDescent="0.3">
      <c r="A30" s="29"/>
      <c r="B30" s="11" t="str">
        <f>CONCATENATE("          ", "6001", " - ", "ADMINISTRATIVE SALARIES")</f>
        <v xml:space="preserve">          6001 - ADMINISTRATIVE SALARIES</v>
      </c>
      <c r="C30" s="11"/>
      <c r="D30" s="8"/>
      <c r="E30" s="3"/>
      <c r="F30" s="7">
        <f t="shared" si="8"/>
        <v>0</v>
      </c>
      <c r="G30" s="3"/>
      <c r="H30" s="8">
        <v>0</v>
      </c>
      <c r="I30" s="3"/>
      <c r="J30" s="7">
        <f t="shared" si="9"/>
        <v>0</v>
      </c>
      <c r="K30" s="3"/>
      <c r="L30" s="8">
        <f t="shared" si="10"/>
        <v>0</v>
      </c>
      <c r="M30" s="3"/>
      <c r="N30" s="7">
        <f t="shared" si="11"/>
        <v>0</v>
      </c>
      <c r="O30" s="11"/>
      <c r="P30" s="8"/>
      <c r="Q30" s="3"/>
      <c r="R30" s="7">
        <f t="shared" si="12"/>
        <v>0</v>
      </c>
      <c r="S30" s="3"/>
      <c r="T30" s="8">
        <v>0</v>
      </c>
      <c r="U30" s="3"/>
      <c r="V30" s="7">
        <f t="shared" si="13"/>
        <v>0</v>
      </c>
      <c r="W30" s="3"/>
      <c r="X30" s="8">
        <f t="shared" si="14"/>
        <v>0</v>
      </c>
      <c r="Y30" s="3"/>
      <c r="Z30" s="7">
        <f t="shared" si="15"/>
        <v>0</v>
      </c>
    </row>
    <row r="31" spans="1:26" s="24" customFormat="1" hidden="1" outlineLevel="2" x14ac:dyDescent="0.3">
      <c r="A31" s="29"/>
      <c r="B31" s="11" t="str">
        <f>CONCATENATE("          ", "6002", " - ", "STAFF SALARIES")</f>
        <v xml:space="preserve">          6002 - STAFF SALARIES</v>
      </c>
      <c r="C31" s="11"/>
      <c r="D31" s="8">
        <v>21142.27</v>
      </c>
      <c r="E31" s="3"/>
      <c r="F31" s="7">
        <f t="shared" si="8"/>
        <v>0</v>
      </c>
      <c r="G31" s="3"/>
      <c r="H31" s="8">
        <v>20500.961538461499</v>
      </c>
      <c r="I31" s="3"/>
      <c r="J31" s="7">
        <f t="shared" si="9"/>
        <v>0</v>
      </c>
      <c r="K31" s="3"/>
      <c r="L31" s="8">
        <f t="shared" si="10"/>
        <v>641.30846153850143</v>
      </c>
      <c r="M31" s="3"/>
      <c r="N31" s="7">
        <f t="shared" si="11"/>
        <v>3.1281872332444199E-2</v>
      </c>
      <c r="O31" s="11"/>
      <c r="P31" s="8">
        <v>21142.27</v>
      </c>
      <c r="Q31" s="3"/>
      <c r="R31" s="7">
        <f t="shared" si="12"/>
        <v>0</v>
      </c>
      <c r="S31" s="3"/>
      <c r="T31" s="8">
        <v>20500.961538461499</v>
      </c>
      <c r="U31" s="3"/>
      <c r="V31" s="7">
        <f t="shared" si="13"/>
        <v>0</v>
      </c>
      <c r="W31" s="3"/>
      <c r="X31" s="8">
        <f t="shared" si="14"/>
        <v>641.30846153850143</v>
      </c>
      <c r="Y31" s="3"/>
      <c r="Z31" s="7">
        <f t="shared" si="15"/>
        <v>3.1281872332444199E-2</v>
      </c>
    </row>
    <row r="32" spans="1:26" s="24" customFormat="1" hidden="1" outlineLevel="2" x14ac:dyDescent="0.3">
      <c r="A32" s="29"/>
      <c r="B32" s="11" t="str">
        <f>CONCATENATE("          ", "6003", " - ", "STAFF HOURLY-9 MONTH")</f>
        <v xml:space="preserve">          6003 - STAFF HOURLY-9 MONTH</v>
      </c>
      <c r="C32" s="11"/>
      <c r="D32" s="8"/>
      <c r="E32" s="3"/>
      <c r="F32" s="7">
        <f t="shared" si="8"/>
        <v>0</v>
      </c>
      <c r="G32" s="3"/>
      <c r="H32" s="8">
        <v>0</v>
      </c>
      <c r="I32" s="3"/>
      <c r="J32" s="7">
        <f t="shared" si="9"/>
        <v>0</v>
      </c>
      <c r="K32" s="3"/>
      <c r="L32" s="8">
        <f t="shared" si="10"/>
        <v>0</v>
      </c>
      <c r="M32" s="3"/>
      <c r="N32" s="7">
        <f t="shared" si="11"/>
        <v>0</v>
      </c>
      <c r="O32" s="11"/>
      <c r="P32" s="8"/>
      <c r="Q32" s="3"/>
      <c r="R32" s="7">
        <f t="shared" si="12"/>
        <v>0</v>
      </c>
      <c r="S32" s="3"/>
      <c r="T32" s="8">
        <v>0</v>
      </c>
      <c r="U32" s="3"/>
      <c r="V32" s="7">
        <f t="shared" si="13"/>
        <v>0</v>
      </c>
      <c r="W32" s="3"/>
      <c r="X32" s="8">
        <f t="shared" si="14"/>
        <v>0</v>
      </c>
      <c r="Y32" s="3"/>
      <c r="Z32" s="7">
        <f t="shared" si="15"/>
        <v>0</v>
      </c>
    </row>
    <row r="33" spans="1:26" s="24" customFormat="1" hidden="1" outlineLevel="2" x14ac:dyDescent="0.3">
      <c r="A33" s="29"/>
      <c r="B33" s="11" t="str">
        <f>CONCATENATE("          ", "6004", " - ", "STAFF HOURLY")</f>
        <v xml:space="preserve">          6004 - STAFF HOURLY</v>
      </c>
      <c r="C33" s="11"/>
      <c r="D33" s="8"/>
      <c r="E33" s="3"/>
      <c r="F33" s="7">
        <f t="shared" si="8"/>
        <v>0</v>
      </c>
      <c r="G33" s="3"/>
      <c r="H33" s="8">
        <v>6798</v>
      </c>
      <c r="I33" s="3"/>
      <c r="J33" s="7">
        <f t="shared" si="9"/>
        <v>0</v>
      </c>
      <c r="K33" s="3"/>
      <c r="L33" s="8">
        <f t="shared" si="10"/>
        <v>-6798</v>
      </c>
      <c r="M33" s="3"/>
      <c r="N33" s="7">
        <f t="shared" si="11"/>
        <v>-1</v>
      </c>
      <c r="O33" s="11"/>
      <c r="P33" s="8"/>
      <c r="Q33" s="3"/>
      <c r="R33" s="7">
        <f t="shared" si="12"/>
        <v>0</v>
      </c>
      <c r="S33" s="3"/>
      <c r="T33" s="8">
        <v>6798</v>
      </c>
      <c r="U33" s="3"/>
      <c r="V33" s="7">
        <f t="shared" si="13"/>
        <v>0</v>
      </c>
      <c r="W33" s="3"/>
      <c r="X33" s="8">
        <f t="shared" si="14"/>
        <v>-6798</v>
      </c>
      <c r="Y33" s="3"/>
      <c r="Z33" s="7">
        <f t="shared" si="15"/>
        <v>-1</v>
      </c>
    </row>
    <row r="34" spans="1:26" s="24" customFormat="1" hidden="1" outlineLevel="2" x14ac:dyDescent="0.3">
      <c r="A34" s="29"/>
      <c r="B34" s="11" t="str">
        <f>CONCATENATE("          ", "6005", " - ", "TEMPORARY WAGES-HOURLY")</f>
        <v xml:space="preserve">          6005 - TEMPORARY WAGES-HOURLY</v>
      </c>
      <c r="C34" s="11"/>
      <c r="D34" s="8"/>
      <c r="E34" s="3"/>
      <c r="F34" s="7">
        <f t="shared" si="8"/>
        <v>0</v>
      </c>
      <c r="G34" s="3"/>
      <c r="H34" s="8">
        <v>0</v>
      </c>
      <c r="I34" s="3"/>
      <c r="J34" s="7">
        <f t="shared" si="9"/>
        <v>0</v>
      </c>
      <c r="K34" s="3"/>
      <c r="L34" s="8">
        <f t="shared" si="10"/>
        <v>0</v>
      </c>
      <c r="M34" s="3"/>
      <c r="N34" s="7">
        <f t="shared" si="11"/>
        <v>0</v>
      </c>
      <c r="O34" s="11"/>
      <c r="P34" s="8"/>
      <c r="Q34" s="3"/>
      <c r="R34" s="7">
        <f t="shared" si="12"/>
        <v>0</v>
      </c>
      <c r="S34" s="3"/>
      <c r="T34" s="8">
        <v>0</v>
      </c>
      <c r="U34" s="3"/>
      <c r="V34" s="7">
        <f t="shared" si="13"/>
        <v>0</v>
      </c>
      <c r="W34" s="3"/>
      <c r="X34" s="8">
        <f t="shared" si="14"/>
        <v>0</v>
      </c>
      <c r="Y34" s="3"/>
      <c r="Z34" s="7">
        <f t="shared" si="15"/>
        <v>0</v>
      </c>
    </row>
    <row r="35" spans="1:26" s="24" customFormat="1" hidden="1" outlineLevel="2" x14ac:dyDescent="0.3">
      <c r="A35" s="29"/>
      <c r="B35" s="11" t="str">
        <f>CONCATENATE("          ", "6006", " - ", "TEMPORARY PART TIME")</f>
        <v xml:space="preserve">          6006 - TEMPORARY PART TIME</v>
      </c>
      <c r="C35" s="11"/>
      <c r="D35" s="8"/>
      <c r="E35" s="3"/>
      <c r="F35" s="7">
        <f t="shared" si="8"/>
        <v>0</v>
      </c>
      <c r="G35" s="3"/>
      <c r="H35" s="8">
        <v>0</v>
      </c>
      <c r="I35" s="3"/>
      <c r="J35" s="7">
        <f t="shared" si="9"/>
        <v>0</v>
      </c>
      <c r="K35" s="3"/>
      <c r="L35" s="8">
        <f t="shared" si="10"/>
        <v>0</v>
      </c>
      <c r="M35" s="3"/>
      <c r="N35" s="7">
        <f t="shared" si="11"/>
        <v>0</v>
      </c>
      <c r="O35" s="11"/>
      <c r="P35" s="8"/>
      <c r="Q35" s="3"/>
      <c r="R35" s="7">
        <f t="shared" si="12"/>
        <v>0</v>
      </c>
      <c r="S35" s="3"/>
      <c r="T35" s="8">
        <v>0</v>
      </c>
      <c r="U35" s="3"/>
      <c r="V35" s="7">
        <f t="shared" si="13"/>
        <v>0</v>
      </c>
      <c r="W35" s="3"/>
      <c r="X35" s="8">
        <f t="shared" si="14"/>
        <v>0</v>
      </c>
      <c r="Y35" s="3"/>
      <c r="Z35" s="7">
        <f t="shared" si="15"/>
        <v>0</v>
      </c>
    </row>
    <row r="36" spans="1:26" s="24" customFormat="1" hidden="1" outlineLevel="2" x14ac:dyDescent="0.3">
      <c r="A36" s="29"/>
      <c r="B36" s="11" t="str">
        <f>CONCATENATE("          ", "6007", " - ", "STUDENT HOURLY")</f>
        <v xml:space="preserve">          6007 - STUDENT HOURLY</v>
      </c>
      <c r="C36" s="11"/>
      <c r="D36" s="8"/>
      <c r="E36" s="3"/>
      <c r="F36" s="7">
        <f t="shared" si="8"/>
        <v>0</v>
      </c>
      <c r="G36" s="3"/>
      <c r="H36" s="8">
        <v>0</v>
      </c>
      <c r="I36" s="3"/>
      <c r="J36" s="7">
        <f t="shared" si="9"/>
        <v>0</v>
      </c>
      <c r="K36" s="3"/>
      <c r="L36" s="8">
        <f t="shared" si="10"/>
        <v>0</v>
      </c>
      <c r="M36" s="3"/>
      <c r="N36" s="7">
        <f t="shared" si="11"/>
        <v>0</v>
      </c>
      <c r="O36" s="11"/>
      <c r="P36" s="8"/>
      <c r="Q36" s="3"/>
      <c r="R36" s="7">
        <f t="shared" si="12"/>
        <v>0</v>
      </c>
      <c r="S36" s="3"/>
      <c r="T36" s="8">
        <v>0</v>
      </c>
      <c r="U36" s="3"/>
      <c r="V36" s="7">
        <f t="shared" si="13"/>
        <v>0</v>
      </c>
      <c r="W36" s="3"/>
      <c r="X36" s="8">
        <f t="shared" si="14"/>
        <v>0</v>
      </c>
      <c r="Y36" s="3"/>
      <c r="Z36" s="7">
        <f t="shared" si="15"/>
        <v>0</v>
      </c>
    </row>
    <row r="37" spans="1:26" s="24" customFormat="1" hidden="1" outlineLevel="2" x14ac:dyDescent="0.3">
      <c r="A37" s="29"/>
      <c r="B37" s="11" t="str">
        <f>CONCATENATE("          ", "6008", " - ", "STUDENT HOURLY-FICA EXEMPT")</f>
        <v xml:space="preserve">          6008 - STUDENT HOURLY-FICA EXEMPT</v>
      </c>
      <c r="C37" s="11"/>
      <c r="D37" s="8"/>
      <c r="E37" s="3"/>
      <c r="F37" s="7">
        <f t="shared" si="8"/>
        <v>0</v>
      </c>
      <c r="G37" s="3"/>
      <c r="H37" s="8">
        <v>0</v>
      </c>
      <c r="I37" s="3"/>
      <c r="J37" s="7">
        <f t="shared" si="9"/>
        <v>0</v>
      </c>
      <c r="K37" s="3"/>
      <c r="L37" s="8">
        <f t="shared" si="10"/>
        <v>0</v>
      </c>
      <c r="M37" s="3"/>
      <c r="N37" s="7">
        <f t="shared" si="11"/>
        <v>0</v>
      </c>
      <c r="O37" s="11"/>
      <c r="P37" s="8"/>
      <c r="Q37" s="3"/>
      <c r="R37" s="7">
        <f t="shared" si="12"/>
        <v>0</v>
      </c>
      <c r="S37" s="3"/>
      <c r="T37" s="8">
        <v>0</v>
      </c>
      <c r="U37" s="3"/>
      <c r="V37" s="7">
        <f t="shared" si="13"/>
        <v>0</v>
      </c>
      <c r="W37" s="3"/>
      <c r="X37" s="8">
        <f t="shared" si="14"/>
        <v>0</v>
      </c>
      <c r="Y37" s="3"/>
      <c r="Z37" s="7">
        <f t="shared" si="15"/>
        <v>0</v>
      </c>
    </row>
    <row r="38" spans="1:26" s="24" customFormat="1" hidden="1" outlineLevel="2" x14ac:dyDescent="0.3">
      <c r="A38" s="29"/>
      <c r="B38" s="11" t="str">
        <f>CONCATENATE("          ", "6009", " - ", "TEMPORARY-SEASONAL")</f>
        <v xml:space="preserve">          6009 - TEMPORARY-SEASONAL</v>
      </c>
      <c r="C38" s="11"/>
      <c r="D38" s="8"/>
      <c r="E38" s="3"/>
      <c r="F38" s="7">
        <f t="shared" si="8"/>
        <v>0</v>
      </c>
      <c r="G38" s="3"/>
      <c r="H38" s="8">
        <v>0</v>
      </c>
      <c r="I38" s="3"/>
      <c r="J38" s="7">
        <f t="shared" si="9"/>
        <v>0</v>
      </c>
      <c r="K38" s="3"/>
      <c r="L38" s="8">
        <f t="shared" si="10"/>
        <v>0</v>
      </c>
      <c r="M38" s="3"/>
      <c r="N38" s="7">
        <f t="shared" si="11"/>
        <v>0</v>
      </c>
      <c r="O38" s="11"/>
      <c r="P38" s="8"/>
      <c r="Q38" s="3"/>
      <c r="R38" s="7">
        <f t="shared" si="12"/>
        <v>0</v>
      </c>
      <c r="S38" s="3"/>
      <c r="T38" s="8">
        <v>0</v>
      </c>
      <c r="U38" s="3"/>
      <c r="V38" s="7">
        <f t="shared" si="13"/>
        <v>0</v>
      </c>
      <c r="W38" s="3"/>
      <c r="X38" s="8">
        <f t="shared" si="14"/>
        <v>0</v>
      </c>
      <c r="Y38" s="3"/>
      <c r="Z38" s="7">
        <f t="shared" si="15"/>
        <v>0</v>
      </c>
    </row>
    <row r="39" spans="1:26" s="24" customFormat="1" hidden="1" outlineLevel="2" x14ac:dyDescent="0.3">
      <c r="A39" s="29"/>
      <c r="B39" s="11" t="str">
        <f>CONCATENATE("          ", "6010", " - ", "GRATUITY")</f>
        <v xml:space="preserve">          6010 - GRATUITY</v>
      </c>
      <c r="C39" s="11"/>
      <c r="D39" s="8"/>
      <c r="E39" s="3"/>
      <c r="F39" s="7">
        <f t="shared" si="8"/>
        <v>0</v>
      </c>
      <c r="G39" s="3"/>
      <c r="H39" s="8">
        <v>0</v>
      </c>
      <c r="I39" s="3"/>
      <c r="J39" s="7">
        <f t="shared" si="9"/>
        <v>0</v>
      </c>
      <c r="K39" s="3"/>
      <c r="L39" s="8">
        <f t="shared" si="10"/>
        <v>0</v>
      </c>
      <c r="M39" s="3"/>
      <c r="N39" s="7">
        <f t="shared" si="11"/>
        <v>0</v>
      </c>
      <c r="O39" s="11"/>
      <c r="P39" s="8"/>
      <c r="Q39" s="3"/>
      <c r="R39" s="7">
        <f t="shared" si="12"/>
        <v>0</v>
      </c>
      <c r="S39" s="3"/>
      <c r="T39" s="8">
        <v>0</v>
      </c>
      <c r="U39" s="3"/>
      <c r="V39" s="7">
        <f t="shared" si="13"/>
        <v>0</v>
      </c>
      <c r="W39" s="3"/>
      <c r="X39" s="8">
        <f t="shared" si="14"/>
        <v>0</v>
      </c>
      <c r="Y39" s="3"/>
      <c r="Z39" s="7">
        <f t="shared" si="15"/>
        <v>0</v>
      </c>
    </row>
    <row r="40" spans="1:26" s="27" customFormat="1" outlineLevel="1" collapsed="1" x14ac:dyDescent="0.3">
      <c r="A40" s="28"/>
      <c r="B40" s="14" t="str">
        <f>CONCATENATE("     ","Advertising/Promo                                 ")</f>
        <v xml:space="preserve">     Advertising/Promo                                 </v>
      </c>
      <c r="C40" s="14"/>
      <c r="D40" s="1">
        <f>SUM(OSRRefD22_2x_0)</f>
        <v>0</v>
      </c>
      <c r="E40" s="1"/>
      <c r="F40" s="5">
        <f t="shared" ref="F40:F44" si="16">IF(D$12=0,0,D40/D$12)</f>
        <v>0</v>
      </c>
      <c r="G40" s="1"/>
      <c r="H40" s="1">
        <f>SUM(OSRRefH22_2x_0)</f>
        <v>0</v>
      </c>
      <c r="I40" s="1"/>
      <c r="J40" s="5">
        <f t="shared" ref="J40:J44" si="17">IF(H$12=0,0,H40/H$12)</f>
        <v>0</v>
      </c>
      <c r="K40" s="1"/>
      <c r="L40" s="1">
        <f t="shared" ref="L40:L44" si="18">+D40-H40</f>
        <v>0</v>
      </c>
      <c r="M40" s="1"/>
      <c r="N40" s="5">
        <f t="shared" ref="N40:N44" si="19">IF(H40=0,0,L40/H40)</f>
        <v>0</v>
      </c>
      <c r="O40" s="14"/>
      <c r="P40" s="1">
        <f>SUM(OSRRefP22_2x_0)</f>
        <v>0</v>
      </c>
      <c r="Q40" s="1"/>
      <c r="R40" s="5">
        <f t="shared" ref="R40:R44" si="20">IF(P$12=0,0,P40/P$12)</f>
        <v>0</v>
      </c>
      <c r="S40" s="1"/>
      <c r="T40" s="1">
        <f>SUM(OSRRefT22_2x_0)</f>
        <v>0</v>
      </c>
      <c r="U40" s="1"/>
      <c r="V40" s="5">
        <f t="shared" ref="V40:V44" si="21">IF(T$12=0,0,T40/T$12)</f>
        <v>0</v>
      </c>
      <c r="W40" s="1"/>
      <c r="X40" s="1">
        <f t="shared" ref="X40:X44" si="22">+P40-T40</f>
        <v>0</v>
      </c>
      <c r="Y40" s="1"/>
      <c r="Z40" s="5">
        <f t="shared" ref="Z40:Z44" si="23">IF(T40=0,0,X40/T40)</f>
        <v>0</v>
      </c>
    </row>
    <row r="41" spans="1:26" s="24" customFormat="1" hidden="1" outlineLevel="2" x14ac:dyDescent="0.3">
      <c r="A41" s="29"/>
      <c r="B41" s="11" t="str">
        <f>CONCATENATE("          ", "6362", " - ", "ADVERTISING EXPENSE")</f>
        <v xml:space="preserve">          6362 - ADVERTISING EXPENSE</v>
      </c>
      <c r="C41" s="11"/>
      <c r="D41" s="8"/>
      <c r="E41" s="3"/>
      <c r="F41" s="7">
        <f t="shared" si="16"/>
        <v>0</v>
      </c>
      <c r="G41" s="3"/>
      <c r="H41" s="8">
        <v>0</v>
      </c>
      <c r="I41" s="3"/>
      <c r="J41" s="7">
        <f t="shared" si="17"/>
        <v>0</v>
      </c>
      <c r="K41" s="3"/>
      <c r="L41" s="8">
        <f t="shared" si="18"/>
        <v>0</v>
      </c>
      <c r="M41" s="3"/>
      <c r="N41" s="7">
        <f t="shared" si="19"/>
        <v>0</v>
      </c>
      <c r="O41" s="11"/>
      <c r="P41" s="8"/>
      <c r="Q41" s="3"/>
      <c r="R41" s="7">
        <f t="shared" si="20"/>
        <v>0</v>
      </c>
      <c r="S41" s="3"/>
      <c r="T41" s="8">
        <v>0</v>
      </c>
      <c r="U41" s="3"/>
      <c r="V41" s="7">
        <f t="shared" si="21"/>
        <v>0</v>
      </c>
      <c r="W41" s="3"/>
      <c r="X41" s="8">
        <f t="shared" si="22"/>
        <v>0</v>
      </c>
      <c r="Y41" s="3"/>
      <c r="Z41" s="7">
        <f t="shared" si="23"/>
        <v>0</v>
      </c>
    </row>
    <row r="42" spans="1:26" s="27" customFormat="1" outlineLevel="1" collapsed="1" x14ac:dyDescent="0.3">
      <c r="A42" s="28"/>
      <c r="B42" s="14" t="str">
        <f>CONCATENATE("     ","Depreciation                                      ")</f>
        <v xml:space="preserve">     Depreciation                                      </v>
      </c>
      <c r="C42" s="14"/>
      <c r="D42" s="1">
        <f>SUM(OSRRefD22_3x_0)</f>
        <v>5098.37</v>
      </c>
      <c r="E42" s="1"/>
      <c r="F42" s="5">
        <f t="shared" si="16"/>
        <v>0</v>
      </c>
      <c r="G42" s="1"/>
      <c r="H42" s="1">
        <f>SUM(OSRRefH22_3x_0)</f>
        <v>5056</v>
      </c>
      <c r="I42" s="1"/>
      <c r="J42" s="5">
        <f t="shared" si="17"/>
        <v>0</v>
      </c>
      <c r="K42" s="1"/>
      <c r="L42" s="1">
        <f t="shared" si="18"/>
        <v>42.369999999999891</v>
      </c>
      <c r="M42" s="1"/>
      <c r="N42" s="5">
        <f t="shared" si="19"/>
        <v>8.3801424050632695E-3</v>
      </c>
      <c r="O42" s="14"/>
      <c r="P42" s="1">
        <f>SUM(OSRRefP22_3x_0)</f>
        <v>5098.37</v>
      </c>
      <c r="Q42" s="1"/>
      <c r="R42" s="5">
        <f t="shared" si="20"/>
        <v>0</v>
      </c>
      <c r="S42" s="1"/>
      <c r="T42" s="1">
        <f>SUM(OSRRefT22_3x_0)</f>
        <v>5056</v>
      </c>
      <c r="U42" s="1"/>
      <c r="V42" s="5">
        <f t="shared" si="21"/>
        <v>0</v>
      </c>
      <c r="W42" s="1"/>
      <c r="X42" s="1">
        <f t="shared" si="22"/>
        <v>42.369999999999891</v>
      </c>
      <c r="Y42" s="1"/>
      <c r="Z42" s="5">
        <f t="shared" si="23"/>
        <v>8.3801424050632695E-3</v>
      </c>
    </row>
    <row r="43" spans="1:26" s="24" customFormat="1" hidden="1" outlineLevel="2" x14ac:dyDescent="0.3">
      <c r="A43" s="29"/>
      <c r="B43" s="11" t="str">
        <f>CONCATENATE("          ", "6322", " - ", "EQUIPMENT DEPRECIATION EXPENSE")</f>
        <v xml:space="preserve">          6322 - EQUIPMENT DEPRECIATION EXPENSE</v>
      </c>
      <c r="C43" s="11"/>
      <c r="D43" s="8">
        <v>5098.37</v>
      </c>
      <c r="E43" s="3"/>
      <c r="F43" s="7">
        <f t="shared" si="16"/>
        <v>0</v>
      </c>
      <c r="G43" s="3"/>
      <c r="H43" s="8">
        <v>4556</v>
      </c>
      <c r="I43" s="3"/>
      <c r="J43" s="7">
        <f t="shared" si="17"/>
        <v>0</v>
      </c>
      <c r="K43" s="3"/>
      <c r="L43" s="8">
        <f t="shared" si="18"/>
        <v>542.36999999999989</v>
      </c>
      <c r="M43" s="3"/>
      <c r="N43" s="7">
        <f t="shared" si="19"/>
        <v>0.11904521510096573</v>
      </c>
      <c r="O43" s="11"/>
      <c r="P43" s="8">
        <v>5098.37</v>
      </c>
      <c r="Q43" s="3"/>
      <c r="R43" s="7">
        <f t="shared" si="20"/>
        <v>0</v>
      </c>
      <c r="S43" s="3"/>
      <c r="T43" s="8">
        <v>4556</v>
      </c>
      <c r="U43" s="3"/>
      <c r="V43" s="7">
        <f t="shared" si="21"/>
        <v>0</v>
      </c>
      <c r="W43" s="3"/>
      <c r="X43" s="8">
        <f t="shared" si="22"/>
        <v>542.36999999999989</v>
      </c>
      <c r="Y43" s="3"/>
      <c r="Z43" s="7">
        <f t="shared" si="23"/>
        <v>0.11904521510096573</v>
      </c>
    </row>
    <row r="44" spans="1:26" s="24" customFormat="1" hidden="1" outlineLevel="2" x14ac:dyDescent="0.3">
      <c r="A44" s="29"/>
      <c r="B44" s="11" t="str">
        <f>CONCATENATE("          ", "6324", " - ", "FURNITURE + FIXT DEPRECIATION")</f>
        <v xml:space="preserve">          6324 - FURNITURE + FIXT DEPRECIATION</v>
      </c>
      <c r="C44" s="11"/>
      <c r="D44" s="8"/>
      <c r="E44" s="3"/>
      <c r="F44" s="7">
        <f t="shared" si="16"/>
        <v>0</v>
      </c>
      <c r="G44" s="3"/>
      <c r="H44" s="8">
        <v>500</v>
      </c>
      <c r="I44" s="3"/>
      <c r="J44" s="7">
        <f t="shared" si="17"/>
        <v>0</v>
      </c>
      <c r="K44" s="3"/>
      <c r="L44" s="8">
        <f t="shared" si="18"/>
        <v>-500</v>
      </c>
      <c r="M44" s="3"/>
      <c r="N44" s="7">
        <f t="shared" si="19"/>
        <v>-1</v>
      </c>
      <c r="O44" s="11"/>
      <c r="P44" s="8"/>
      <c r="Q44" s="3"/>
      <c r="R44" s="7">
        <f t="shared" si="20"/>
        <v>0</v>
      </c>
      <c r="S44" s="3"/>
      <c r="T44" s="8">
        <v>500</v>
      </c>
      <c r="U44" s="3"/>
      <c r="V44" s="7">
        <f t="shared" si="21"/>
        <v>0</v>
      </c>
      <c r="W44" s="3"/>
      <c r="X44" s="8">
        <f t="shared" si="22"/>
        <v>-500</v>
      </c>
      <c r="Y44" s="3"/>
      <c r="Z44" s="7">
        <f t="shared" si="23"/>
        <v>-1</v>
      </c>
    </row>
    <row r="45" spans="1:26" s="27" customFormat="1" outlineLevel="1" collapsed="1" x14ac:dyDescent="0.3">
      <c r="A45" s="28"/>
      <c r="B45" s="14" t="str">
        <f>CONCATENATE("     ","Insurance                                         ")</f>
        <v xml:space="preserve">     Insurance                                         </v>
      </c>
      <c r="C45" s="14"/>
      <c r="D45" s="1">
        <f>SUM(OSRRefD22_4x_0)</f>
        <v>76.569999999999993</v>
      </c>
      <c r="E45" s="1"/>
      <c r="F45" s="5">
        <f t="shared" ref="F45:F50" si="24">IF(D$12=0,0,D45/D$12)</f>
        <v>0</v>
      </c>
      <c r="G45" s="1"/>
      <c r="H45" s="1">
        <f>SUM(OSRRefH22_4x_0)</f>
        <v>75</v>
      </c>
      <c r="I45" s="1"/>
      <c r="J45" s="5">
        <f t="shared" ref="J45:J50" si="25">IF(H$12=0,0,H45/H$12)</f>
        <v>0</v>
      </c>
      <c r="K45" s="1"/>
      <c r="L45" s="1">
        <f t="shared" ref="L45:L50" si="26">+D45-H45</f>
        <v>1.5699999999999932</v>
      </c>
      <c r="M45" s="1"/>
      <c r="N45" s="5">
        <f t="shared" ref="N45:N50" si="27">IF(H45=0,0,L45/H45)</f>
        <v>2.0933333333333241E-2</v>
      </c>
      <c r="O45" s="14"/>
      <c r="P45" s="1">
        <f>SUM(OSRRefP22_4x_0)</f>
        <v>76.569999999999993</v>
      </c>
      <c r="Q45" s="1"/>
      <c r="R45" s="5">
        <f t="shared" ref="R45:R50" si="28">IF(P$12=0,0,P45/P$12)</f>
        <v>0</v>
      </c>
      <c r="S45" s="1"/>
      <c r="T45" s="1">
        <f>SUM(OSRRefT22_4x_0)</f>
        <v>75</v>
      </c>
      <c r="U45" s="1"/>
      <c r="V45" s="5">
        <f t="shared" ref="V45:V50" si="29">IF(T$12=0,0,T45/T$12)</f>
        <v>0</v>
      </c>
      <c r="W45" s="1"/>
      <c r="X45" s="1">
        <f t="shared" ref="X45:X50" si="30">+P45-T45</f>
        <v>1.5699999999999932</v>
      </c>
      <c r="Y45" s="1"/>
      <c r="Z45" s="5">
        <f t="shared" ref="Z45:Z50" si="31">IF(T45=0,0,X45/T45)</f>
        <v>2.0933333333333241E-2</v>
      </c>
    </row>
    <row r="46" spans="1:26" s="24" customFormat="1" hidden="1" outlineLevel="2" x14ac:dyDescent="0.3">
      <c r="A46" s="29"/>
      <c r="B46" s="11" t="str">
        <f>CONCATENATE("          ", "6314", " - ", "LIABILITY INSURANCE")</f>
        <v xml:space="preserve">          6314 - LIABILITY INSURANCE</v>
      </c>
      <c r="C46" s="11"/>
      <c r="D46" s="8">
        <v>76.569999999999993</v>
      </c>
      <c r="E46" s="3"/>
      <c r="F46" s="7">
        <f t="shared" si="24"/>
        <v>0</v>
      </c>
      <c r="G46" s="3"/>
      <c r="H46" s="8">
        <v>75</v>
      </c>
      <c r="I46" s="3"/>
      <c r="J46" s="7">
        <f t="shared" si="25"/>
        <v>0</v>
      </c>
      <c r="K46" s="3"/>
      <c r="L46" s="8">
        <f t="shared" si="26"/>
        <v>1.5699999999999932</v>
      </c>
      <c r="M46" s="3"/>
      <c r="N46" s="7">
        <f t="shared" si="27"/>
        <v>2.0933333333333241E-2</v>
      </c>
      <c r="O46" s="11"/>
      <c r="P46" s="8">
        <v>76.569999999999993</v>
      </c>
      <c r="Q46" s="3"/>
      <c r="R46" s="7">
        <f t="shared" si="28"/>
        <v>0</v>
      </c>
      <c r="S46" s="3"/>
      <c r="T46" s="8">
        <v>75</v>
      </c>
      <c r="U46" s="3"/>
      <c r="V46" s="7">
        <f t="shared" si="29"/>
        <v>0</v>
      </c>
      <c r="W46" s="3"/>
      <c r="X46" s="8">
        <f t="shared" si="30"/>
        <v>1.5699999999999932</v>
      </c>
      <c r="Y46" s="3"/>
      <c r="Z46" s="7">
        <f t="shared" si="31"/>
        <v>2.0933333333333241E-2</v>
      </c>
    </row>
    <row r="47" spans="1:26" s="27" customFormat="1" outlineLevel="1" collapsed="1" x14ac:dyDescent="0.3">
      <c r="A47" s="28"/>
      <c r="B47" s="14" t="str">
        <f>CONCATENATE("     ","Repair and Maintenance                            ")</f>
        <v xml:space="preserve">     Repair and Maintenance                            </v>
      </c>
      <c r="C47" s="14"/>
      <c r="D47" s="1">
        <f>SUM(OSRRefD22_5x_0)</f>
        <v>9565</v>
      </c>
      <c r="E47" s="1"/>
      <c r="F47" s="5">
        <f t="shared" si="24"/>
        <v>0</v>
      </c>
      <c r="G47" s="1"/>
      <c r="H47" s="1">
        <f>SUM(OSRRefH22_5x_0)</f>
        <v>13467</v>
      </c>
      <c r="I47" s="1"/>
      <c r="J47" s="5">
        <f t="shared" si="25"/>
        <v>0</v>
      </c>
      <c r="K47" s="1"/>
      <c r="L47" s="1">
        <f t="shared" si="26"/>
        <v>-3902</v>
      </c>
      <c r="M47" s="1"/>
      <c r="N47" s="5">
        <f t="shared" si="27"/>
        <v>-0.28974530333407589</v>
      </c>
      <c r="O47" s="14"/>
      <c r="P47" s="1">
        <f>SUM(OSRRefP22_5x_0)</f>
        <v>9565</v>
      </c>
      <c r="Q47" s="1"/>
      <c r="R47" s="5">
        <f t="shared" si="28"/>
        <v>0</v>
      </c>
      <c r="S47" s="1"/>
      <c r="T47" s="1">
        <f>SUM(OSRRefT22_5x_0)</f>
        <v>13467</v>
      </c>
      <c r="U47" s="1"/>
      <c r="V47" s="5">
        <f t="shared" si="29"/>
        <v>0</v>
      </c>
      <c r="W47" s="1"/>
      <c r="X47" s="1">
        <f t="shared" si="30"/>
        <v>-3902</v>
      </c>
      <c r="Y47" s="1"/>
      <c r="Z47" s="5">
        <f t="shared" si="31"/>
        <v>-0.28974530333407589</v>
      </c>
    </row>
    <row r="48" spans="1:26" s="24" customFormat="1" hidden="1" outlineLevel="2" x14ac:dyDescent="0.3">
      <c r="A48" s="29"/>
      <c r="B48" s="11" t="str">
        <f>CONCATENATE("          ", "6371", " - ", "COMPUTER SOFTWARE MAINTENANCE")</f>
        <v xml:space="preserve">          6371 - COMPUTER SOFTWARE MAINTENANCE</v>
      </c>
      <c r="C48" s="11"/>
      <c r="D48" s="8">
        <v>99</v>
      </c>
      <c r="E48" s="3"/>
      <c r="F48" s="7">
        <f t="shared" si="24"/>
        <v>0</v>
      </c>
      <c r="G48" s="3"/>
      <c r="H48" s="8">
        <v>1000</v>
      </c>
      <c r="I48" s="3"/>
      <c r="J48" s="7">
        <f t="shared" si="25"/>
        <v>0</v>
      </c>
      <c r="K48" s="3"/>
      <c r="L48" s="8">
        <f t="shared" si="26"/>
        <v>-901</v>
      </c>
      <c r="M48" s="3"/>
      <c r="N48" s="7">
        <f t="shared" si="27"/>
        <v>-0.90100000000000002</v>
      </c>
      <c r="O48" s="11"/>
      <c r="P48" s="8">
        <v>99</v>
      </c>
      <c r="Q48" s="3"/>
      <c r="R48" s="7">
        <f t="shared" si="28"/>
        <v>0</v>
      </c>
      <c r="S48" s="3"/>
      <c r="T48" s="8">
        <v>1000</v>
      </c>
      <c r="U48" s="3"/>
      <c r="V48" s="7">
        <f t="shared" si="29"/>
        <v>0</v>
      </c>
      <c r="W48" s="3"/>
      <c r="X48" s="8">
        <f t="shared" si="30"/>
        <v>-901</v>
      </c>
      <c r="Y48" s="3"/>
      <c r="Z48" s="7">
        <f t="shared" si="31"/>
        <v>-0.90100000000000002</v>
      </c>
    </row>
    <row r="49" spans="1:26" s="24" customFormat="1" hidden="1" outlineLevel="2" x14ac:dyDescent="0.3">
      <c r="A49" s="29"/>
      <c r="B49" s="11" t="str">
        <f>CONCATENATE("          ", "6372", " - ", "COMPUTER HARDWARE MAINTENANCE")</f>
        <v xml:space="preserve">          6372 - COMPUTER HARDWARE MAINTENANCE</v>
      </c>
      <c r="C49" s="11"/>
      <c r="D49" s="8"/>
      <c r="E49" s="3"/>
      <c r="F49" s="7">
        <f t="shared" si="24"/>
        <v>0</v>
      </c>
      <c r="G49" s="3"/>
      <c r="H49" s="8">
        <v>3000</v>
      </c>
      <c r="I49" s="3"/>
      <c r="J49" s="7">
        <f t="shared" si="25"/>
        <v>0</v>
      </c>
      <c r="K49" s="3"/>
      <c r="L49" s="8">
        <f t="shared" si="26"/>
        <v>-3000</v>
      </c>
      <c r="M49" s="3"/>
      <c r="N49" s="7">
        <f t="shared" si="27"/>
        <v>-1</v>
      </c>
      <c r="O49" s="11"/>
      <c r="P49" s="8"/>
      <c r="Q49" s="3"/>
      <c r="R49" s="7">
        <f t="shared" si="28"/>
        <v>0</v>
      </c>
      <c r="S49" s="3"/>
      <c r="T49" s="8">
        <v>3000</v>
      </c>
      <c r="U49" s="3"/>
      <c r="V49" s="7">
        <f t="shared" si="29"/>
        <v>0</v>
      </c>
      <c r="W49" s="3"/>
      <c r="X49" s="8">
        <f t="shared" si="30"/>
        <v>-3000</v>
      </c>
      <c r="Y49" s="3"/>
      <c r="Z49" s="7">
        <f t="shared" si="31"/>
        <v>-1</v>
      </c>
    </row>
    <row r="50" spans="1:26" s="24" customFormat="1" hidden="1" outlineLevel="2" x14ac:dyDescent="0.3">
      <c r="A50" s="29"/>
      <c r="B50" s="11" t="str">
        <f>CONCATENATE("          ", "6373", " - ", "MAINTENANCE CONTRACTS")</f>
        <v xml:space="preserve">          6373 - MAINTENANCE CONTRACTS</v>
      </c>
      <c r="C50" s="11"/>
      <c r="D50" s="8">
        <v>9466</v>
      </c>
      <c r="E50" s="3"/>
      <c r="F50" s="7">
        <f t="shared" si="24"/>
        <v>0</v>
      </c>
      <c r="G50" s="3"/>
      <c r="H50" s="8">
        <v>9467</v>
      </c>
      <c r="I50" s="3"/>
      <c r="J50" s="7">
        <f t="shared" si="25"/>
        <v>0</v>
      </c>
      <c r="K50" s="3"/>
      <c r="L50" s="8">
        <f t="shared" si="26"/>
        <v>-1</v>
      </c>
      <c r="M50" s="3"/>
      <c r="N50" s="7">
        <f t="shared" si="27"/>
        <v>-1.0563008344776593E-4</v>
      </c>
      <c r="O50" s="11"/>
      <c r="P50" s="8">
        <v>9466</v>
      </c>
      <c r="Q50" s="3"/>
      <c r="R50" s="7">
        <f t="shared" si="28"/>
        <v>0</v>
      </c>
      <c r="S50" s="3"/>
      <c r="T50" s="8">
        <v>9467</v>
      </c>
      <c r="U50" s="3"/>
      <c r="V50" s="7">
        <f t="shared" si="29"/>
        <v>0</v>
      </c>
      <c r="W50" s="3"/>
      <c r="X50" s="8">
        <f t="shared" si="30"/>
        <v>-1</v>
      </c>
      <c r="Y50" s="3"/>
      <c r="Z50" s="7">
        <f t="shared" si="31"/>
        <v>-1.0563008344776593E-4</v>
      </c>
    </row>
    <row r="51" spans="1:26" s="27" customFormat="1" outlineLevel="1" collapsed="1" x14ac:dyDescent="0.3">
      <c r="A51" s="28"/>
      <c r="B51" s="14" t="str">
        <f>CONCATENATE("     ","Supplies                                          ")</f>
        <v xml:space="preserve">     Supplies                                          </v>
      </c>
      <c r="C51" s="14"/>
      <c r="D51" s="1">
        <f>SUM(OSRRefD22_6x_0)</f>
        <v>336.92</v>
      </c>
      <c r="E51" s="1"/>
      <c r="F51" s="5">
        <f t="shared" ref="F51:F55" si="32">IF(D$12=0,0,D51/D$12)</f>
        <v>0</v>
      </c>
      <c r="G51" s="1"/>
      <c r="H51" s="1">
        <f>SUM(OSRRefH22_6x_0)</f>
        <v>100</v>
      </c>
      <c r="I51" s="1"/>
      <c r="J51" s="5">
        <f t="shared" ref="J51:J55" si="33">IF(H$12=0,0,H51/H$12)</f>
        <v>0</v>
      </c>
      <c r="K51" s="1"/>
      <c r="L51" s="1">
        <f t="shared" ref="L51:L55" si="34">+D51-H51</f>
        <v>236.92000000000002</v>
      </c>
      <c r="M51" s="1"/>
      <c r="N51" s="5">
        <f t="shared" ref="N51:N55" si="35">IF(H51=0,0,L51/H51)</f>
        <v>2.3692000000000002</v>
      </c>
      <c r="O51" s="14"/>
      <c r="P51" s="1">
        <f>SUM(OSRRefP22_6x_0)</f>
        <v>336.92</v>
      </c>
      <c r="Q51" s="1"/>
      <c r="R51" s="5">
        <f t="shared" ref="R51:R55" si="36">IF(P$12=0,0,P51/P$12)</f>
        <v>0</v>
      </c>
      <c r="S51" s="1"/>
      <c r="T51" s="1">
        <f>SUM(OSRRefT22_6x_0)</f>
        <v>100</v>
      </c>
      <c r="U51" s="1"/>
      <c r="V51" s="5">
        <f t="shared" ref="V51:V55" si="37">IF(T$12=0,0,T51/T$12)</f>
        <v>0</v>
      </c>
      <c r="W51" s="1"/>
      <c r="X51" s="1">
        <f t="shared" ref="X51:X55" si="38">+P51-T51</f>
        <v>236.92000000000002</v>
      </c>
      <c r="Y51" s="1"/>
      <c r="Z51" s="5">
        <f t="shared" ref="Z51:Z55" si="39">IF(T51=0,0,X51/T51)</f>
        <v>2.3692000000000002</v>
      </c>
    </row>
    <row r="52" spans="1:26" s="24" customFormat="1" hidden="1" outlineLevel="2" x14ac:dyDescent="0.3">
      <c r="A52" s="29"/>
      <c r="B52" s="11" t="str">
        <f>CONCATENATE("          ", "6241", " - ", "OFFICE EXPENSE")</f>
        <v xml:space="preserve">          6241 - OFFICE EXPENSE</v>
      </c>
      <c r="C52" s="11"/>
      <c r="D52" s="8">
        <v>336.92</v>
      </c>
      <c r="E52" s="3"/>
      <c r="F52" s="7">
        <f t="shared" si="32"/>
        <v>0</v>
      </c>
      <c r="G52" s="3"/>
      <c r="H52" s="8">
        <v>100</v>
      </c>
      <c r="I52" s="3"/>
      <c r="J52" s="7">
        <f t="shared" si="33"/>
        <v>0</v>
      </c>
      <c r="K52" s="3"/>
      <c r="L52" s="8">
        <f t="shared" si="34"/>
        <v>236.92000000000002</v>
      </c>
      <c r="M52" s="3"/>
      <c r="N52" s="7">
        <f t="shared" si="35"/>
        <v>2.3692000000000002</v>
      </c>
      <c r="O52" s="11"/>
      <c r="P52" s="8">
        <v>336.92</v>
      </c>
      <c r="Q52" s="3"/>
      <c r="R52" s="7">
        <f t="shared" si="36"/>
        <v>0</v>
      </c>
      <c r="S52" s="3"/>
      <c r="T52" s="8">
        <v>100</v>
      </c>
      <c r="U52" s="3"/>
      <c r="V52" s="7">
        <f t="shared" si="37"/>
        <v>0</v>
      </c>
      <c r="W52" s="3"/>
      <c r="X52" s="8">
        <f t="shared" si="38"/>
        <v>236.92000000000002</v>
      </c>
      <c r="Y52" s="3"/>
      <c r="Z52" s="7">
        <f t="shared" si="39"/>
        <v>2.3692000000000002</v>
      </c>
    </row>
    <row r="53" spans="1:26" s="27" customFormat="1" outlineLevel="1" collapsed="1" x14ac:dyDescent="0.3">
      <c r="A53" s="28"/>
      <c r="B53" s="14" t="str">
        <f>CONCATENATE("     ","Telephone/Data Lines                              ")</f>
        <v xml:space="preserve">     Telephone/Data Lines                              </v>
      </c>
      <c r="C53" s="14"/>
      <c r="D53" s="1">
        <f>SUM(OSRRefD22_7x_0)</f>
        <v>913.68000000000006</v>
      </c>
      <c r="E53" s="1"/>
      <c r="F53" s="5">
        <f t="shared" si="32"/>
        <v>0</v>
      </c>
      <c r="G53" s="1"/>
      <c r="H53" s="1">
        <f>SUM(OSRRefH22_7x_0)</f>
        <v>500</v>
      </c>
      <c r="I53" s="1"/>
      <c r="J53" s="5">
        <f t="shared" si="33"/>
        <v>0</v>
      </c>
      <c r="K53" s="1"/>
      <c r="L53" s="1">
        <f t="shared" si="34"/>
        <v>413.68000000000006</v>
      </c>
      <c r="M53" s="1"/>
      <c r="N53" s="5">
        <f t="shared" si="35"/>
        <v>0.8273600000000001</v>
      </c>
      <c r="O53" s="14"/>
      <c r="P53" s="1">
        <f>SUM(OSRRefP22_7x_0)</f>
        <v>913.68000000000006</v>
      </c>
      <c r="Q53" s="1"/>
      <c r="R53" s="5">
        <f t="shared" si="36"/>
        <v>0</v>
      </c>
      <c r="S53" s="1"/>
      <c r="T53" s="1">
        <f>SUM(OSRRefT22_7x_0)</f>
        <v>500</v>
      </c>
      <c r="U53" s="1"/>
      <c r="V53" s="5">
        <f t="shared" si="37"/>
        <v>0</v>
      </c>
      <c r="W53" s="1"/>
      <c r="X53" s="1">
        <f t="shared" si="38"/>
        <v>413.68000000000006</v>
      </c>
      <c r="Y53" s="1"/>
      <c r="Z53" s="5">
        <f t="shared" si="39"/>
        <v>0.8273600000000001</v>
      </c>
    </row>
    <row r="54" spans="1:26" s="24" customFormat="1" hidden="1" outlineLevel="2" x14ac:dyDescent="0.3">
      <c r="A54" s="29"/>
      <c r="B54" s="11" t="str">
        <f>CONCATENATE("          ", "6303", " - ", "DATA PHONE LINES")</f>
        <v xml:space="preserve">          6303 - DATA PHONE LINES</v>
      </c>
      <c r="C54" s="11"/>
      <c r="D54" s="8">
        <v>161.97999999999999</v>
      </c>
      <c r="E54" s="3"/>
      <c r="F54" s="7">
        <f t="shared" si="32"/>
        <v>0</v>
      </c>
      <c r="G54" s="3"/>
      <c r="H54" s="8">
        <v>200</v>
      </c>
      <c r="I54" s="3"/>
      <c r="J54" s="7">
        <f t="shared" si="33"/>
        <v>0</v>
      </c>
      <c r="K54" s="3"/>
      <c r="L54" s="8">
        <f t="shared" si="34"/>
        <v>-38.02000000000001</v>
      </c>
      <c r="M54" s="3"/>
      <c r="N54" s="7">
        <f t="shared" si="35"/>
        <v>-0.19010000000000005</v>
      </c>
      <c r="O54" s="11"/>
      <c r="P54" s="8">
        <v>161.97999999999999</v>
      </c>
      <c r="Q54" s="3"/>
      <c r="R54" s="7">
        <f t="shared" si="36"/>
        <v>0</v>
      </c>
      <c r="S54" s="3"/>
      <c r="T54" s="8">
        <v>200</v>
      </c>
      <c r="U54" s="3"/>
      <c r="V54" s="7">
        <f t="shared" si="37"/>
        <v>0</v>
      </c>
      <c r="W54" s="3"/>
      <c r="X54" s="8">
        <f t="shared" si="38"/>
        <v>-38.02000000000001</v>
      </c>
      <c r="Y54" s="3"/>
      <c r="Z54" s="7">
        <f t="shared" si="39"/>
        <v>-0.19010000000000005</v>
      </c>
    </row>
    <row r="55" spans="1:26" s="24" customFormat="1" hidden="1" outlineLevel="2" x14ac:dyDescent="0.3">
      <c r="A55" s="29"/>
      <c r="B55" s="11" t="str">
        <f>CONCATENATE("          ", "6309", " - ", "TELEPHONE")</f>
        <v xml:space="preserve">          6309 - TELEPHONE</v>
      </c>
      <c r="C55" s="11"/>
      <c r="D55" s="8">
        <v>751.7</v>
      </c>
      <c r="E55" s="3"/>
      <c r="F55" s="7">
        <f t="shared" si="32"/>
        <v>0</v>
      </c>
      <c r="G55" s="3"/>
      <c r="H55" s="8">
        <v>300</v>
      </c>
      <c r="I55" s="3"/>
      <c r="J55" s="7">
        <f t="shared" si="33"/>
        <v>0</v>
      </c>
      <c r="K55" s="3"/>
      <c r="L55" s="8">
        <f t="shared" si="34"/>
        <v>451.70000000000005</v>
      </c>
      <c r="M55" s="3"/>
      <c r="N55" s="7">
        <f t="shared" si="35"/>
        <v>1.5056666666666667</v>
      </c>
      <c r="O55" s="11"/>
      <c r="P55" s="8">
        <v>751.7</v>
      </c>
      <c r="Q55" s="3"/>
      <c r="R55" s="7">
        <f t="shared" si="36"/>
        <v>0</v>
      </c>
      <c r="S55" s="3"/>
      <c r="T55" s="8">
        <v>300</v>
      </c>
      <c r="U55" s="3"/>
      <c r="V55" s="7">
        <f t="shared" si="37"/>
        <v>0</v>
      </c>
      <c r="W55" s="3"/>
      <c r="X55" s="8">
        <f t="shared" si="38"/>
        <v>451.70000000000005</v>
      </c>
      <c r="Y55" s="3"/>
      <c r="Z55" s="7">
        <f t="shared" si="39"/>
        <v>1.5056666666666667</v>
      </c>
    </row>
    <row r="56" spans="1:26" s="62" customFormat="1" x14ac:dyDescent="0.3">
      <c r="A56" s="36"/>
      <c r="B56" s="36"/>
      <c r="C56" s="36"/>
      <c r="D56" s="1"/>
      <c r="E56" s="1"/>
      <c r="F56" s="5"/>
      <c r="G56" s="1"/>
      <c r="H56" s="1"/>
      <c r="I56" s="1"/>
      <c r="J56" s="5"/>
      <c r="K56" s="1"/>
      <c r="L56" s="1"/>
      <c r="M56" s="1"/>
      <c r="N56" s="5"/>
      <c r="O56" s="36"/>
      <c r="P56" s="1"/>
      <c r="Q56" s="1"/>
      <c r="R56" s="5"/>
      <c r="S56" s="1"/>
      <c r="T56" s="1"/>
      <c r="U56" s="1"/>
      <c r="V56" s="5"/>
      <c r="W56" s="1"/>
      <c r="X56" s="1"/>
      <c r="Y56" s="1"/>
      <c r="Z56" s="5"/>
    </row>
    <row r="57" spans="1:26" s="23" customFormat="1" x14ac:dyDescent="0.3">
      <c r="A57" s="10"/>
      <c r="B57" s="25" t="s">
        <v>293</v>
      </c>
      <c r="C57" s="10"/>
      <c r="D57" s="4">
        <f>SUM(0)</f>
        <v>0</v>
      </c>
      <c r="E57" s="4"/>
      <c r="F57" s="12">
        <f>IF(D$12=0,0,D57/D$12)</f>
        <v>0</v>
      </c>
      <c r="G57" s="4"/>
      <c r="H57" s="4">
        <f>SUM(0)</f>
        <v>0</v>
      </c>
      <c r="I57" s="4"/>
      <c r="J57" s="12">
        <f>IF(H$12=0,0,H57/H$12)</f>
        <v>0</v>
      </c>
      <c r="K57" s="4"/>
      <c r="L57" s="4">
        <f>+D57-H57</f>
        <v>0</v>
      </c>
      <c r="M57" s="4"/>
      <c r="N57" s="12">
        <f>IF(H57=0,0,L57/H57)</f>
        <v>0</v>
      </c>
      <c r="O57" s="10"/>
      <c r="P57" s="4">
        <f>SUM(0)</f>
        <v>0</v>
      </c>
      <c r="Q57" s="4"/>
      <c r="R57" s="12">
        <f>IF(P$12=0,0,P57/P$12)</f>
        <v>0</v>
      </c>
      <c r="S57" s="4"/>
      <c r="T57" s="4">
        <f>SUM(0)</f>
        <v>0</v>
      </c>
      <c r="U57" s="4"/>
      <c r="V57" s="12">
        <f>IF(T$12=0,0,T57/T$12)</f>
        <v>0</v>
      </c>
      <c r="W57" s="4"/>
      <c r="X57" s="4">
        <f>+P57-T57</f>
        <v>0</v>
      </c>
      <c r="Y57" s="4"/>
      <c r="Z57" s="12">
        <f>IF(T57=0,0,X57/T57)</f>
        <v>0</v>
      </c>
    </row>
    <row r="58" spans="1:26" x14ac:dyDescent="0.3">
      <c r="A58" s="9"/>
      <c r="B58" s="10"/>
      <c r="C58" s="10"/>
      <c r="D58" s="2"/>
      <c r="E58" s="2"/>
      <c r="F58" s="6"/>
      <c r="G58" s="2"/>
      <c r="H58" s="2"/>
      <c r="I58" s="2"/>
      <c r="J58" s="6"/>
      <c r="K58" s="2"/>
      <c r="L58" s="2"/>
      <c r="M58" s="2"/>
      <c r="N58" s="6"/>
      <c r="O58" s="10"/>
      <c r="P58" s="2"/>
      <c r="Q58" s="2"/>
      <c r="R58" s="6"/>
      <c r="S58" s="2"/>
      <c r="T58" s="2"/>
      <c r="U58" s="2"/>
      <c r="V58" s="6"/>
      <c r="W58" s="2"/>
      <c r="X58" s="2"/>
      <c r="Y58" s="2"/>
      <c r="Z58" s="6"/>
    </row>
    <row r="59" spans="1:26" s="23" customFormat="1" x14ac:dyDescent="0.3">
      <c r="A59" s="10"/>
      <c r="B59" s="26" t="s">
        <v>277</v>
      </c>
      <c r="C59" s="26"/>
      <c r="D59" s="21">
        <f>+D16-D18+D57</f>
        <v>-47853.990000000005</v>
      </c>
      <c r="E59" s="13"/>
      <c r="F59" s="22">
        <f>IF(D$12=0,0,D59/D$12)</f>
        <v>0</v>
      </c>
      <c r="G59" s="13"/>
      <c r="H59" s="21">
        <f>+H16-H18+H57</f>
        <v>-58991.082559230737</v>
      </c>
      <c r="I59" s="13"/>
      <c r="J59" s="22">
        <f>IF(H$12=0,0,H59/H$12)</f>
        <v>0</v>
      </c>
      <c r="K59" s="16"/>
      <c r="L59" s="21">
        <f>+D59-H59</f>
        <v>11137.092559230732</v>
      </c>
      <c r="M59" s="16"/>
      <c r="N59" s="22">
        <f>IF(H59=0,0,L59/H59)</f>
        <v>-0.18879281538948525</v>
      </c>
      <c r="O59" s="25"/>
      <c r="P59" s="21">
        <f>+P16-P18+P57</f>
        <v>-47853.990000000005</v>
      </c>
      <c r="Q59" s="13"/>
      <c r="R59" s="22">
        <f>IF(P$12=0,0,P59/P$12)</f>
        <v>0</v>
      </c>
      <c r="S59" s="13"/>
      <c r="T59" s="21">
        <f>+T16-T18+T57</f>
        <v>-58991.082559230737</v>
      </c>
      <c r="U59" s="13"/>
      <c r="V59" s="22">
        <f>IF(T$12=0,0,T59/T$12)</f>
        <v>0</v>
      </c>
      <c r="W59" s="16"/>
      <c r="X59" s="21">
        <f>+P59-T59</f>
        <v>11137.092559230732</v>
      </c>
      <c r="Y59" s="16"/>
      <c r="Z59" s="22">
        <f>IF(T59=0,0,X59/T59)</f>
        <v>-0.18879281538948525</v>
      </c>
    </row>
    <row r="60" spans="1:26" x14ac:dyDescent="0.3">
      <c r="A60" s="9"/>
      <c r="B60" s="10"/>
      <c r="C60" s="9"/>
      <c r="D60" s="2"/>
      <c r="E60" s="2"/>
      <c r="F60" s="6"/>
      <c r="G60" s="2"/>
      <c r="H60" s="2"/>
      <c r="I60" s="2"/>
      <c r="J60" s="6"/>
      <c r="K60" s="2"/>
      <c r="L60" s="2"/>
      <c r="M60" s="2"/>
      <c r="N60" s="6"/>
      <c r="P60" s="2"/>
      <c r="Q60" s="2"/>
      <c r="R60" s="6"/>
      <c r="S60" s="2"/>
      <c r="T60" s="2"/>
      <c r="U60" s="2"/>
      <c r="V60" s="6"/>
      <c r="W60" s="2"/>
      <c r="X60" s="2"/>
      <c r="Y60" s="2"/>
      <c r="Z60" s="6"/>
    </row>
    <row r="61" spans="1:26" s="23" customFormat="1" x14ac:dyDescent="0.3">
      <c r="A61" s="52"/>
      <c r="B61" s="10" t="s">
        <v>128</v>
      </c>
      <c r="C61" s="10"/>
      <c r="D61" s="4"/>
      <c r="E61" s="4"/>
      <c r="F61" s="12">
        <f>IF(D$12=0,0,D61/D$12)</f>
        <v>0</v>
      </c>
      <c r="G61" s="4"/>
      <c r="H61" s="4"/>
      <c r="I61" s="4"/>
      <c r="J61" s="12">
        <f>IF(H$12=0,0,H61/H$12)</f>
        <v>0</v>
      </c>
      <c r="K61" s="4"/>
      <c r="L61" s="4">
        <f>+D61-H61</f>
        <v>0</v>
      </c>
      <c r="M61" s="4"/>
      <c r="N61" s="12">
        <f>IF(H61=0,0,L61/H61)</f>
        <v>0</v>
      </c>
      <c r="O61" s="10"/>
      <c r="P61" s="4"/>
      <c r="Q61" s="4"/>
      <c r="R61" s="12">
        <f>IF(P$12=0,0,P61/P$12)</f>
        <v>0</v>
      </c>
      <c r="S61" s="4"/>
      <c r="T61" s="4"/>
      <c r="U61" s="4"/>
      <c r="V61" s="12">
        <f>IF(T$12=0,0,T61/T$12)</f>
        <v>0</v>
      </c>
      <c r="W61" s="4"/>
      <c r="X61" s="4">
        <f>+P61-T61</f>
        <v>0</v>
      </c>
      <c r="Y61" s="4"/>
      <c r="Z61" s="12">
        <f>IF(T61=0,0,X61/T61)</f>
        <v>0</v>
      </c>
    </row>
    <row r="62" spans="1:26" x14ac:dyDescent="0.3">
      <c r="A62" s="9"/>
      <c r="B62" s="10"/>
      <c r="C62" s="10"/>
      <c r="D62" s="2"/>
      <c r="E62" s="2"/>
      <c r="F62" s="6"/>
      <c r="G62" s="2"/>
      <c r="H62" s="2"/>
      <c r="I62" s="2"/>
      <c r="J62" s="6"/>
      <c r="K62" s="2"/>
      <c r="L62" s="2"/>
      <c r="M62" s="2"/>
      <c r="N62" s="6"/>
      <c r="O62" s="10"/>
      <c r="P62" s="2"/>
      <c r="Q62" s="2"/>
      <c r="R62" s="6"/>
      <c r="S62" s="2"/>
      <c r="T62" s="2"/>
      <c r="U62" s="2"/>
      <c r="V62" s="6"/>
      <c r="W62" s="2"/>
      <c r="X62" s="2"/>
      <c r="Y62" s="2"/>
      <c r="Z62" s="6"/>
    </row>
    <row r="63" spans="1:26" s="23" customFormat="1" ht="15" thickBot="1" x14ac:dyDescent="0.35">
      <c r="A63" s="10"/>
      <c r="B63" s="26" t="s">
        <v>126</v>
      </c>
      <c r="C63" s="26"/>
      <c r="D63" s="35">
        <f>+D59-D61</f>
        <v>-47853.990000000005</v>
      </c>
      <c r="E63" s="13"/>
      <c r="F63" s="30">
        <f>IF(D$12=0,0,D63/D$12)</f>
        <v>0</v>
      </c>
      <c r="G63" s="13"/>
      <c r="H63" s="35">
        <f>+H59-H61</f>
        <v>-58991.082559230737</v>
      </c>
      <c r="I63" s="13"/>
      <c r="J63" s="30">
        <f>IF(H$12=0,0,H63/H$12)</f>
        <v>0</v>
      </c>
      <c r="K63" s="16"/>
      <c r="L63" s="35">
        <f>D63-H63</f>
        <v>11137.092559230732</v>
      </c>
      <c r="M63" s="16"/>
      <c r="N63" s="30">
        <f>IF(H63=0,0,L63/H63)</f>
        <v>-0.18879281538948525</v>
      </c>
      <c r="O63" s="25"/>
      <c r="P63" s="35">
        <f>+P59-P61</f>
        <v>-47853.990000000005</v>
      </c>
      <c r="Q63" s="13"/>
      <c r="R63" s="30">
        <f>IF(P$12=0,0,P63/P$12)</f>
        <v>0</v>
      </c>
      <c r="S63" s="13"/>
      <c r="T63" s="35">
        <f>+T59-T61</f>
        <v>-58991.082559230737</v>
      </c>
      <c r="U63" s="13"/>
      <c r="V63" s="30">
        <f>IF(T$12=0,0,T63/T$12)</f>
        <v>0</v>
      </c>
      <c r="W63" s="16"/>
      <c r="X63" s="35">
        <f>P63-T63</f>
        <v>11137.092559230732</v>
      </c>
      <c r="Y63" s="16"/>
      <c r="Z63" s="30">
        <f>IF(T63=0,0,X63/T63)</f>
        <v>-0.18879281538948525</v>
      </c>
    </row>
    <row r="64" spans="1:26" ht="15" thickTop="1" x14ac:dyDescent="0.3">
      <c r="A64" s="9"/>
      <c r="B64" s="9"/>
      <c r="C64" s="9"/>
      <c r="D64" s="2"/>
      <c r="E64" s="2"/>
      <c r="F64" s="6"/>
      <c r="G64" s="2"/>
      <c r="H64" s="2"/>
      <c r="I64" s="2"/>
      <c r="J64" s="6"/>
      <c r="K64" s="2"/>
      <c r="L64" s="2"/>
      <c r="M64" s="2"/>
      <c r="N64" s="6"/>
      <c r="P64" s="2"/>
      <c r="Q64" s="2"/>
      <c r="R64" s="6"/>
      <c r="S64" s="2"/>
      <c r="T64" s="2"/>
      <c r="U64" s="2"/>
      <c r="V64" s="6"/>
      <c r="W64" s="2"/>
      <c r="X64" s="2"/>
      <c r="Y64" s="2"/>
      <c r="Z64" s="6"/>
    </row>
    <row r="65" spans="1:26" x14ac:dyDescent="0.3">
      <c r="A65" s="9"/>
      <c r="B65" s="9"/>
      <c r="C65" s="9"/>
      <c r="D65" s="2"/>
      <c r="E65" s="2"/>
      <c r="F65" s="6"/>
      <c r="G65" s="2"/>
      <c r="H65" s="2"/>
      <c r="I65" s="2"/>
      <c r="J65" s="6"/>
      <c r="K65" s="2"/>
      <c r="L65" s="2"/>
      <c r="M65" s="2"/>
      <c r="N65" s="6"/>
      <c r="P65" s="2"/>
      <c r="Q65" s="2"/>
      <c r="R65" s="6"/>
      <c r="S65" s="2"/>
      <c r="T65" s="2"/>
      <c r="U65" s="2"/>
      <c r="V65" s="6"/>
      <c r="W65" s="2"/>
      <c r="X65" s="2"/>
      <c r="Y65" s="2"/>
      <c r="Z65" s="6"/>
    </row>
    <row r="66" spans="1:26" s="23" customFormat="1" ht="15" thickBot="1" x14ac:dyDescent="0.35">
      <c r="A66" s="10"/>
      <c r="B66" s="26" t="s">
        <v>294</v>
      </c>
      <c r="C66" s="26"/>
      <c r="D66" s="33">
        <f>SUM(D63:D65)</f>
        <v>-47853.990000000005</v>
      </c>
      <c r="E66" s="13"/>
      <c r="F66" s="31">
        <f>IF(D$12=0,0,D66/D$12)</f>
        <v>0</v>
      </c>
      <c r="G66" s="13"/>
      <c r="H66" s="33">
        <f>SUM(H63:H65)</f>
        <v>-58991.082559230737</v>
      </c>
      <c r="I66" s="13"/>
      <c r="J66" s="31">
        <f>IF(H$12=0,0,H66/H$12)</f>
        <v>0</v>
      </c>
      <c r="K66" s="16"/>
      <c r="L66" s="33">
        <f>+D66-H66</f>
        <v>11137.092559230732</v>
      </c>
      <c r="M66" s="16"/>
      <c r="N66" s="31">
        <f>IF(H66=0,0,L66/H66)</f>
        <v>-0.18879281538948525</v>
      </c>
      <c r="O66" s="25"/>
      <c r="P66" s="33">
        <f>SUM(P63:P65)</f>
        <v>-47853.990000000005</v>
      </c>
      <c r="Q66" s="13"/>
      <c r="R66" s="31">
        <f>IF(P$12=0,0,P66/P$12)</f>
        <v>0</v>
      </c>
      <c r="S66" s="13"/>
      <c r="T66" s="33">
        <f>SUM(T63:T65)</f>
        <v>-58991.082559230737</v>
      </c>
      <c r="U66" s="13"/>
      <c r="V66" s="31">
        <f>IF(T$12=0,0,T66/T$12)</f>
        <v>0</v>
      </c>
      <c r="W66" s="16"/>
      <c r="X66" s="33">
        <f>+P66-T66</f>
        <v>11137.092559230732</v>
      </c>
      <c r="Y66" s="16"/>
      <c r="Z66" s="31">
        <f>IF(T66=0,0,X66/T66)</f>
        <v>-0.18879281538948525</v>
      </c>
    </row>
    <row r="67" spans="1:26" ht="15" thickTop="1" x14ac:dyDescent="0.3">
      <c r="A67" s="9"/>
      <c r="C67" s="9"/>
      <c r="D67" s="18"/>
      <c r="E67" s="18"/>
      <c r="G67" s="18"/>
      <c r="H67" s="18"/>
      <c r="I67" s="18"/>
      <c r="J67" s="43"/>
      <c r="K67" s="18"/>
      <c r="L67" s="18"/>
      <c r="M67" s="18"/>
      <c r="P67" s="18"/>
      <c r="Q67" s="18"/>
      <c r="R67" s="43"/>
      <c r="S67" s="18"/>
      <c r="T67" s="18"/>
      <c r="U67" s="18"/>
      <c r="V67" s="43"/>
      <c r="W67" s="18"/>
      <c r="X67" s="18"/>
    </row>
    <row r="68" spans="1:26" x14ac:dyDescent="0.3">
      <c r="A68" s="9"/>
      <c r="B68" s="54">
        <v>44462.64548684028</v>
      </c>
      <c r="D68" s="18"/>
      <c r="E68" s="18"/>
      <c r="G68" s="18"/>
      <c r="H68" s="18"/>
      <c r="I68" s="18"/>
      <c r="J68" s="43"/>
      <c r="K68" s="18"/>
      <c r="L68" s="18"/>
      <c r="M68" s="18"/>
      <c r="P68" s="18"/>
      <c r="Q68" s="18"/>
      <c r="R68" s="43"/>
      <c r="S68" s="18"/>
      <c r="T68" s="18"/>
      <c r="U68" s="18"/>
      <c r="V68" s="43"/>
      <c r="W68" s="18"/>
      <c r="X68" s="18"/>
    </row>
    <row r="69" spans="1:26" x14ac:dyDescent="0.3">
      <c r="A69" s="9"/>
      <c r="B69" s="59" t="s">
        <v>56</v>
      </c>
      <c r="D69" s="18"/>
      <c r="E69" s="18"/>
      <c r="G69" s="18"/>
      <c r="H69" s="18"/>
      <c r="I69" s="18"/>
      <c r="J69" s="43"/>
      <c r="K69" s="18"/>
      <c r="L69" s="18"/>
      <c r="M69" s="18"/>
      <c r="P69" s="18"/>
      <c r="Q69" s="18"/>
      <c r="R69" s="43"/>
      <c r="S69" s="18"/>
      <c r="T69" s="18"/>
      <c r="U69" s="18"/>
      <c r="V69" s="43"/>
      <c r="W69" s="18"/>
      <c r="X69" s="18"/>
    </row>
    <row r="70" spans="1:26" x14ac:dyDescent="0.3">
      <c r="A70" s="9"/>
      <c r="B70" s="55"/>
      <c r="D70" s="18"/>
      <c r="E70" s="18"/>
      <c r="G70" s="18"/>
      <c r="H70" s="18"/>
      <c r="I70" s="18"/>
      <c r="J70" s="43"/>
      <c r="K70" s="18"/>
      <c r="L70" s="18"/>
      <c r="M70" s="18"/>
      <c r="P70" s="18"/>
      <c r="Q70" s="18"/>
      <c r="R70" s="43"/>
      <c r="S70" s="18"/>
      <c r="T70" s="18"/>
      <c r="U70" s="18"/>
      <c r="V70" s="43"/>
      <c r="W70" s="18"/>
      <c r="X70" s="18"/>
    </row>
    <row r="71" spans="1:26" x14ac:dyDescent="0.3">
      <c r="D71" s="18"/>
      <c r="E71" s="18"/>
      <c r="G71" s="18"/>
      <c r="H71" s="18"/>
      <c r="I71" s="18"/>
      <c r="J71" s="43"/>
      <c r="K71" s="18"/>
      <c r="L71" s="18"/>
      <c r="M71" s="18"/>
      <c r="P71" s="18"/>
      <c r="Q71" s="18"/>
      <c r="R71" s="43"/>
      <c r="S71" s="18"/>
      <c r="T71" s="18"/>
      <c r="U71" s="18"/>
      <c r="V71" s="43"/>
      <c r="W71" s="18"/>
      <c r="X71" s="18"/>
    </row>
  </sheetData>
  <pageMargins left="0.25" right="0.25" top="0.75" bottom="0.75" header="0.3" footer="0.3"/>
  <pageSetup scale="55" fitToWidth="2" orientation="landscape"/>
  <drawing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>
    <tabColor rgb="FF92D050"/>
    <outlinePr summaryBelow="0" summaryRight="0"/>
  </sheetPr>
  <dimension ref="A2:Z69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50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7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50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7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7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7" customWidth="1" outlineLevel="1"/>
  </cols>
  <sheetData>
    <row r="2" spans="1:26" x14ac:dyDescent="0.3">
      <c r="D2" s="57" t="s">
        <v>23</v>
      </c>
    </row>
    <row r="3" spans="1:26" x14ac:dyDescent="0.3">
      <c r="D3" s="57" t="s">
        <v>237</v>
      </c>
      <c r="E3" s="17"/>
      <c r="F3" s="51"/>
      <c r="G3" s="17"/>
      <c r="H3" s="17"/>
      <c r="I3" s="17"/>
      <c r="J3" s="39"/>
      <c r="K3" s="17"/>
      <c r="L3" s="17"/>
      <c r="M3" s="17"/>
      <c r="N3" s="51"/>
      <c r="O3" s="61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3">
      <c r="D4" s="57" t="str">
        <f>CONCATENATE("Period ",RIGHT(202201,2),", ",2022)</f>
        <v>Period 01, 2022</v>
      </c>
      <c r="E4" s="17"/>
      <c r="F4" s="51"/>
      <c r="G4" s="17"/>
      <c r="H4" s="17"/>
      <c r="I4" s="17"/>
      <c r="J4" s="39"/>
      <c r="K4" s="17"/>
      <c r="L4" s="17"/>
      <c r="M4" s="17"/>
      <c r="N4" s="51"/>
      <c r="O4" s="61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3">
      <c r="A5" s="23"/>
      <c r="D5" s="64">
        <v>44408</v>
      </c>
      <c r="E5" s="17"/>
      <c r="F5" s="51"/>
      <c r="G5" s="17"/>
      <c r="H5" s="17"/>
      <c r="I5" s="17"/>
      <c r="J5" s="39"/>
      <c r="K5" s="17"/>
      <c r="L5" s="17"/>
      <c r="M5" s="17"/>
      <c r="N5" s="51"/>
      <c r="O5" s="61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3">
      <c r="A6" s="23"/>
      <c r="B6" s="47"/>
      <c r="C6" s="47"/>
      <c r="D6" s="23" t="str">
        <f>CONCATENATE("Department ","205", " - ", "Maintenance")</f>
        <v>Department 205 - Maintenance</v>
      </c>
      <c r="E6" s="17"/>
      <c r="F6" s="51"/>
      <c r="G6" s="17"/>
      <c r="H6" s="17"/>
      <c r="I6" s="17"/>
      <c r="J6" s="39"/>
      <c r="K6" s="17"/>
      <c r="L6" s="17"/>
      <c r="M6" s="17"/>
      <c r="N6" s="51"/>
      <c r="O6" s="60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3">
      <c r="B7" s="63"/>
    </row>
    <row r="8" spans="1:26" x14ac:dyDescent="0.3">
      <c r="B8" s="63"/>
    </row>
    <row r="9" spans="1:26" x14ac:dyDescent="0.3">
      <c r="B9" s="9"/>
      <c r="C9" s="9"/>
      <c r="D9" s="15" t="s">
        <v>292</v>
      </c>
      <c r="E9" s="15"/>
      <c r="F9" s="38"/>
      <c r="G9" s="15"/>
      <c r="H9" s="15"/>
      <c r="I9" s="15"/>
      <c r="J9" s="49"/>
      <c r="K9" s="15"/>
      <c r="L9" s="15"/>
      <c r="M9" s="15"/>
      <c r="N9" s="38"/>
      <c r="P9" s="15" t="s">
        <v>39</v>
      </c>
      <c r="Q9" s="15"/>
      <c r="R9" s="38"/>
      <c r="S9" s="15"/>
      <c r="T9" s="15"/>
      <c r="U9" s="15"/>
      <c r="V9" s="49"/>
      <c r="W9" s="15"/>
      <c r="X9" s="15"/>
      <c r="Y9" s="15"/>
      <c r="Z9" s="38"/>
    </row>
    <row r="10" spans="1:26" x14ac:dyDescent="0.3">
      <c r="A10" s="10"/>
      <c r="B10" s="53"/>
      <c r="C10" s="10"/>
      <c r="D10" s="42" t="s">
        <v>57</v>
      </c>
      <c r="E10" s="34"/>
      <c r="F10" s="40" t="s">
        <v>40</v>
      </c>
      <c r="G10" s="34"/>
      <c r="H10" s="45" t="s">
        <v>238</v>
      </c>
      <c r="I10" s="34"/>
      <c r="J10" s="48" t="s">
        <v>58</v>
      </c>
      <c r="K10" s="10"/>
      <c r="L10" s="42" t="s">
        <v>127</v>
      </c>
      <c r="M10" s="10"/>
      <c r="N10" s="40" t="s">
        <v>258</v>
      </c>
      <c r="O10" s="10"/>
      <c r="P10" s="56" t="s">
        <v>57</v>
      </c>
      <c r="Q10" s="34"/>
      <c r="R10" s="40" t="s">
        <v>40</v>
      </c>
      <c r="S10" s="34"/>
      <c r="T10" s="45" t="s">
        <v>238</v>
      </c>
      <c r="U10" s="34"/>
      <c r="V10" s="48" t="s">
        <v>58</v>
      </c>
      <c r="W10" s="10"/>
      <c r="X10" s="42" t="s">
        <v>127</v>
      </c>
      <c r="Y10" s="10"/>
      <c r="Z10" s="40" t="s">
        <v>258</v>
      </c>
    </row>
    <row r="11" spans="1:26" ht="15.6" x14ac:dyDescent="0.3">
      <c r="A11" s="9"/>
      <c r="B11" s="58"/>
      <c r="C11" s="9"/>
      <c r="D11" s="9"/>
      <c r="E11" s="9"/>
      <c r="F11" s="6"/>
      <c r="G11" s="9"/>
      <c r="H11" s="9"/>
      <c r="I11" s="9"/>
      <c r="J11" s="46"/>
      <c r="K11" s="9"/>
      <c r="L11" s="9"/>
      <c r="M11" s="9"/>
      <c r="N11" s="6"/>
      <c r="P11" s="9"/>
      <c r="Q11" s="9"/>
      <c r="R11" s="6"/>
      <c r="S11" s="9"/>
      <c r="T11" s="9"/>
      <c r="U11" s="9"/>
      <c r="V11" s="46"/>
      <c r="W11" s="9"/>
      <c r="X11" s="9"/>
      <c r="Y11" s="9"/>
      <c r="Z11" s="6"/>
    </row>
    <row r="12" spans="1:26" s="23" customFormat="1" x14ac:dyDescent="0.3">
      <c r="A12" s="10"/>
      <c r="B12" s="25" t="s">
        <v>140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3">
      <c r="A13" s="9"/>
      <c r="B13" s="10"/>
      <c r="C13" s="9"/>
      <c r="D13" s="2"/>
      <c r="E13" s="2"/>
      <c r="F13" s="6"/>
      <c r="G13" s="2"/>
      <c r="H13" s="2"/>
      <c r="I13" s="2"/>
      <c r="J13" s="6"/>
      <c r="K13" s="2"/>
      <c r="L13" s="2"/>
      <c r="M13" s="2"/>
      <c r="N13" s="6"/>
      <c r="P13" s="2"/>
      <c r="Q13" s="2"/>
      <c r="R13" s="6"/>
      <c r="S13" s="2"/>
      <c r="T13" s="2"/>
      <c r="U13" s="2"/>
      <c r="V13" s="6"/>
      <c r="W13" s="2"/>
      <c r="X13" s="2"/>
      <c r="Y13" s="2"/>
      <c r="Z13" s="6"/>
    </row>
    <row r="14" spans="1:26" s="23" customFormat="1" x14ac:dyDescent="0.3">
      <c r="A14" s="10"/>
      <c r="B14" s="25" t="s">
        <v>257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3">
      <c r="A15" s="9"/>
      <c r="B15" s="10"/>
      <c r="C15" s="10"/>
      <c r="D15" s="2"/>
      <c r="E15" s="2"/>
      <c r="F15" s="6"/>
      <c r="G15" s="2"/>
      <c r="H15" s="2"/>
      <c r="I15" s="2"/>
      <c r="J15" s="6"/>
      <c r="K15" s="2"/>
      <c r="L15" s="2"/>
      <c r="M15" s="2"/>
      <c r="N15" s="6"/>
      <c r="O15" s="10"/>
      <c r="P15" s="2"/>
      <c r="Q15" s="2"/>
      <c r="R15" s="6"/>
      <c r="S15" s="2"/>
      <c r="T15" s="2"/>
      <c r="U15" s="2"/>
      <c r="V15" s="6"/>
      <c r="W15" s="2"/>
      <c r="X15" s="2"/>
      <c r="Y15" s="2"/>
      <c r="Z15" s="6"/>
    </row>
    <row r="16" spans="1:26" s="23" customFormat="1" x14ac:dyDescent="0.3">
      <c r="A16" s="10"/>
      <c r="B16" s="26" t="s">
        <v>108</v>
      </c>
      <c r="C16" s="26"/>
      <c r="D16" s="21">
        <f>D12-D14</f>
        <v>0</v>
      </c>
      <c r="E16" s="13"/>
      <c r="F16" s="22">
        <f>IF(D$12=0,0,D16/D$12)</f>
        <v>0</v>
      </c>
      <c r="G16" s="13"/>
      <c r="H16" s="21">
        <f>H12-H14</f>
        <v>0</v>
      </c>
      <c r="I16" s="13"/>
      <c r="J16" s="22">
        <f>IF(H$12=0,0,H16/H$12)</f>
        <v>0</v>
      </c>
      <c r="K16" s="16"/>
      <c r="L16" s="21">
        <f>+D16-H16</f>
        <v>0</v>
      </c>
      <c r="M16" s="16"/>
      <c r="N16" s="22">
        <f>IF(H16=0,0,L16/H16)</f>
        <v>0</v>
      </c>
      <c r="O16" s="25"/>
      <c r="P16" s="21">
        <f>P12-P14</f>
        <v>0</v>
      </c>
      <c r="Q16" s="13"/>
      <c r="R16" s="22">
        <f>IF(P$12=0,0,P16/P$12)</f>
        <v>0</v>
      </c>
      <c r="S16" s="13"/>
      <c r="T16" s="21">
        <f>T12-T14</f>
        <v>0</v>
      </c>
      <c r="U16" s="13"/>
      <c r="V16" s="22">
        <f>IF(T$12=0,0,T16/T$12)</f>
        <v>0</v>
      </c>
      <c r="W16" s="16"/>
      <c r="X16" s="21">
        <f>+P16-T16</f>
        <v>0</v>
      </c>
      <c r="Y16" s="16"/>
      <c r="Z16" s="22">
        <f>IF(T16=0,0,X16/T16)</f>
        <v>0</v>
      </c>
    </row>
    <row r="17" spans="1:26" x14ac:dyDescent="0.3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3">
      <c r="A18" s="10"/>
      <c r="B18" s="25" t="s">
        <v>295</v>
      </c>
      <c r="C18" s="10"/>
      <c r="D18" s="20">
        <f>SUM(OSRRefD22x_0)</f>
        <v>8183.68</v>
      </c>
      <c r="E18" s="20"/>
      <c r="F18" s="32">
        <f t="shared" ref="F18:F28" si="0">IF(D$12=0,0,D18/D$12)</f>
        <v>0</v>
      </c>
      <c r="G18" s="20"/>
      <c r="H18" s="20">
        <f>SUM(OSRRefH22x_0)</f>
        <v>13313.708225</v>
      </c>
      <c r="I18" s="20"/>
      <c r="J18" s="32">
        <f t="shared" ref="J18:J28" si="1">IF(H$12=0,0,H18/H$12)</f>
        <v>0</v>
      </c>
      <c r="K18" s="4"/>
      <c r="L18" s="20">
        <f t="shared" ref="L18:L28" si="2">+D18-H18</f>
        <v>-5130.028225</v>
      </c>
      <c r="M18" s="4"/>
      <c r="N18" s="32">
        <f t="shared" ref="N18:N28" si="3">IF(H18=0,0,L18/H18)</f>
        <v>-0.38531926179417231</v>
      </c>
      <c r="O18" s="10"/>
      <c r="P18" s="20">
        <f>SUM(OSRRefP22x_0)</f>
        <v>8183.68</v>
      </c>
      <c r="Q18" s="20"/>
      <c r="R18" s="32">
        <f t="shared" ref="R18:R28" si="4">IF(P$12=0,0,P18/P$12)</f>
        <v>0</v>
      </c>
      <c r="S18" s="20"/>
      <c r="T18" s="20">
        <f>SUM(OSRRefT22x_0)</f>
        <v>13313.708225</v>
      </c>
      <c r="U18" s="20"/>
      <c r="V18" s="32">
        <f t="shared" ref="V18:V28" si="5">IF(T$12=0,0,T18/T$12)</f>
        <v>0</v>
      </c>
      <c r="W18" s="4"/>
      <c r="X18" s="20">
        <f t="shared" ref="X18:X28" si="6">+P18-T18</f>
        <v>-5130.028225</v>
      </c>
      <c r="Y18" s="4"/>
      <c r="Z18" s="32">
        <f t="shared" ref="Z18:Z28" si="7">IF(T18=0,0,X18/T18)</f>
        <v>-0.38531926179417231</v>
      </c>
    </row>
    <row r="19" spans="1:26" s="27" customFormat="1" outlineLevel="1" collapsed="1" x14ac:dyDescent="0.3">
      <c r="A19" s="28"/>
      <c r="B19" s="14" t="str">
        <f>CONCATENATE("     ","*Benefits                                         ")</f>
        <v xml:space="preserve">     *Benefits                                         </v>
      </c>
      <c r="C19" s="14"/>
      <c r="D19" s="1">
        <f>SUM(OSRRefD22_0x_0)</f>
        <v>2170.5699999999997</v>
      </c>
      <c r="E19" s="1"/>
      <c r="F19" s="5">
        <f t="shared" si="0"/>
        <v>0</v>
      </c>
      <c r="G19" s="1"/>
      <c r="H19" s="1">
        <f>SUM(OSRRefH22_0x_0)</f>
        <v>2274.7332249999999</v>
      </c>
      <c r="I19" s="1"/>
      <c r="J19" s="5">
        <f t="shared" si="1"/>
        <v>0</v>
      </c>
      <c r="K19" s="1"/>
      <c r="L19" s="1">
        <f t="shared" si="2"/>
        <v>-104.16322500000024</v>
      </c>
      <c r="M19" s="1"/>
      <c r="N19" s="5">
        <f t="shared" si="3"/>
        <v>-4.5791402637995159E-2</v>
      </c>
      <c r="O19" s="14"/>
      <c r="P19" s="1">
        <f>SUM(OSRRefP22_0x_0)</f>
        <v>2170.5699999999997</v>
      </c>
      <c r="Q19" s="1"/>
      <c r="R19" s="5">
        <f t="shared" si="4"/>
        <v>0</v>
      </c>
      <c r="S19" s="1"/>
      <c r="T19" s="1">
        <f>SUM(OSRRefT22_0x_0)</f>
        <v>2274.7332249999999</v>
      </c>
      <c r="U19" s="1"/>
      <c r="V19" s="5">
        <f t="shared" si="5"/>
        <v>0</v>
      </c>
      <c r="W19" s="1"/>
      <c r="X19" s="1">
        <f t="shared" si="6"/>
        <v>-104.16322500000024</v>
      </c>
      <c r="Y19" s="1"/>
      <c r="Z19" s="5">
        <f t="shared" si="7"/>
        <v>-4.5791402637995159E-2</v>
      </c>
    </row>
    <row r="20" spans="1:26" s="24" customFormat="1" hidden="1" outlineLevel="2" x14ac:dyDescent="0.3">
      <c r="A20" s="29"/>
      <c r="B20" s="11" t="str">
        <f>CONCATENATE("          ", "6111", " - ", "F.I.C.A.")</f>
        <v xml:space="preserve">          6111 - F.I.C.A.</v>
      </c>
      <c r="C20" s="11"/>
      <c r="D20" s="8">
        <v>318.92</v>
      </c>
      <c r="E20" s="3"/>
      <c r="F20" s="7">
        <f t="shared" si="0"/>
        <v>0</v>
      </c>
      <c r="G20" s="3"/>
      <c r="H20" s="8">
        <v>413.83597500000002</v>
      </c>
      <c r="I20" s="3"/>
      <c r="J20" s="7">
        <f t="shared" si="1"/>
        <v>0</v>
      </c>
      <c r="K20" s="3"/>
      <c r="L20" s="8">
        <f t="shared" si="2"/>
        <v>-94.915975000000003</v>
      </c>
      <c r="M20" s="3"/>
      <c r="N20" s="7">
        <f t="shared" si="3"/>
        <v>-0.22935651014873706</v>
      </c>
      <c r="O20" s="11"/>
      <c r="P20" s="8">
        <v>318.92</v>
      </c>
      <c r="Q20" s="3"/>
      <c r="R20" s="7">
        <f t="shared" si="4"/>
        <v>0</v>
      </c>
      <c r="S20" s="3"/>
      <c r="T20" s="8">
        <v>413.83597500000002</v>
      </c>
      <c r="U20" s="3"/>
      <c r="V20" s="7">
        <f t="shared" si="5"/>
        <v>0</v>
      </c>
      <c r="W20" s="3"/>
      <c r="X20" s="8">
        <f t="shared" si="6"/>
        <v>-94.915975000000003</v>
      </c>
      <c r="Y20" s="3"/>
      <c r="Z20" s="7">
        <f t="shared" si="7"/>
        <v>-0.22935651014873706</v>
      </c>
    </row>
    <row r="21" spans="1:26" s="24" customFormat="1" hidden="1" outlineLevel="2" x14ac:dyDescent="0.3">
      <c r="A21" s="29"/>
      <c r="B21" s="11" t="str">
        <f>CONCATENATE("          ", "6112", " - ", "COMPENSATION INSURANCE")</f>
        <v xml:space="preserve">          6112 - COMPENSATION INSURANCE</v>
      </c>
      <c r="C21" s="11"/>
      <c r="D21" s="8">
        <v>230.54</v>
      </c>
      <c r="E21" s="3"/>
      <c r="F21" s="7">
        <f t="shared" si="0"/>
        <v>0</v>
      </c>
      <c r="G21" s="3"/>
      <c r="H21" s="8">
        <v>368.79149999999998</v>
      </c>
      <c r="I21" s="3"/>
      <c r="J21" s="7">
        <f t="shared" si="1"/>
        <v>0</v>
      </c>
      <c r="K21" s="3"/>
      <c r="L21" s="8">
        <f t="shared" si="2"/>
        <v>-138.25149999999999</v>
      </c>
      <c r="M21" s="3"/>
      <c r="N21" s="7">
        <f t="shared" si="3"/>
        <v>-0.37487713247187093</v>
      </c>
      <c r="O21" s="11"/>
      <c r="P21" s="8">
        <v>230.54</v>
      </c>
      <c r="Q21" s="3"/>
      <c r="R21" s="7">
        <f t="shared" si="4"/>
        <v>0</v>
      </c>
      <c r="S21" s="3"/>
      <c r="T21" s="8">
        <v>368.79149999999998</v>
      </c>
      <c r="U21" s="3"/>
      <c r="V21" s="7">
        <f t="shared" si="5"/>
        <v>0</v>
      </c>
      <c r="W21" s="3"/>
      <c r="X21" s="8">
        <f t="shared" si="6"/>
        <v>-138.25149999999999</v>
      </c>
      <c r="Y21" s="3"/>
      <c r="Z21" s="7">
        <f t="shared" si="7"/>
        <v>-0.37487713247187093</v>
      </c>
    </row>
    <row r="22" spans="1:26" s="24" customFormat="1" hidden="1" outlineLevel="2" x14ac:dyDescent="0.3">
      <c r="A22" s="29"/>
      <c r="B22" s="11" t="str">
        <f>CONCATENATE("          ", "6113", " - ", "GROUP INSURANCE")</f>
        <v xml:space="preserve">          6113 - GROUP INSURANCE</v>
      </c>
      <c r="C22" s="11"/>
      <c r="D22" s="8">
        <v>696.16</v>
      </c>
      <c r="E22" s="3"/>
      <c r="F22" s="7">
        <f t="shared" si="0"/>
        <v>0</v>
      </c>
      <c r="G22" s="3"/>
      <c r="H22" s="8">
        <v>765</v>
      </c>
      <c r="I22" s="3"/>
      <c r="J22" s="7">
        <f t="shared" si="1"/>
        <v>0</v>
      </c>
      <c r="K22" s="3"/>
      <c r="L22" s="8">
        <f t="shared" si="2"/>
        <v>-68.840000000000032</v>
      </c>
      <c r="M22" s="3"/>
      <c r="N22" s="7">
        <f t="shared" si="3"/>
        <v>-8.9986928104575203E-2</v>
      </c>
      <c r="O22" s="11"/>
      <c r="P22" s="8">
        <v>696.16</v>
      </c>
      <c r="Q22" s="3"/>
      <c r="R22" s="7">
        <f t="shared" si="4"/>
        <v>0</v>
      </c>
      <c r="S22" s="3"/>
      <c r="T22" s="8">
        <v>765</v>
      </c>
      <c r="U22" s="3"/>
      <c r="V22" s="7">
        <f t="shared" si="5"/>
        <v>0</v>
      </c>
      <c r="W22" s="3"/>
      <c r="X22" s="8">
        <f t="shared" si="6"/>
        <v>-68.840000000000032</v>
      </c>
      <c r="Y22" s="3"/>
      <c r="Z22" s="7">
        <f t="shared" si="7"/>
        <v>-8.9986928104575203E-2</v>
      </c>
    </row>
    <row r="23" spans="1:26" s="24" customFormat="1" hidden="1" outlineLevel="2" x14ac:dyDescent="0.3">
      <c r="A23" s="29"/>
      <c r="B23" s="11" t="str">
        <f>CONCATENATE("          ", "6114", " - ", "STATE UNEMPLOYMENT INSURANCE")</f>
        <v xml:space="preserve">          6114 - STATE UNEMPLOYMENT INSURANCE</v>
      </c>
      <c r="C23" s="11"/>
      <c r="D23" s="8">
        <v>10.84</v>
      </c>
      <c r="E23" s="3"/>
      <c r="F23" s="7">
        <f t="shared" si="0"/>
        <v>0</v>
      </c>
      <c r="G23" s="3"/>
      <c r="H23" s="8">
        <v>11.35575</v>
      </c>
      <c r="I23" s="3"/>
      <c r="J23" s="7">
        <f t="shared" si="1"/>
        <v>0</v>
      </c>
      <c r="K23" s="3"/>
      <c r="L23" s="8">
        <f t="shared" si="2"/>
        <v>-0.5157500000000006</v>
      </c>
      <c r="M23" s="3"/>
      <c r="N23" s="7">
        <f t="shared" si="3"/>
        <v>-4.5417519758712596E-2</v>
      </c>
      <c r="O23" s="11"/>
      <c r="P23" s="8">
        <v>10.84</v>
      </c>
      <c r="Q23" s="3"/>
      <c r="R23" s="7">
        <f t="shared" si="4"/>
        <v>0</v>
      </c>
      <c r="S23" s="3"/>
      <c r="T23" s="8">
        <v>11.35575</v>
      </c>
      <c r="U23" s="3"/>
      <c r="V23" s="7">
        <f t="shared" si="5"/>
        <v>0</v>
      </c>
      <c r="W23" s="3"/>
      <c r="X23" s="8">
        <f t="shared" si="6"/>
        <v>-0.5157500000000006</v>
      </c>
      <c r="Y23" s="3"/>
      <c r="Z23" s="7">
        <f t="shared" si="7"/>
        <v>-4.5417519758712596E-2</v>
      </c>
    </row>
    <row r="24" spans="1:26" s="24" customFormat="1" hidden="1" outlineLevel="2" x14ac:dyDescent="0.3">
      <c r="A24" s="29"/>
      <c r="B24" s="11" t="str">
        <f>CONCATENATE("          ", "6115", " - ", "P.E.R.S.")</f>
        <v xml:space="preserve">          6115 - P.E.R.S.</v>
      </c>
      <c r="C24" s="11"/>
      <c r="D24" s="8">
        <v>456.93</v>
      </c>
      <c r="E24" s="3"/>
      <c r="F24" s="7">
        <f t="shared" si="0"/>
        <v>0</v>
      </c>
      <c r="G24" s="3"/>
      <c r="H24" s="8">
        <v>0</v>
      </c>
      <c r="I24" s="3"/>
      <c r="J24" s="7">
        <f t="shared" si="1"/>
        <v>0</v>
      </c>
      <c r="K24" s="3"/>
      <c r="L24" s="8">
        <f t="shared" si="2"/>
        <v>456.93</v>
      </c>
      <c r="M24" s="3"/>
      <c r="N24" s="7">
        <f t="shared" si="3"/>
        <v>0</v>
      </c>
      <c r="O24" s="11"/>
      <c r="P24" s="8">
        <v>456.93</v>
      </c>
      <c r="Q24" s="3"/>
      <c r="R24" s="7">
        <f t="shared" si="4"/>
        <v>0</v>
      </c>
      <c r="S24" s="3"/>
      <c r="T24" s="8">
        <v>0</v>
      </c>
      <c r="U24" s="3"/>
      <c r="V24" s="7">
        <f t="shared" si="5"/>
        <v>0</v>
      </c>
      <c r="W24" s="3"/>
      <c r="X24" s="8">
        <f t="shared" si="6"/>
        <v>456.93</v>
      </c>
      <c r="Y24" s="3"/>
      <c r="Z24" s="7">
        <f t="shared" si="7"/>
        <v>0</v>
      </c>
    </row>
    <row r="25" spans="1:26" s="24" customFormat="1" hidden="1" outlineLevel="2" x14ac:dyDescent="0.3">
      <c r="A25" s="29"/>
      <c r="B25" s="11" t="str">
        <f>CONCATENATE("          ", "6116", " - ", "EDUCATIONAL BENEFITS")</f>
        <v xml:space="preserve">          6116 - EDUCATIONAL BENEFITS</v>
      </c>
      <c r="C25" s="11"/>
      <c r="D25" s="8"/>
      <c r="E25" s="3"/>
      <c r="F25" s="7">
        <f t="shared" si="0"/>
        <v>0</v>
      </c>
      <c r="G25" s="3"/>
      <c r="H25" s="8">
        <v>0</v>
      </c>
      <c r="I25" s="3"/>
      <c r="J25" s="7">
        <f t="shared" si="1"/>
        <v>0</v>
      </c>
      <c r="K25" s="3"/>
      <c r="L25" s="8">
        <f t="shared" si="2"/>
        <v>0</v>
      </c>
      <c r="M25" s="3"/>
      <c r="N25" s="7">
        <f t="shared" si="3"/>
        <v>0</v>
      </c>
      <c r="O25" s="11"/>
      <c r="P25" s="8"/>
      <c r="Q25" s="3"/>
      <c r="R25" s="7">
        <f t="shared" si="4"/>
        <v>0</v>
      </c>
      <c r="S25" s="3"/>
      <c r="T25" s="8">
        <v>0</v>
      </c>
      <c r="U25" s="3"/>
      <c r="V25" s="7">
        <f t="shared" si="5"/>
        <v>0</v>
      </c>
      <c r="W25" s="3"/>
      <c r="X25" s="8">
        <f t="shared" si="6"/>
        <v>0</v>
      </c>
      <c r="Y25" s="3"/>
      <c r="Z25" s="7">
        <f t="shared" si="7"/>
        <v>0</v>
      </c>
    </row>
    <row r="26" spans="1:26" s="24" customFormat="1" hidden="1" outlineLevel="2" x14ac:dyDescent="0.3">
      <c r="A26" s="29"/>
      <c r="B26" s="11" t="str">
        <f>CONCATENATE("          ", "6118", " - ", "VACATION")</f>
        <v xml:space="preserve">          6118 - VACATION</v>
      </c>
      <c r="C26" s="11"/>
      <c r="D26" s="8">
        <v>88.46</v>
      </c>
      <c r="E26" s="3"/>
      <c r="F26" s="7">
        <f t="shared" si="0"/>
        <v>0</v>
      </c>
      <c r="G26" s="3"/>
      <c r="H26" s="8">
        <v>432.6</v>
      </c>
      <c r="I26" s="3"/>
      <c r="J26" s="7">
        <f t="shared" si="1"/>
        <v>0</v>
      </c>
      <c r="K26" s="3"/>
      <c r="L26" s="8">
        <f t="shared" si="2"/>
        <v>-344.14000000000004</v>
      </c>
      <c r="M26" s="3"/>
      <c r="N26" s="7">
        <f t="shared" si="3"/>
        <v>-0.79551548774849756</v>
      </c>
      <c r="O26" s="11"/>
      <c r="P26" s="8">
        <v>88.46</v>
      </c>
      <c r="Q26" s="3"/>
      <c r="R26" s="7">
        <f t="shared" si="4"/>
        <v>0</v>
      </c>
      <c r="S26" s="3"/>
      <c r="T26" s="8">
        <v>432.6</v>
      </c>
      <c r="U26" s="3"/>
      <c r="V26" s="7">
        <f t="shared" si="5"/>
        <v>0</v>
      </c>
      <c r="W26" s="3"/>
      <c r="X26" s="8">
        <f t="shared" si="6"/>
        <v>-344.14000000000004</v>
      </c>
      <c r="Y26" s="3"/>
      <c r="Z26" s="7">
        <f t="shared" si="7"/>
        <v>-0.79551548774849756</v>
      </c>
    </row>
    <row r="27" spans="1:26" s="24" customFormat="1" hidden="1" outlineLevel="2" x14ac:dyDescent="0.3">
      <c r="A27" s="29"/>
      <c r="B27" s="11" t="str">
        <f>CONCATENATE("          ", "6119", " - ", "SICK LEAVE")</f>
        <v xml:space="preserve">          6119 - SICK LEAVE</v>
      </c>
      <c r="C27" s="11"/>
      <c r="D27" s="8">
        <v>193.72</v>
      </c>
      <c r="E27" s="3"/>
      <c r="F27" s="7">
        <f t="shared" si="0"/>
        <v>0</v>
      </c>
      <c r="G27" s="3"/>
      <c r="H27" s="8">
        <v>108.15</v>
      </c>
      <c r="I27" s="3"/>
      <c r="J27" s="7">
        <f t="shared" si="1"/>
        <v>0</v>
      </c>
      <c r="K27" s="3"/>
      <c r="L27" s="8">
        <f t="shared" si="2"/>
        <v>85.57</v>
      </c>
      <c r="M27" s="3"/>
      <c r="N27" s="7">
        <f t="shared" si="3"/>
        <v>0.79121590383726292</v>
      </c>
      <c r="O27" s="11"/>
      <c r="P27" s="8">
        <v>193.72</v>
      </c>
      <c r="Q27" s="3"/>
      <c r="R27" s="7">
        <f t="shared" si="4"/>
        <v>0</v>
      </c>
      <c r="S27" s="3"/>
      <c r="T27" s="8">
        <v>108.15</v>
      </c>
      <c r="U27" s="3"/>
      <c r="V27" s="7">
        <f t="shared" si="5"/>
        <v>0</v>
      </c>
      <c r="W27" s="3"/>
      <c r="X27" s="8">
        <f t="shared" si="6"/>
        <v>85.57</v>
      </c>
      <c r="Y27" s="3"/>
      <c r="Z27" s="7">
        <f t="shared" si="7"/>
        <v>0.79121590383726292</v>
      </c>
    </row>
    <row r="28" spans="1:26" s="24" customFormat="1" hidden="1" outlineLevel="2" x14ac:dyDescent="0.3">
      <c r="A28" s="29"/>
      <c r="B28" s="11" t="str">
        <f>CONCATENATE("          ", "6156", " - ", "EMPLOYEE MEALS")</f>
        <v xml:space="preserve">          6156 - EMPLOYEE MEALS</v>
      </c>
      <c r="C28" s="11"/>
      <c r="D28" s="8">
        <v>175</v>
      </c>
      <c r="E28" s="3"/>
      <c r="F28" s="7">
        <f t="shared" si="0"/>
        <v>0</v>
      </c>
      <c r="G28" s="3"/>
      <c r="H28" s="8">
        <v>175</v>
      </c>
      <c r="I28" s="3"/>
      <c r="J28" s="7">
        <f t="shared" si="1"/>
        <v>0</v>
      </c>
      <c r="K28" s="3"/>
      <c r="L28" s="8">
        <f t="shared" si="2"/>
        <v>0</v>
      </c>
      <c r="M28" s="3"/>
      <c r="N28" s="7">
        <f t="shared" si="3"/>
        <v>0</v>
      </c>
      <c r="O28" s="11"/>
      <c r="P28" s="8">
        <v>175</v>
      </c>
      <c r="Q28" s="3"/>
      <c r="R28" s="7">
        <f t="shared" si="4"/>
        <v>0</v>
      </c>
      <c r="S28" s="3"/>
      <c r="T28" s="8">
        <v>175</v>
      </c>
      <c r="U28" s="3"/>
      <c r="V28" s="7">
        <f t="shared" si="5"/>
        <v>0</v>
      </c>
      <c r="W28" s="3"/>
      <c r="X28" s="8">
        <f t="shared" si="6"/>
        <v>0</v>
      </c>
      <c r="Y28" s="3"/>
      <c r="Z28" s="7">
        <f t="shared" si="7"/>
        <v>0</v>
      </c>
    </row>
    <row r="29" spans="1:26" s="27" customFormat="1" outlineLevel="1" collapsed="1" x14ac:dyDescent="0.3">
      <c r="A29" s="28"/>
      <c r="B29" s="14" t="str">
        <f>CONCATENATE("     ","*Payroll                                          ")</f>
        <v xml:space="preserve">     *Payroll                                          </v>
      </c>
      <c r="C29" s="14"/>
      <c r="D29" s="1">
        <f>SUM(OSRRefD22_1x_0)</f>
        <v>5039.75</v>
      </c>
      <c r="E29" s="1"/>
      <c r="F29" s="5">
        <f t="shared" ref="F29:F39" si="8">IF(D$12=0,0,D29/D$12)</f>
        <v>0</v>
      </c>
      <c r="G29" s="1"/>
      <c r="H29" s="1">
        <f>SUM(OSRRefH22_1x_0)</f>
        <v>5028.9750000000004</v>
      </c>
      <c r="I29" s="1"/>
      <c r="J29" s="5">
        <f t="shared" ref="J29:J39" si="9">IF(H$12=0,0,H29/H$12)</f>
        <v>0</v>
      </c>
      <c r="K29" s="1"/>
      <c r="L29" s="1">
        <f t="shared" ref="L29:L39" si="10">+D29-H29</f>
        <v>10.774999999999636</v>
      </c>
      <c r="M29" s="1"/>
      <c r="N29" s="5">
        <f t="shared" ref="N29:N39" si="11">IF(H29=0,0,L29/H29)</f>
        <v>2.1425837273002222E-3</v>
      </c>
      <c r="O29" s="14"/>
      <c r="P29" s="1">
        <f>SUM(OSRRefP22_1x_0)</f>
        <v>5039.75</v>
      </c>
      <c r="Q29" s="1"/>
      <c r="R29" s="5">
        <f t="shared" ref="R29:R39" si="12">IF(P$12=0,0,P29/P$12)</f>
        <v>0</v>
      </c>
      <c r="S29" s="1"/>
      <c r="T29" s="1">
        <f>SUM(OSRRefT22_1x_0)</f>
        <v>5028.9750000000004</v>
      </c>
      <c r="U29" s="1"/>
      <c r="V29" s="5">
        <f t="shared" ref="V29:V39" si="13">IF(T$12=0,0,T29/T$12)</f>
        <v>0</v>
      </c>
      <c r="W29" s="1"/>
      <c r="X29" s="1">
        <f t="shared" ref="X29:X39" si="14">+P29-T29</f>
        <v>10.774999999999636</v>
      </c>
      <c r="Y29" s="1"/>
      <c r="Z29" s="5">
        <f t="shared" ref="Z29:Z39" si="15">IF(T29=0,0,X29/T29)</f>
        <v>2.1425837273002222E-3</v>
      </c>
    </row>
    <row r="30" spans="1:26" s="24" customFormat="1" hidden="1" outlineLevel="2" x14ac:dyDescent="0.3">
      <c r="A30" s="29"/>
      <c r="B30" s="11" t="str">
        <f>CONCATENATE("          ", "6001", " - ", "ADMINISTRATIVE SALARIES")</f>
        <v xml:space="preserve">          6001 - ADMINISTRATIVE SALARIES</v>
      </c>
      <c r="C30" s="11"/>
      <c r="D30" s="8"/>
      <c r="E30" s="3"/>
      <c r="F30" s="7">
        <f t="shared" si="8"/>
        <v>0</v>
      </c>
      <c r="G30" s="3"/>
      <c r="H30" s="8">
        <v>0</v>
      </c>
      <c r="I30" s="3"/>
      <c r="J30" s="7">
        <f t="shared" si="9"/>
        <v>0</v>
      </c>
      <c r="K30" s="3"/>
      <c r="L30" s="8">
        <f t="shared" si="10"/>
        <v>0</v>
      </c>
      <c r="M30" s="3"/>
      <c r="N30" s="7">
        <f t="shared" si="11"/>
        <v>0</v>
      </c>
      <c r="O30" s="11"/>
      <c r="P30" s="8"/>
      <c r="Q30" s="3"/>
      <c r="R30" s="7">
        <f t="shared" si="12"/>
        <v>0</v>
      </c>
      <c r="S30" s="3"/>
      <c r="T30" s="8">
        <v>0</v>
      </c>
      <c r="U30" s="3"/>
      <c r="V30" s="7">
        <f t="shared" si="13"/>
        <v>0</v>
      </c>
      <c r="W30" s="3"/>
      <c r="X30" s="8">
        <f t="shared" si="14"/>
        <v>0</v>
      </c>
      <c r="Y30" s="3"/>
      <c r="Z30" s="7">
        <f t="shared" si="15"/>
        <v>0</v>
      </c>
    </row>
    <row r="31" spans="1:26" s="24" customFormat="1" hidden="1" outlineLevel="2" x14ac:dyDescent="0.3">
      <c r="A31" s="29"/>
      <c r="B31" s="11" t="str">
        <f>CONCATENATE("          ", "6002", " - ", "STAFF SALARIES")</f>
        <v xml:space="preserve">          6002 - STAFF SALARIES</v>
      </c>
      <c r="C31" s="11"/>
      <c r="D31" s="8">
        <v>5039.75</v>
      </c>
      <c r="E31" s="3"/>
      <c r="F31" s="7">
        <f t="shared" si="8"/>
        <v>0</v>
      </c>
      <c r="G31" s="3"/>
      <c r="H31" s="8">
        <v>0</v>
      </c>
      <c r="I31" s="3"/>
      <c r="J31" s="7">
        <f t="shared" si="9"/>
        <v>0</v>
      </c>
      <c r="K31" s="3"/>
      <c r="L31" s="8">
        <f t="shared" si="10"/>
        <v>5039.75</v>
      </c>
      <c r="M31" s="3"/>
      <c r="N31" s="7">
        <f t="shared" si="11"/>
        <v>0</v>
      </c>
      <c r="O31" s="11"/>
      <c r="P31" s="8">
        <v>5039.75</v>
      </c>
      <c r="Q31" s="3"/>
      <c r="R31" s="7">
        <f t="shared" si="12"/>
        <v>0</v>
      </c>
      <c r="S31" s="3"/>
      <c r="T31" s="8">
        <v>0</v>
      </c>
      <c r="U31" s="3"/>
      <c r="V31" s="7">
        <f t="shared" si="13"/>
        <v>0</v>
      </c>
      <c r="W31" s="3"/>
      <c r="X31" s="8">
        <f t="shared" si="14"/>
        <v>5039.75</v>
      </c>
      <c r="Y31" s="3"/>
      <c r="Z31" s="7">
        <f t="shared" si="15"/>
        <v>0</v>
      </c>
    </row>
    <row r="32" spans="1:26" s="24" customFormat="1" hidden="1" outlineLevel="2" x14ac:dyDescent="0.3">
      <c r="A32" s="29"/>
      <c r="B32" s="11" t="str">
        <f>CONCATENATE("          ", "6003", " - ", "STAFF HOURLY-9 MONTH")</f>
        <v xml:space="preserve">          6003 - STAFF HOURLY-9 MONTH</v>
      </c>
      <c r="C32" s="11"/>
      <c r="D32" s="8"/>
      <c r="E32" s="3"/>
      <c r="F32" s="7">
        <f t="shared" si="8"/>
        <v>0</v>
      </c>
      <c r="G32" s="3"/>
      <c r="H32" s="8">
        <v>0</v>
      </c>
      <c r="I32" s="3"/>
      <c r="J32" s="7">
        <f t="shared" si="9"/>
        <v>0</v>
      </c>
      <c r="K32" s="3"/>
      <c r="L32" s="8">
        <f t="shared" si="10"/>
        <v>0</v>
      </c>
      <c r="M32" s="3"/>
      <c r="N32" s="7">
        <f t="shared" si="11"/>
        <v>0</v>
      </c>
      <c r="O32" s="11"/>
      <c r="P32" s="8"/>
      <c r="Q32" s="3"/>
      <c r="R32" s="7">
        <f t="shared" si="12"/>
        <v>0</v>
      </c>
      <c r="S32" s="3"/>
      <c r="T32" s="8">
        <v>0</v>
      </c>
      <c r="U32" s="3"/>
      <c r="V32" s="7">
        <f t="shared" si="13"/>
        <v>0</v>
      </c>
      <c r="W32" s="3"/>
      <c r="X32" s="8">
        <f t="shared" si="14"/>
        <v>0</v>
      </c>
      <c r="Y32" s="3"/>
      <c r="Z32" s="7">
        <f t="shared" si="15"/>
        <v>0</v>
      </c>
    </row>
    <row r="33" spans="1:26" s="24" customFormat="1" hidden="1" outlineLevel="2" x14ac:dyDescent="0.3">
      <c r="A33" s="29"/>
      <c r="B33" s="11" t="str">
        <f>CONCATENATE("          ", "6004", " - ", "STAFF HOURLY")</f>
        <v xml:space="preserve">          6004 - STAFF HOURLY</v>
      </c>
      <c r="C33" s="11"/>
      <c r="D33" s="8"/>
      <c r="E33" s="3"/>
      <c r="F33" s="7">
        <f t="shared" si="8"/>
        <v>0</v>
      </c>
      <c r="G33" s="3"/>
      <c r="H33" s="8">
        <v>5028.9750000000004</v>
      </c>
      <c r="I33" s="3"/>
      <c r="J33" s="7">
        <f t="shared" si="9"/>
        <v>0</v>
      </c>
      <c r="K33" s="3"/>
      <c r="L33" s="8">
        <f t="shared" si="10"/>
        <v>-5028.9750000000004</v>
      </c>
      <c r="M33" s="3"/>
      <c r="N33" s="7">
        <f t="shared" si="11"/>
        <v>-1</v>
      </c>
      <c r="O33" s="11"/>
      <c r="P33" s="8"/>
      <c r="Q33" s="3"/>
      <c r="R33" s="7">
        <f t="shared" si="12"/>
        <v>0</v>
      </c>
      <c r="S33" s="3"/>
      <c r="T33" s="8">
        <v>5028.9750000000004</v>
      </c>
      <c r="U33" s="3"/>
      <c r="V33" s="7">
        <f t="shared" si="13"/>
        <v>0</v>
      </c>
      <c r="W33" s="3"/>
      <c r="X33" s="8">
        <f t="shared" si="14"/>
        <v>-5028.9750000000004</v>
      </c>
      <c r="Y33" s="3"/>
      <c r="Z33" s="7">
        <f t="shared" si="15"/>
        <v>-1</v>
      </c>
    </row>
    <row r="34" spans="1:26" s="24" customFormat="1" hidden="1" outlineLevel="2" x14ac:dyDescent="0.3">
      <c r="A34" s="29"/>
      <c r="B34" s="11" t="str">
        <f>CONCATENATE("          ", "6005", " - ", "TEMPORARY WAGES-HOURLY")</f>
        <v xml:space="preserve">          6005 - TEMPORARY WAGES-HOURLY</v>
      </c>
      <c r="C34" s="11"/>
      <c r="D34" s="8"/>
      <c r="E34" s="3"/>
      <c r="F34" s="7">
        <f t="shared" si="8"/>
        <v>0</v>
      </c>
      <c r="G34" s="3"/>
      <c r="H34" s="8">
        <v>0</v>
      </c>
      <c r="I34" s="3"/>
      <c r="J34" s="7">
        <f t="shared" si="9"/>
        <v>0</v>
      </c>
      <c r="K34" s="3"/>
      <c r="L34" s="8">
        <f t="shared" si="10"/>
        <v>0</v>
      </c>
      <c r="M34" s="3"/>
      <c r="N34" s="7">
        <f t="shared" si="11"/>
        <v>0</v>
      </c>
      <c r="O34" s="11"/>
      <c r="P34" s="8"/>
      <c r="Q34" s="3"/>
      <c r="R34" s="7">
        <f t="shared" si="12"/>
        <v>0</v>
      </c>
      <c r="S34" s="3"/>
      <c r="T34" s="8">
        <v>0</v>
      </c>
      <c r="U34" s="3"/>
      <c r="V34" s="7">
        <f t="shared" si="13"/>
        <v>0</v>
      </c>
      <c r="W34" s="3"/>
      <c r="X34" s="8">
        <f t="shared" si="14"/>
        <v>0</v>
      </c>
      <c r="Y34" s="3"/>
      <c r="Z34" s="7">
        <f t="shared" si="15"/>
        <v>0</v>
      </c>
    </row>
    <row r="35" spans="1:26" s="24" customFormat="1" hidden="1" outlineLevel="2" x14ac:dyDescent="0.3">
      <c r="A35" s="29"/>
      <c r="B35" s="11" t="str">
        <f>CONCATENATE("          ", "6006", " - ", "TEMPORARY PART TIME")</f>
        <v xml:space="preserve">          6006 - TEMPORARY PART TIME</v>
      </c>
      <c r="C35" s="11"/>
      <c r="D35" s="8"/>
      <c r="E35" s="3"/>
      <c r="F35" s="7">
        <f t="shared" si="8"/>
        <v>0</v>
      </c>
      <c r="G35" s="3"/>
      <c r="H35" s="8">
        <v>0</v>
      </c>
      <c r="I35" s="3"/>
      <c r="J35" s="7">
        <f t="shared" si="9"/>
        <v>0</v>
      </c>
      <c r="K35" s="3"/>
      <c r="L35" s="8">
        <f t="shared" si="10"/>
        <v>0</v>
      </c>
      <c r="M35" s="3"/>
      <c r="N35" s="7">
        <f t="shared" si="11"/>
        <v>0</v>
      </c>
      <c r="O35" s="11"/>
      <c r="P35" s="8"/>
      <c r="Q35" s="3"/>
      <c r="R35" s="7">
        <f t="shared" si="12"/>
        <v>0</v>
      </c>
      <c r="S35" s="3"/>
      <c r="T35" s="8">
        <v>0</v>
      </c>
      <c r="U35" s="3"/>
      <c r="V35" s="7">
        <f t="shared" si="13"/>
        <v>0</v>
      </c>
      <c r="W35" s="3"/>
      <c r="X35" s="8">
        <f t="shared" si="14"/>
        <v>0</v>
      </c>
      <c r="Y35" s="3"/>
      <c r="Z35" s="7">
        <f t="shared" si="15"/>
        <v>0</v>
      </c>
    </row>
    <row r="36" spans="1:26" s="24" customFormat="1" hidden="1" outlineLevel="2" x14ac:dyDescent="0.3">
      <c r="A36" s="29"/>
      <c r="B36" s="11" t="str">
        <f>CONCATENATE("          ", "6007", " - ", "STUDENT HOURLY")</f>
        <v xml:space="preserve">          6007 - STUDENT HOURLY</v>
      </c>
      <c r="C36" s="11"/>
      <c r="D36" s="8"/>
      <c r="E36" s="3"/>
      <c r="F36" s="7">
        <f t="shared" si="8"/>
        <v>0</v>
      </c>
      <c r="G36" s="3"/>
      <c r="H36" s="8">
        <v>0</v>
      </c>
      <c r="I36" s="3"/>
      <c r="J36" s="7">
        <f t="shared" si="9"/>
        <v>0</v>
      </c>
      <c r="K36" s="3"/>
      <c r="L36" s="8">
        <f t="shared" si="10"/>
        <v>0</v>
      </c>
      <c r="M36" s="3"/>
      <c r="N36" s="7">
        <f t="shared" si="11"/>
        <v>0</v>
      </c>
      <c r="O36" s="11"/>
      <c r="P36" s="8"/>
      <c r="Q36" s="3"/>
      <c r="R36" s="7">
        <f t="shared" si="12"/>
        <v>0</v>
      </c>
      <c r="S36" s="3"/>
      <c r="T36" s="8">
        <v>0</v>
      </c>
      <c r="U36" s="3"/>
      <c r="V36" s="7">
        <f t="shared" si="13"/>
        <v>0</v>
      </c>
      <c r="W36" s="3"/>
      <c r="X36" s="8">
        <f t="shared" si="14"/>
        <v>0</v>
      </c>
      <c r="Y36" s="3"/>
      <c r="Z36" s="7">
        <f t="shared" si="15"/>
        <v>0</v>
      </c>
    </row>
    <row r="37" spans="1:26" s="24" customFormat="1" hidden="1" outlineLevel="2" x14ac:dyDescent="0.3">
      <c r="A37" s="29"/>
      <c r="B37" s="11" t="str">
        <f>CONCATENATE("          ", "6008", " - ", "STUDENT HOURLY-FICA EXEMPT")</f>
        <v xml:space="preserve">          6008 - STUDENT HOURLY-FICA EXEMPT</v>
      </c>
      <c r="C37" s="11"/>
      <c r="D37" s="8"/>
      <c r="E37" s="3"/>
      <c r="F37" s="7">
        <f t="shared" si="8"/>
        <v>0</v>
      </c>
      <c r="G37" s="3"/>
      <c r="H37" s="8">
        <v>0</v>
      </c>
      <c r="I37" s="3"/>
      <c r="J37" s="7">
        <f t="shared" si="9"/>
        <v>0</v>
      </c>
      <c r="K37" s="3"/>
      <c r="L37" s="8">
        <f t="shared" si="10"/>
        <v>0</v>
      </c>
      <c r="M37" s="3"/>
      <c r="N37" s="7">
        <f t="shared" si="11"/>
        <v>0</v>
      </c>
      <c r="O37" s="11"/>
      <c r="P37" s="8"/>
      <c r="Q37" s="3"/>
      <c r="R37" s="7">
        <f t="shared" si="12"/>
        <v>0</v>
      </c>
      <c r="S37" s="3"/>
      <c r="T37" s="8">
        <v>0</v>
      </c>
      <c r="U37" s="3"/>
      <c r="V37" s="7">
        <f t="shared" si="13"/>
        <v>0</v>
      </c>
      <c r="W37" s="3"/>
      <c r="X37" s="8">
        <f t="shared" si="14"/>
        <v>0</v>
      </c>
      <c r="Y37" s="3"/>
      <c r="Z37" s="7">
        <f t="shared" si="15"/>
        <v>0</v>
      </c>
    </row>
    <row r="38" spans="1:26" s="24" customFormat="1" hidden="1" outlineLevel="2" x14ac:dyDescent="0.3">
      <c r="A38" s="29"/>
      <c r="B38" s="11" t="str">
        <f>CONCATENATE("          ", "6009", " - ", "TEMPORARY-SEASONAL")</f>
        <v xml:space="preserve">          6009 - TEMPORARY-SEASONAL</v>
      </c>
      <c r="C38" s="11"/>
      <c r="D38" s="8"/>
      <c r="E38" s="3"/>
      <c r="F38" s="7">
        <f t="shared" si="8"/>
        <v>0</v>
      </c>
      <c r="G38" s="3"/>
      <c r="H38" s="8">
        <v>0</v>
      </c>
      <c r="I38" s="3"/>
      <c r="J38" s="7">
        <f t="shared" si="9"/>
        <v>0</v>
      </c>
      <c r="K38" s="3"/>
      <c r="L38" s="8">
        <f t="shared" si="10"/>
        <v>0</v>
      </c>
      <c r="M38" s="3"/>
      <c r="N38" s="7">
        <f t="shared" si="11"/>
        <v>0</v>
      </c>
      <c r="O38" s="11"/>
      <c r="P38" s="8"/>
      <c r="Q38" s="3"/>
      <c r="R38" s="7">
        <f t="shared" si="12"/>
        <v>0</v>
      </c>
      <c r="S38" s="3"/>
      <c r="T38" s="8">
        <v>0</v>
      </c>
      <c r="U38" s="3"/>
      <c r="V38" s="7">
        <f t="shared" si="13"/>
        <v>0</v>
      </c>
      <c r="W38" s="3"/>
      <c r="X38" s="8">
        <f t="shared" si="14"/>
        <v>0</v>
      </c>
      <c r="Y38" s="3"/>
      <c r="Z38" s="7">
        <f t="shared" si="15"/>
        <v>0</v>
      </c>
    </row>
    <row r="39" spans="1:26" s="24" customFormat="1" hidden="1" outlineLevel="2" x14ac:dyDescent="0.3">
      <c r="A39" s="29"/>
      <c r="B39" s="11" t="str">
        <f>CONCATENATE("          ", "6010", " - ", "GRATUITY")</f>
        <v xml:space="preserve">          6010 - GRATUITY</v>
      </c>
      <c r="C39" s="11"/>
      <c r="D39" s="8"/>
      <c r="E39" s="3"/>
      <c r="F39" s="7">
        <f t="shared" si="8"/>
        <v>0</v>
      </c>
      <c r="G39" s="3"/>
      <c r="H39" s="8">
        <v>0</v>
      </c>
      <c r="I39" s="3"/>
      <c r="J39" s="7">
        <f t="shared" si="9"/>
        <v>0</v>
      </c>
      <c r="K39" s="3"/>
      <c r="L39" s="8">
        <f t="shared" si="10"/>
        <v>0</v>
      </c>
      <c r="M39" s="3"/>
      <c r="N39" s="7">
        <f t="shared" si="11"/>
        <v>0</v>
      </c>
      <c r="O39" s="11"/>
      <c r="P39" s="8"/>
      <c r="Q39" s="3"/>
      <c r="R39" s="7">
        <f t="shared" si="12"/>
        <v>0</v>
      </c>
      <c r="S39" s="3"/>
      <c r="T39" s="8">
        <v>0</v>
      </c>
      <c r="U39" s="3"/>
      <c r="V39" s="7">
        <f t="shared" si="13"/>
        <v>0</v>
      </c>
      <c r="W39" s="3"/>
      <c r="X39" s="8">
        <f t="shared" si="14"/>
        <v>0</v>
      </c>
      <c r="Y39" s="3"/>
      <c r="Z39" s="7">
        <f t="shared" si="15"/>
        <v>0</v>
      </c>
    </row>
    <row r="40" spans="1:26" s="27" customFormat="1" outlineLevel="1" collapsed="1" x14ac:dyDescent="0.3">
      <c r="A40" s="28"/>
      <c r="B40" s="14" t="str">
        <f>CONCATENATE("     ","General                                           ")</f>
        <v xml:space="preserve">     General                                           </v>
      </c>
      <c r="C40" s="14"/>
      <c r="D40" s="1">
        <f>SUM(OSRRefD22_2x_0)</f>
        <v>0</v>
      </c>
      <c r="E40" s="1"/>
      <c r="F40" s="5">
        <f t="shared" ref="F40:F46" si="16">IF(D$12=0,0,D40/D$12)</f>
        <v>0</v>
      </c>
      <c r="G40" s="1"/>
      <c r="H40" s="1">
        <f>SUM(OSRRefH22_2x_0)</f>
        <v>0</v>
      </c>
      <c r="I40" s="1"/>
      <c r="J40" s="5">
        <f t="shared" ref="J40:J46" si="17">IF(H$12=0,0,H40/H$12)</f>
        <v>0</v>
      </c>
      <c r="K40" s="1"/>
      <c r="L40" s="1">
        <f t="shared" ref="L40:L46" si="18">+D40-H40</f>
        <v>0</v>
      </c>
      <c r="M40" s="1"/>
      <c r="N40" s="5">
        <f t="shared" ref="N40:N46" si="19">IF(H40=0,0,L40/H40)</f>
        <v>0</v>
      </c>
      <c r="O40" s="14"/>
      <c r="P40" s="1">
        <f>SUM(OSRRefP22_2x_0)</f>
        <v>0</v>
      </c>
      <c r="Q40" s="1"/>
      <c r="R40" s="5">
        <f t="shared" ref="R40:R46" si="20">IF(P$12=0,0,P40/P$12)</f>
        <v>0</v>
      </c>
      <c r="S40" s="1"/>
      <c r="T40" s="1">
        <f>SUM(OSRRefT22_2x_0)</f>
        <v>0</v>
      </c>
      <c r="U40" s="1"/>
      <c r="V40" s="5">
        <f t="shared" ref="V40:V46" si="21">IF(T$12=0,0,T40/T$12)</f>
        <v>0</v>
      </c>
      <c r="W40" s="1"/>
      <c r="X40" s="1">
        <f t="shared" ref="X40:X46" si="22">+P40-T40</f>
        <v>0</v>
      </c>
      <c r="Y40" s="1"/>
      <c r="Z40" s="5">
        <f t="shared" ref="Z40:Z46" si="23">IF(T40=0,0,X40/T40)</f>
        <v>0</v>
      </c>
    </row>
    <row r="41" spans="1:26" s="24" customFormat="1" hidden="1" outlineLevel="2" x14ac:dyDescent="0.3">
      <c r="A41" s="29"/>
      <c r="B41" s="11" t="str">
        <f>CONCATENATE("          ", "6279", " - ", "GENERAL EXPENSE")</f>
        <v xml:space="preserve">          6279 - GENERAL EXPENSE</v>
      </c>
      <c r="C41" s="11"/>
      <c r="D41" s="8"/>
      <c r="E41" s="3"/>
      <c r="F41" s="7">
        <f t="shared" si="16"/>
        <v>0</v>
      </c>
      <c r="G41" s="3"/>
      <c r="H41" s="8">
        <v>0</v>
      </c>
      <c r="I41" s="3"/>
      <c r="J41" s="7">
        <f t="shared" si="17"/>
        <v>0</v>
      </c>
      <c r="K41" s="3"/>
      <c r="L41" s="8">
        <f t="shared" si="18"/>
        <v>0</v>
      </c>
      <c r="M41" s="3"/>
      <c r="N41" s="7">
        <f t="shared" si="19"/>
        <v>0</v>
      </c>
      <c r="O41" s="11"/>
      <c r="P41" s="8"/>
      <c r="Q41" s="3"/>
      <c r="R41" s="7">
        <f t="shared" si="20"/>
        <v>0</v>
      </c>
      <c r="S41" s="3"/>
      <c r="T41" s="8">
        <v>0</v>
      </c>
      <c r="U41" s="3"/>
      <c r="V41" s="7">
        <f t="shared" si="21"/>
        <v>0</v>
      </c>
      <c r="W41" s="3"/>
      <c r="X41" s="8">
        <f t="shared" si="22"/>
        <v>0</v>
      </c>
      <c r="Y41" s="3"/>
      <c r="Z41" s="7">
        <f t="shared" si="23"/>
        <v>0</v>
      </c>
    </row>
    <row r="42" spans="1:26" s="27" customFormat="1" outlineLevel="1" collapsed="1" x14ac:dyDescent="0.3">
      <c r="A42" s="28"/>
      <c r="B42" s="14" t="str">
        <f>CONCATENATE("     ","Insurance                                         ")</f>
        <v xml:space="preserve">     Insurance                                         </v>
      </c>
      <c r="C42" s="14"/>
      <c r="D42" s="1">
        <f>SUM(OSRRefD22_3x_0)</f>
        <v>33.380000000000003</v>
      </c>
      <c r="E42" s="1"/>
      <c r="F42" s="5">
        <f t="shared" si="16"/>
        <v>0</v>
      </c>
      <c r="G42" s="1"/>
      <c r="H42" s="1">
        <f>SUM(OSRRefH22_3x_0)</f>
        <v>35</v>
      </c>
      <c r="I42" s="1"/>
      <c r="J42" s="5">
        <f t="shared" si="17"/>
        <v>0</v>
      </c>
      <c r="K42" s="1"/>
      <c r="L42" s="1">
        <f t="shared" si="18"/>
        <v>-1.6199999999999974</v>
      </c>
      <c r="M42" s="1"/>
      <c r="N42" s="5">
        <f t="shared" si="19"/>
        <v>-4.6285714285714215E-2</v>
      </c>
      <c r="O42" s="14"/>
      <c r="P42" s="1">
        <f>SUM(OSRRefP22_3x_0)</f>
        <v>33.380000000000003</v>
      </c>
      <c r="Q42" s="1"/>
      <c r="R42" s="5">
        <f t="shared" si="20"/>
        <v>0</v>
      </c>
      <c r="S42" s="1"/>
      <c r="T42" s="1">
        <f>SUM(OSRRefT22_3x_0)</f>
        <v>35</v>
      </c>
      <c r="U42" s="1"/>
      <c r="V42" s="5">
        <f t="shared" si="21"/>
        <v>0</v>
      </c>
      <c r="W42" s="1"/>
      <c r="X42" s="1">
        <f t="shared" si="22"/>
        <v>-1.6199999999999974</v>
      </c>
      <c r="Y42" s="1"/>
      <c r="Z42" s="5">
        <f t="shared" si="23"/>
        <v>-4.6285714285714215E-2</v>
      </c>
    </row>
    <row r="43" spans="1:26" s="24" customFormat="1" hidden="1" outlineLevel="2" x14ac:dyDescent="0.3">
      <c r="A43" s="29"/>
      <c r="B43" s="11" t="str">
        <f>CONCATENATE("          ", "6314", " - ", "LIABILITY INSURANCE")</f>
        <v xml:space="preserve">          6314 - LIABILITY INSURANCE</v>
      </c>
      <c r="C43" s="11"/>
      <c r="D43" s="8">
        <v>33.380000000000003</v>
      </c>
      <c r="E43" s="3"/>
      <c r="F43" s="7">
        <f t="shared" si="16"/>
        <v>0</v>
      </c>
      <c r="G43" s="3"/>
      <c r="H43" s="8">
        <v>35</v>
      </c>
      <c r="I43" s="3"/>
      <c r="J43" s="7">
        <f t="shared" si="17"/>
        <v>0</v>
      </c>
      <c r="K43" s="3"/>
      <c r="L43" s="8">
        <f t="shared" si="18"/>
        <v>-1.6199999999999974</v>
      </c>
      <c r="M43" s="3"/>
      <c r="N43" s="7">
        <f t="shared" si="19"/>
        <v>-4.6285714285714215E-2</v>
      </c>
      <c r="O43" s="11"/>
      <c r="P43" s="8">
        <v>33.380000000000003</v>
      </c>
      <c r="Q43" s="3"/>
      <c r="R43" s="7">
        <f t="shared" si="20"/>
        <v>0</v>
      </c>
      <c r="S43" s="3"/>
      <c r="T43" s="8">
        <v>35</v>
      </c>
      <c r="U43" s="3"/>
      <c r="V43" s="7">
        <f t="shared" si="21"/>
        <v>0</v>
      </c>
      <c r="W43" s="3"/>
      <c r="X43" s="8">
        <f t="shared" si="22"/>
        <v>-1.6199999999999974</v>
      </c>
      <c r="Y43" s="3"/>
      <c r="Z43" s="7">
        <f t="shared" si="23"/>
        <v>-4.6285714285714215E-2</v>
      </c>
    </row>
    <row r="44" spans="1:26" s="27" customFormat="1" outlineLevel="1" collapsed="1" x14ac:dyDescent="0.3">
      <c r="A44" s="28"/>
      <c r="B44" s="14" t="str">
        <f>CONCATENATE("     ","Repair and Maintenance                            ")</f>
        <v xml:space="preserve">     Repair and Maintenance                            </v>
      </c>
      <c r="C44" s="14"/>
      <c r="D44" s="1">
        <f>SUM(OSRRefD22_4x_0)</f>
        <v>891.98</v>
      </c>
      <c r="E44" s="1"/>
      <c r="F44" s="5">
        <f t="shared" si="16"/>
        <v>0</v>
      </c>
      <c r="G44" s="1"/>
      <c r="H44" s="1">
        <f>SUM(OSRRefH22_4x_0)</f>
        <v>800</v>
      </c>
      <c r="I44" s="1"/>
      <c r="J44" s="5">
        <f t="shared" si="17"/>
        <v>0</v>
      </c>
      <c r="K44" s="1"/>
      <c r="L44" s="1">
        <f t="shared" si="18"/>
        <v>91.980000000000018</v>
      </c>
      <c r="M44" s="1"/>
      <c r="N44" s="5">
        <f t="shared" si="19"/>
        <v>0.11497500000000002</v>
      </c>
      <c r="O44" s="14"/>
      <c r="P44" s="1">
        <f>SUM(OSRRefP22_4x_0)</f>
        <v>891.98</v>
      </c>
      <c r="Q44" s="1"/>
      <c r="R44" s="5">
        <f t="shared" si="20"/>
        <v>0</v>
      </c>
      <c r="S44" s="1"/>
      <c r="T44" s="1">
        <f>SUM(OSRRefT22_4x_0)</f>
        <v>800</v>
      </c>
      <c r="U44" s="1"/>
      <c r="V44" s="5">
        <f t="shared" si="21"/>
        <v>0</v>
      </c>
      <c r="W44" s="1"/>
      <c r="X44" s="1">
        <f t="shared" si="22"/>
        <v>91.980000000000018</v>
      </c>
      <c r="Y44" s="1"/>
      <c r="Z44" s="5">
        <f t="shared" si="23"/>
        <v>0.11497500000000002</v>
      </c>
    </row>
    <row r="45" spans="1:26" s="24" customFormat="1" hidden="1" outlineLevel="2" x14ac:dyDescent="0.3">
      <c r="A45" s="29"/>
      <c r="B45" s="11" t="str">
        <f>CONCATENATE("          ", "6373", " - ", "MAINTENANCE CONTRACTS")</f>
        <v xml:space="preserve">          6373 - MAINTENANCE CONTRACTS</v>
      </c>
      <c r="C45" s="11"/>
      <c r="D45" s="8">
        <v>891.98</v>
      </c>
      <c r="E45" s="3"/>
      <c r="F45" s="7">
        <f t="shared" si="16"/>
        <v>0</v>
      </c>
      <c r="G45" s="3"/>
      <c r="H45" s="8">
        <v>800</v>
      </c>
      <c r="I45" s="3"/>
      <c r="J45" s="7">
        <f t="shared" si="17"/>
        <v>0</v>
      </c>
      <c r="K45" s="3"/>
      <c r="L45" s="8">
        <f t="shared" si="18"/>
        <v>91.980000000000018</v>
      </c>
      <c r="M45" s="3"/>
      <c r="N45" s="7">
        <f t="shared" si="19"/>
        <v>0.11497500000000002</v>
      </c>
      <c r="O45" s="11"/>
      <c r="P45" s="8">
        <v>891.98</v>
      </c>
      <c r="Q45" s="3"/>
      <c r="R45" s="7">
        <f t="shared" si="20"/>
        <v>0</v>
      </c>
      <c r="S45" s="3"/>
      <c r="T45" s="8">
        <v>800</v>
      </c>
      <c r="U45" s="3"/>
      <c r="V45" s="7">
        <f t="shared" si="21"/>
        <v>0</v>
      </c>
      <c r="W45" s="3"/>
      <c r="X45" s="8">
        <f t="shared" si="22"/>
        <v>91.980000000000018</v>
      </c>
      <c r="Y45" s="3"/>
      <c r="Z45" s="7">
        <f t="shared" si="23"/>
        <v>0.11497500000000002</v>
      </c>
    </row>
    <row r="46" spans="1:26" s="24" customFormat="1" hidden="1" outlineLevel="2" x14ac:dyDescent="0.3">
      <c r="A46" s="29"/>
      <c r="B46" s="11" t="str">
        <f>CONCATENATE("          ", "6375", " - ", "OUTSIDE REPAIRS &amp; MAINTENANCE")</f>
        <v xml:space="preserve">          6375 - OUTSIDE REPAIRS &amp; MAINTENANCE</v>
      </c>
      <c r="C46" s="11"/>
      <c r="D46" s="8">
        <v>0</v>
      </c>
      <c r="E46" s="3"/>
      <c r="F46" s="7">
        <f t="shared" si="16"/>
        <v>0</v>
      </c>
      <c r="G46" s="3"/>
      <c r="H46" s="8"/>
      <c r="I46" s="3"/>
      <c r="J46" s="7">
        <f t="shared" si="17"/>
        <v>0</v>
      </c>
      <c r="K46" s="3"/>
      <c r="L46" s="8">
        <f t="shared" si="18"/>
        <v>0</v>
      </c>
      <c r="M46" s="3"/>
      <c r="N46" s="7">
        <f t="shared" si="19"/>
        <v>0</v>
      </c>
      <c r="O46" s="11"/>
      <c r="P46" s="8">
        <v>0</v>
      </c>
      <c r="Q46" s="3"/>
      <c r="R46" s="7">
        <f t="shared" si="20"/>
        <v>0</v>
      </c>
      <c r="S46" s="3"/>
      <c r="T46" s="8"/>
      <c r="U46" s="3"/>
      <c r="V46" s="7">
        <f t="shared" si="21"/>
        <v>0</v>
      </c>
      <c r="W46" s="3"/>
      <c r="X46" s="8">
        <f t="shared" si="22"/>
        <v>0</v>
      </c>
      <c r="Y46" s="3"/>
      <c r="Z46" s="7">
        <f t="shared" si="23"/>
        <v>0</v>
      </c>
    </row>
    <row r="47" spans="1:26" s="27" customFormat="1" outlineLevel="1" collapsed="1" x14ac:dyDescent="0.3">
      <c r="A47" s="28"/>
      <c r="B47" s="14" t="str">
        <f>CONCATENATE("     ","Services                                          ")</f>
        <v xml:space="preserve">     Services                                          </v>
      </c>
      <c r="C47" s="14"/>
      <c r="D47" s="1">
        <f>SUM(OSRRefD22_5x_0)</f>
        <v>0</v>
      </c>
      <c r="E47" s="1"/>
      <c r="F47" s="5">
        <f t="shared" ref="F47:F51" si="24">IF(D$12=0,0,D47/D$12)</f>
        <v>0</v>
      </c>
      <c r="G47" s="1"/>
      <c r="H47" s="1">
        <f>SUM(OSRRefH22_5x_0)</f>
        <v>25</v>
      </c>
      <c r="I47" s="1"/>
      <c r="J47" s="5">
        <f t="shared" ref="J47:J51" si="25">IF(H$12=0,0,H47/H$12)</f>
        <v>0</v>
      </c>
      <c r="K47" s="1"/>
      <c r="L47" s="1">
        <f t="shared" ref="L47:L51" si="26">+D47-H47</f>
        <v>-25</v>
      </c>
      <c r="M47" s="1"/>
      <c r="N47" s="5">
        <f t="shared" ref="N47:N51" si="27">IF(H47=0,0,L47/H47)</f>
        <v>-1</v>
      </c>
      <c r="O47" s="14"/>
      <c r="P47" s="1">
        <f>SUM(OSRRefP22_5x_0)</f>
        <v>0</v>
      </c>
      <c r="Q47" s="1"/>
      <c r="R47" s="5">
        <f t="shared" ref="R47:R51" si="28">IF(P$12=0,0,P47/P$12)</f>
        <v>0</v>
      </c>
      <c r="S47" s="1"/>
      <c r="T47" s="1">
        <f>SUM(OSRRefT22_5x_0)</f>
        <v>25</v>
      </c>
      <c r="U47" s="1"/>
      <c r="V47" s="5">
        <f t="shared" ref="V47:V51" si="29">IF(T$12=0,0,T47/T$12)</f>
        <v>0</v>
      </c>
      <c r="W47" s="1"/>
      <c r="X47" s="1">
        <f t="shared" ref="X47:X51" si="30">+P47-T47</f>
        <v>-25</v>
      </c>
      <c r="Y47" s="1"/>
      <c r="Z47" s="5">
        <f t="shared" ref="Z47:Z51" si="31">IF(T47=0,0,X47/T47)</f>
        <v>-1</v>
      </c>
    </row>
    <row r="48" spans="1:26" s="24" customFormat="1" hidden="1" outlineLevel="2" x14ac:dyDescent="0.3">
      <c r="A48" s="29"/>
      <c r="B48" s="11" t="str">
        <f>CONCATENATE("          ", "6286", " - ", "LAUNDRY EXPENSE")</f>
        <v xml:space="preserve">          6286 - LAUNDRY EXPENSE</v>
      </c>
      <c r="C48" s="11"/>
      <c r="D48" s="8"/>
      <c r="E48" s="3"/>
      <c r="F48" s="7">
        <f t="shared" si="24"/>
        <v>0</v>
      </c>
      <c r="G48" s="3"/>
      <c r="H48" s="8">
        <v>25</v>
      </c>
      <c r="I48" s="3"/>
      <c r="J48" s="7">
        <f t="shared" si="25"/>
        <v>0</v>
      </c>
      <c r="K48" s="3"/>
      <c r="L48" s="8">
        <f t="shared" si="26"/>
        <v>-25</v>
      </c>
      <c r="M48" s="3"/>
      <c r="N48" s="7">
        <f t="shared" si="27"/>
        <v>-1</v>
      </c>
      <c r="O48" s="11"/>
      <c r="P48" s="8"/>
      <c r="Q48" s="3"/>
      <c r="R48" s="7">
        <f t="shared" si="28"/>
        <v>0</v>
      </c>
      <c r="S48" s="3"/>
      <c r="T48" s="8">
        <v>25</v>
      </c>
      <c r="U48" s="3"/>
      <c r="V48" s="7">
        <f t="shared" si="29"/>
        <v>0</v>
      </c>
      <c r="W48" s="3"/>
      <c r="X48" s="8">
        <f t="shared" si="30"/>
        <v>-25</v>
      </c>
      <c r="Y48" s="3"/>
      <c r="Z48" s="7">
        <f t="shared" si="31"/>
        <v>-1</v>
      </c>
    </row>
    <row r="49" spans="1:26" s="27" customFormat="1" outlineLevel="1" collapsed="1" x14ac:dyDescent="0.3">
      <c r="A49" s="28"/>
      <c r="B49" s="14" t="str">
        <f>CONCATENATE("     ","Supplies                                          ")</f>
        <v xml:space="preserve">     Supplies                                          </v>
      </c>
      <c r="C49" s="14"/>
      <c r="D49" s="1">
        <f>SUM(OSRRefD22_6x_0)</f>
        <v>0</v>
      </c>
      <c r="E49" s="1"/>
      <c r="F49" s="5">
        <f t="shared" si="24"/>
        <v>0</v>
      </c>
      <c r="G49" s="1"/>
      <c r="H49" s="1">
        <f>SUM(OSRRefH22_6x_0)</f>
        <v>5025</v>
      </c>
      <c r="I49" s="1"/>
      <c r="J49" s="5">
        <f t="shared" si="25"/>
        <v>0</v>
      </c>
      <c r="K49" s="1"/>
      <c r="L49" s="1">
        <f t="shared" si="26"/>
        <v>-5025</v>
      </c>
      <c r="M49" s="1"/>
      <c r="N49" s="5">
        <f t="shared" si="27"/>
        <v>-1</v>
      </c>
      <c r="O49" s="14"/>
      <c r="P49" s="1">
        <f>SUM(OSRRefP22_6x_0)</f>
        <v>0</v>
      </c>
      <c r="Q49" s="1"/>
      <c r="R49" s="5">
        <f t="shared" si="28"/>
        <v>0</v>
      </c>
      <c r="S49" s="1"/>
      <c r="T49" s="1">
        <f>SUM(OSRRefT22_6x_0)</f>
        <v>5025</v>
      </c>
      <c r="U49" s="1"/>
      <c r="V49" s="5">
        <f t="shared" si="29"/>
        <v>0</v>
      </c>
      <c r="W49" s="1"/>
      <c r="X49" s="1">
        <f t="shared" si="30"/>
        <v>-5025</v>
      </c>
      <c r="Y49" s="1"/>
      <c r="Z49" s="5">
        <f t="shared" si="31"/>
        <v>-1</v>
      </c>
    </row>
    <row r="50" spans="1:26" s="24" customFormat="1" hidden="1" outlineLevel="2" x14ac:dyDescent="0.3">
      <c r="A50" s="29"/>
      <c r="B50" s="11" t="str">
        <f>CONCATENATE("          ", "6241", " - ", "OFFICE EXPENSE")</f>
        <v xml:space="preserve">          6241 - OFFICE EXPENSE</v>
      </c>
      <c r="C50" s="11"/>
      <c r="D50" s="8"/>
      <c r="E50" s="3"/>
      <c r="F50" s="7">
        <f t="shared" si="24"/>
        <v>0</v>
      </c>
      <c r="G50" s="3"/>
      <c r="H50" s="8">
        <v>25</v>
      </c>
      <c r="I50" s="3"/>
      <c r="J50" s="7">
        <f t="shared" si="25"/>
        <v>0</v>
      </c>
      <c r="K50" s="3"/>
      <c r="L50" s="8">
        <f t="shared" si="26"/>
        <v>-25</v>
      </c>
      <c r="M50" s="3"/>
      <c r="N50" s="7">
        <f t="shared" si="27"/>
        <v>-1</v>
      </c>
      <c r="O50" s="11"/>
      <c r="P50" s="8"/>
      <c r="Q50" s="3"/>
      <c r="R50" s="7">
        <f t="shared" si="28"/>
        <v>0</v>
      </c>
      <c r="S50" s="3"/>
      <c r="T50" s="8">
        <v>25</v>
      </c>
      <c r="U50" s="3"/>
      <c r="V50" s="7">
        <f t="shared" si="29"/>
        <v>0</v>
      </c>
      <c r="W50" s="3"/>
      <c r="X50" s="8">
        <f t="shared" si="30"/>
        <v>-25</v>
      </c>
      <c r="Y50" s="3"/>
      <c r="Z50" s="7">
        <f t="shared" si="31"/>
        <v>-1</v>
      </c>
    </row>
    <row r="51" spans="1:26" s="24" customFormat="1" hidden="1" outlineLevel="2" x14ac:dyDescent="0.3">
      <c r="A51" s="29"/>
      <c r="B51" s="11" t="str">
        <f>CONCATENATE("          ", "6247", " - ", "STORE SUPPLIES")</f>
        <v xml:space="preserve">          6247 - STORE SUPPLIES</v>
      </c>
      <c r="C51" s="11"/>
      <c r="D51" s="8"/>
      <c r="E51" s="3"/>
      <c r="F51" s="7">
        <f t="shared" si="24"/>
        <v>0</v>
      </c>
      <c r="G51" s="3"/>
      <c r="H51" s="8">
        <v>5000</v>
      </c>
      <c r="I51" s="3"/>
      <c r="J51" s="7">
        <f t="shared" si="25"/>
        <v>0</v>
      </c>
      <c r="K51" s="3"/>
      <c r="L51" s="8">
        <f t="shared" si="26"/>
        <v>-5000</v>
      </c>
      <c r="M51" s="3"/>
      <c r="N51" s="7">
        <f t="shared" si="27"/>
        <v>-1</v>
      </c>
      <c r="O51" s="11"/>
      <c r="P51" s="8"/>
      <c r="Q51" s="3"/>
      <c r="R51" s="7">
        <f t="shared" si="28"/>
        <v>0</v>
      </c>
      <c r="S51" s="3"/>
      <c r="T51" s="8">
        <v>5000</v>
      </c>
      <c r="U51" s="3"/>
      <c r="V51" s="7">
        <f t="shared" si="29"/>
        <v>0</v>
      </c>
      <c r="W51" s="3"/>
      <c r="X51" s="8">
        <f t="shared" si="30"/>
        <v>-5000</v>
      </c>
      <c r="Y51" s="3"/>
      <c r="Z51" s="7">
        <f t="shared" si="31"/>
        <v>-1</v>
      </c>
    </row>
    <row r="52" spans="1:26" s="27" customFormat="1" outlineLevel="1" collapsed="1" x14ac:dyDescent="0.3">
      <c r="A52" s="28"/>
      <c r="B52" s="14" t="str">
        <f>CONCATENATE("     ","Telephone/Data Lines                              ")</f>
        <v xml:space="preserve">     Telephone/Data Lines                              </v>
      </c>
      <c r="C52" s="14"/>
      <c r="D52" s="1">
        <f>SUM(OSRRefD22_7x_0)</f>
        <v>48</v>
      </c>
      <c r="E52" s="1"/>
      <c r="F52" s="5">
        <f t="shared" ref="F52:F53" si="32">IF(D$12=0,0,D52/D$12)</f>
        <v>0</v>
      </c>
      <c r="G52" s="1"/>
      <c r="H52" s="1">
        <f>SUM(OSRRefH22_7x_0)</f>
        <v>125</v>
      </c>
      <c r="I52" s="1"/>
      <c r="J52" s="5">
        <f t="shared" ref="J52:J53" si="33">IF(H$12=0,0,H52/H$12)</f>
        <v>0</v>
      </c>
      <c r="K52" s="1"/>
      <c r="L52" s="1">
        <f t="shared" ref="L52:L53" si="34">+D52-H52</f>
        <v>-77</v>
      </c>
      <c r="M52" s="1"/>
      <c r="N52" s="5">
        <f t="shared" ref="N52:N53" si="35">IF(H52=0,0,L52/H52)</f>
        <v>-0.61599999999999999</v>
      </c>
      <c r="O52" s="14"/>
      <c r="P52" s="1">
        <f>SUM(OSRRefP22_7x_0)</f>
        <v>48</v>
      </c>
      <c r="Q52" s="1"/>
      <c r="R52" s="5">
        <f t="shared" ref="R52:R53" si="36">IF(P$12=0,0,P52/P$12)</f>
        <v>0</v>
      </c>
      <c r="S52" s="1"/>
      <c r="T52" s="1">
        <f>SUM(OSRRefT22_7x_0)</f>
        <v>125</v>
      </c>
      <c r="U52" s="1"/>
      <c r="V52" s="5">
        <f t="shared" ref="V52:V53" si="37">IF(T$12=0,0,T52/T$12)</f>
        <v>0</v>
      </c>
      <c r="W52" s="1"/>
      <c r="X52" s="1">
        <f t="shared" ref="X52:X53" si="38">+P52-T52</f>
        <v>-77</v>
      </c>
      <c r="Y52" s="1"/>
      <c r="Z52" s="5">
        <f t="shared" ref="Z52:Z53" si="39">IF(T52=0,0,X52/T52)</f>
        <v>-0.61599999999999999</v>
      </c>
    </row>
    <row r="53" spans="1:26" s="24" customFormat="1" hidden="1" outlineLevel="2" x14ac:dyDescent="0.3">
      <c r="A53" s="29"/>
      <c r="B53" s="11" t="str">
        <f>CONCATENATE("          ", "6309", " - ", "TELEPHONE")</f>
        <v xml:space="preserve">          6309 - TELEPHONE</v>
      </c>
      <c r="C53" s="11"/>
      <c r="D53" s="8">
        <v>48</v>
      </c>
      <c r="E53" s="3"/>
      <c r="F53" s="7">
        <f t="shared" si="32"/>
        <v>0</v>
      </c>
      <c r="G53" s="3"/>
      <c r="H53" s="8">
        <v>125</v>
      </c>
      <c r="I53" s="3"/>
      <c r="J53" s="7">
        <f t="shared" si="33"/>
        <v>0</v>
      </c>
      <c r="K53" s="3"/>
      <c r="L53" s="8">
        <f t="shared" si="34"/>
        <v>-77</v>
      </c>
      <c r="M53" s="3"/>
      <c r="N53" s="7">
        <f t="shared" si="35"/>
        <v>-0.61599999999999999</v>
      </c>
      <c r="O53" s="11"/>
      <c r="P53" s="8">
        <v>48</v>
      </c>
      <c r="Q53" s="3"/>
      <c r="R53" s="7">
        <f t="shared" si="36"/>
        <v>0</v>
      </c>
      <c r="S53" s="3"/>
      <c r="T53" s="8">
        <v>125</v>
      </c>
      <c r="U53" s="3"/>
      <c r="V53" s="7">
        <f t="shared" si="37"/>
        <v>0</v>
      </c>
      <c r="W53" s="3"/>
      <c r="X53" s="8">
        <f t="shared" si="38"/>
        <v>-77</v>
      </c>
      <c r="Y53" s="3"/>
      <c r="Z53" s="7">
        <f t="shared" si="39"/>
        <v>-0.61599999999999999</v>
      </c>
    </row>
    <row r="54" spans="1:26" s="62" customFormat="1" x14ac:dyDescent="0.3">
      <c r="A54" s="36"/>
      <c r="B54" s="36"/>
      <c r="C54" s="36"/>
      <c r="D54" s="1"/>
      <c r="E54" s="1"/>
      <c r="F54" s="5"/>
      <c r="G54" s="1"/>
      <c r="H54" s="1"/>
      <c r="I54" s="1"/>
      <c r="J54" s="5"/>
      <c r="K54" s="1"/>
      <c r="L54" s="1"/>
      <c r="M54" s="1"/>
      <c r="N54" s="5"/>
      <c r="O54" s="36"/>
      <c r="P54" s="1"/>
      <c r="Q54" s="1"/>
      <c r="R54" s="5"/>
      <c r="S54" s="1"/>
      <c r="T54" s="1"/>
      <c r="U54" s="1"/>
      <c r="V54" s="5"/>
      <c r="W54" s="1"/>
      <c r="X54" s="1"/>
      <c r="Y54" s="1"/>
      <c r="Z54" s="5"/>
    </row>
    <row r="55" spans="1:26" s="23" customFormat="1" x14ac:dyDescent="0.3">
      <c r="A55" s="10"/>
      <c r="B55" s="25" t="s">
        <v>293</v>
      </c>
      <c r="C55" s="10"/>
      <c r="D55" s="4">
        <f>SUM(0)</f>
        <v>0</v>
      </c>
      <c r="E55" s="4"/>
      <c r="F55" s="12">
        <f>IF(D$12=0,0,D55/D$12)</f>
        <v>0</v>
      </c>
      <c r="G55" s="4"/>
      <c r="H55" s="4">
        <f>SUM(0)</f>
        <v>0</v>
      </c>
      <c r="I55" s="4"/>
      <c r="J55" s="12">
        <f>IF(H$12=0,0,H55/H$12)</f>
        <v>0</v>
      </c>
      <c r="K55" s="4"/>
      <c r="L55" s="4">
        <f>+D55-H55</f>
        <v>0</v>
      </c>
      <c r="M55" s="4"/>
      <c r="N55" s="12">
        <f>IF(H55=0,0,L55/H55)</f>
        <v>0</v>
      </c>
      <c r="O55" s="10"/>
      <c r="P55" s="4">
        <f>SUM(0)</f>
        <v>0</v>
      </c>
      <c r="Q55" s="4"/>
      <c r="R55" s="12">
        <f>IF(P$12=0,0,P55/P$12)</f>
        <v>0</v>
      </c>
      <c r="S55" s="4"/>
      <c r="T55" s="4">
        <f>SUM(0)</f>
        <v>0</v>
      </c>
      <c r="U55" s="4"/>
      <c r="V55" s="12">
        <f>IF(T$12=0,0,T55/T$12)</f>
        <v>0</v>
      </c>
      <c r="W55" s="4"/>
      <c r="X55" s="4">
        <f>+P55-T55</f>
        <v>0</v>
      </c>
      <c r="Y55" s="4"/>
      <c r="Z55" s="12">
        <f>IF(T55=0,0,X55/T55)</f>
        <v>0</v>
      </c>
    </row>
    <row r="56" spans="1:26" x14ac:dyDescent="0.3">
      <c r="A56" s="9"/>
      <c r="B56" s="10"/>
      <c r="C56" s="10"/>
      <c r="D56" s="2"/>
      <c r="E56" s="2"/>
      <c r="F56" s="6"/>
      <c r="G56" s="2"/>
      <c r="H56" s="2"/>
      <c r="I56" s="2"/>
      <c r="J56" s="6"/>
      <c r="K56" s="2"/>
      <c r="L56" s="2"/>
      <c r="M56" s="2"/>
      <c r="N56" s="6"/>
      <c r="O56" s="10"/>
      <c r="P56" s="2"/>
      <c r="Q56" s="2"/>
      <c r="R56" s="6"/>
      <c r="S56" s="2"/>
      <c r="T56" s="2"/>
      <c r="U56" s="2"/>
      <c r="V56" s="6"/>
      <c r="W56" s="2"/>
      <c r="X56" s="2"/>
      <c r="Y56" s="2"/>
      <c r="Z56" s="6"/>
    </row>
    <row r="57" spans="1:26" s="23" customFormat="1" x14ac:dyDescent="0.3">
      <c r="A57" s="10"/>
      <c r="B57" s="26" t="s">
        <v>277</v>
      </c>
      <c r="C57" s="26"/>
      <c r="D57" s="21">
        <f>+D16-D18+D55</f>
        <v>-8183.68</v>
      </c>
      <c r="E57" s="13"/>
      <c r="F57" s="22">
        <f>IF(D$12=0,0,D57/D$12)</f>
        <v>0</v>
      </c>
      <c r="G57" s="13"/>
      <c r="H57" s="21">
        <f>+H16-H18+H55</f>
        <v>-13313.708225</v>
      </c>
      <c r="I57" s="13"/>
      <c r="J57" s="22">
        <f>IF(H$12=0,0,H57/H$12)</f>
        <v>0</v>
      </c>
      <c r="K57" s="16"/>
      <c r="L57" s="21">
        <f>+D57-H57</f>
        <v>5130.028225</v>
      </c>
      <c r="M57" s="16"/>
      <c r="N57" s="22">
        <f>IF(H57=0,0,L57/H57)</f>
        <v>-0.38531926179417231</v>
      </c>
      <c r="O57" s="25"/>
      <c r="P57" s="21">
        <f>+P16-P18+P55</f>
        <v>-8183.68</v>
      </c>
      <c r="Q57" s="13"/>
      <c r="R57" s="22">
        <f>IF(P$12=0,0,P57/P$12)</f>
        <v>0</v>
      </c>
      <c r="S57" s="13"/>
      <c r="T57" s="21">
        <f>+T16-T18+T55</f>
        <v>-13313.708225</v>
      </c>
      <c r="U57" s="13"/>
      <c r="V57" s="22">
        <f>IF(T$12=0,0,T57/T$12)</f>
        <v>0</v>
      </c>
      <c r="W57" s="16"/>
      <c r="X57" s="21">
        <f>+P57-T57</f>
        <v>5130.028225</v>
      </c>
      <c r="Y57" s="16"/>
      <c r="Z57" s="22">
        <f>IF(T57=0,0,X57/T57)</f>
        <v>-0.38531926179417231</v>
      </c>
    </row>
    <row r="58" spans="1:26" x14ac:dyDescent="0.3">
      <c r="A58" s="9"/>
      <c r="B58" s="10"/>
      <c r="C58" s="9"/>
      <c r="D58" s="2"/>
      <c r="E58" s="2"/>
      <c r="F58" s="6"/>
      <c r="G58" s="2"/>
      <c r="H58" s="2"/>
      <c r="I58" s="2"/>
      <c r="J58" s="6"/>
      <c r="K58" s="2"/>
      <c r="L58" s="2"/>
      <c r="M58" s="2"/>
      <c r="N58" s="6"/>
      <c r="P58" s="2"/>
      <c r="Q58" s="2"/>
      <c r="R58" s="6"/>
      <c r="S58" s="2"/>
      <c r="T58" s="2"/>
      <c r="U58" s="2"/>
      <c r="V58" s="6"/>
      <c r="W58" s="2"/>
      <c r="X58" s="2"/>
      <c r="Y58" s="2"/>
      <c r="Z58" s="6"/>
    </row>
    <row r="59" spans="1:26" s="23" customFormat="1" x14ac:dyDescent="0.3">
      <c r="A59" s="52"/>
      <c r="B59" s="10" t="s">
        <v>128</v>
      </c>
      <c r="C59" s="10"/>
      <c r="D59" s="4"/>
      <c r="E59" s="4"/>
      <c r="F59" s="12">
        <f>IF(D$12=0,0,D59/D$12)</f>
        <v>0</v>
      </c>
      <c r="G59" s="4"/>
      <c r="H59" s="4"/>
      <c r="I59" s="4"/>
      <c r="J59" s="12">
        <f>IF(H$12=0,0,H59/H$12)</f>
        <v>0</v>
      </c>
      <c r="K59" s="4"/>
      <c r="L59" s="4">
        <f>+D59-H59</f>
        <v>0</v>
      </c>
      <c r="M59" s="4"/>
      <c r="N59" s="12">
        <f>IF(H59=0,0,L59/H59)</f>
        <v>0</v>
      </c>
      <c r="O59" s="10"/>
      <c r="P59" s="4"/>
      <c r="Q59" s="4"/>
      <c r="R59" s="12">
        <f>IF(P$12=0,0,P59/P$12)</f>
        <v>0</v>
      </c>
      <c r="S59" s="4"/>
      <c r="T59" s="4"/>
      <c r="U59" s="4"/>
      <c r="V59" s="12">
        <f>IF(T$12=0,0,T59/T$12)</f>
        <v>0</v>
      </c>
      <c r="W59" s="4"/>
      <c r="X59" s="4">
        <f>+P59-T59</f>
        <v>0</v>
      </c>
      <c r="Y59" s="4"/>
      <c r="Z59" s="12">
        <f>IF(T59=0,0,X59/T59)</f>
        <v>0</v>
      </c>
    </row>
    <row r="60" spans="1:26" x14ac:dyDescent="0.3">
      <c r="A60" s="9"/>
      <c r="B60" s="10"/>
      <c r="C60" s="10"/>
      <c r="D60" s="2"/>
      <c r="E60" s="2"/>
      <c r="F60" s="6"/>
      <c r="G60" s="2"/>
      <c r="H60" s="2"/>
      <c r="I60" s="2"/>
      <c r="J60" s="6"/>
      <c r="K60" s="2"/>
      <c r="L60" s="2"/>
      <c r="M60" s="2"/>
      <c r="N60" s="6"/>
      <c r="O60" s="10"/>
      <c r="P60" s="2"/>
      <c r="Q60" s="2"/>
      <c r="R60" s="6"/>
      <c r="S60" s="2"/>
      <c r="T60" s="2"/>
      <c r="U60" s="2"/>
      <c r="V60" s="6"/>
      <c r="W60" s="2"/>
      <c r="X60" s="2"/>
      <c r="Y60" s="2"/>
      <c r="Z60" s="6"/>
    </row>
    <row r="61" spans="1:26" s="23" customFormat="1" ht="15" thickBot="1" x14ac:dyDescent="0.35">
      <c r="A61" s="10"/>
      <c r="B61" s="26" t="s">
        <v>126</v>
      </c>
      <c r="C61" s="26"/>
      <c r="D61" s="35">
        <f>+D57-D59</f>
        <v>-8183.68</v>
      </c>
      <c r="E61" s="13"/>
      <c r="F61" s="30">
        <f>IF(D$12=0,0,D61/D$12)</f>
        <v>0</v>
      </c>
      <c r="G61" s="13"/>
      <c r="H61" s="35">
        <f>+H57-H59</f>
        <v>-13313.708225</v>
      </c>
      <c r="I61" s="13"/>
      <c r="J61" s="30">
        <f>IF(H$12=0,0,H61/H$12)</f>
        <v>0</v>
      </c>
      <c r="K61" s="16"/>
      <c r="L61" s="35">
        <f>D61-H61</f>
        <v>5130.028225</v>
      </c>
      <c r="M61" s="16"/>
      <c r="N61" s="30">
        <f>IF(H61=0,0,L61/H61)</f>
        <v>-0.38531926179417231</v>
      </c>
      <c r="O61" s="25"/>
      <c r="P61" s="35">
        <f>+P57-P59</f>
        <v>-8183.68</v>
      </c>
      <c r="Q61" s="13"/>
      <c r="R61" s="30">
        <f>IF(P$12=0,0,P61/P$12)</f>
        <v>0</v>
      </c>
      <c r="S61" s="13"/>
      <c r="T61" s="35">
        <f>+T57-T59</f>
        <v>-13313.708225</v>
      </c>
      <c r="U61" s="13"/>
      <c r="V61" s="30">
        <f>IF(T$12=0,0,T61/T$12)</f>
        <v>0</v>
      </c>
      <c r="W61" s="16"/>
      <c r="X61" s="35">
        <f>P61-T61</f>
        <v>5130.028225</v>
      </c>
      <c r="Y61" s="16"/>
      <c r="Z61" s="30">
        <f>IF(T61=0,0,X61/T61)</f>
        <v>-0.38531926179417231</v>
      </c>
    </row>
    <row r="62" spans="1:26" ht="15" thickTop="1" x14ac:dyDescent="0.3">
      <c r="A62" s="9"/>
      <c r="B62" s="9"/>
      <c r="C62" s="9"/>
      <c r="D62" s="2"/>
      <c r="E62" s="2"/>
      <c r="F62" s="6"/>
      <c r="G62" s="2"/>
      <c r="H62" s="2"/>
      <c r="I62" s="2"/>
      <c r="J62" s="6"/>
      <c r="K62" s="2"/>
      <c r="L62" s="2"/>
      <c r="M62" s="2"/>
      <c r="N62" s="6"/>
      <c r="P62" s="2"/>
      <c r="Q62" s="2"/>
      <c r="R62" s="6"/>
      <c r="S62" s="2"/>
      <c r="T62" s="2"/>
      <c r="U62" s="2"/>
      <c r="V62" s="6"/>
      <c r="W62" s="2"/>
      <c r="X62" s="2"/>
      <c r="Y62" s="2"/>
      <c r="Z62" s="6"/>
    </row>
    <row r="63" spans="1:26" x14ac:dyDescent="0.3">
      <c r="A63" s="9"/>
      <c r="B63" s="9"/>
      <c r="C63" s="9"/>
      <c r="D63" s="2"/>
      <c r="E63" s="2"/>
      <c r="F63" s="6"/>
      <c r="G63" s="2"/>
      <c r="H63" s="2"/>
      <c r="I63" s="2"/>
      <c r="J63" s="6"/>
      <c r="K63" s="2"/>
      <c r="L63" s="2"/>
      <c r="M63" s="2"/>
      <c r="N63" s="6"/>
      <c r="P63" s="2"/>
      <c r="Q63" s="2"/>
      <c r="R63" s="6"/>
      <c r="S63" s="2"/>
      <c r="T63" s="2"/>
      <c r="U63" s="2"/>
      <c r="V63" s="6"/>
      <c r="W63" s="2"/>
      <c r="X63" s="2"/>
      <c r="Y63" s="2"/>
      <c r="Z63" s="6"/>
    </row>
    <row r="64" spans="1:26" s="23" customFormat="1" ht="15" thickBot="1" x14ac:dyDescent="0.35">
      <c r="A64" s="10"/>
      <c r="B64" s="26" t="s">
        <v>294</v>
      </c>
      <c r="C64" s="26"/>
      <c r="D64" s="33">
        <f>SUM(D61:D63)</f>
        <v>-8183.68</v>
      </c>
      <c r="E64" s="13"/>
      <c r="F64" s="31">
        <f>IF(D$12=0,0,D64/D$12)</f>
        <v>0</v>
      </c>
      <c r="G64" s="13"/>
      <c r="H64" s="33">
        <f>SUM(H61:H63)</f>
        <v>-13313.708225</v>
      </c>
      <c r="I64" s="13"/>
      <c r="J64" s="31">
        <f>IF(H$12=0,0,H64/H$12)</f>
        <v>0</v>
      </c>
      <c r="K64" s="16"/>
      <c r="L64" s="33">
        <f>+D64-H64</f>
        <v>5130.028225</v>
      </c>
      <c r="M64" s="16"/>
      <c r="N64" s="31">
        <f>IF(H64=0,0,L64/H64)</f>
        <v>-0.38531926179417231</v>
      </c>
      <c r="O64" s="25"/>
      <c r="P64" s="33">
        <f>SUM(P61:P63)</f>
        <v>-8183.68</v>
      </c>
      <c r="Q64" s="13"/>
      <c r="R64" s="31">
        <f>IF(P$12=0,0,P64/P$12)</f>
        <v>0</v>
      </c>
      <c r="S64" s="13"/>
      <c r="T64" s="33">
        <f>SUM(T61:T63)</f>
        <v>-13313.708225</v>
      </c>
      <c r="U64" s="13"/>
      <c r="V64" s="31">
        <f>IF(T$12=0,0,T64/T$12)</f>
        <v>0</v>
      </c>
      <c r="W64" s="16"/>
      <c r="X64" s="33">
        <f>+P64-T64</f>
        <v>5130.028225</v>
      </c>
      <c r="Y64" s="16"/>
      <c r="Z64" s="31">
        <f>IF(T64=0,0,X64/T64)</f>
        <v>-0.38531926179417231</v>
      </c>
    </row>
    <row r="65" spans="1:24" ht="15" thickTop="1" x14ac:dyDescent="0.3">
      <c r="A65" s="9"/>
      <c r="C65" s="9"/>
      <c r="D65" s="18"/>
      <c r="E65" s="18"/>
      <c r="G65" s="18"/>
      <c r="H65" s="18"/>
      <c r="I65" s="18"/>
      <c r="J65" s="43"/>
      <c r="K65" s="18"/>
      <c r="L65" s="18"/>
      <c r="M65" s="18"/>
      <c r="P65" s="18"/>
      <c r="Q65" s="18"/>
      <c r="R65" s="43"/>
      <c r="S65" s="18"/>
      <c r="T65" s="18"/>
      <c r="U65" s="18"/>
      <c r="V65" s="43"/>
      <c r="W65" s="18"/>
      <c r="X65" s="18"/>
    </row>
    <row r="66" spans="1:24" x14ac:dyDescent="0.3">
      <c r="A66" s="9"/>
      <c r="B66" s="54">
        <v>44462.64548684028</v>
      </c>
      <c r="D66" s="18"/>
      <c r="E66" s="18"/>
      <c r="G66" s="18"/>
      <c r="H66" s="18"/>
      <c r="I66" s="18"/>
      <c r="J66" s="43"/>
      <c r="K66" s="18"/>
      <c r="L66" s="18"/>
      <c r="M66" s="18"/>
      <c r="P66" s="18"/>
      <c r="Q66" s="18"/>
      <c r="R66" s="43"/>
      <c r="S66" s="18"/>
      <c r="T66" s="18"/>
      <c r="U66" s="18"/>
      <c r="V66" s="43"/>
      <c r="W66" s="18"/>
      <c r="X66" s="18"/>
    </row>
    <row r="67" spans="1:24" x14ac:dyDescent="0.3">
      <c r="A67" s="9"/>
      <c r="B67" s="59" t="s">
        <v>56</v>
      </c>
      <c r="D67" s="18"/>
      <c r="E67" s="18"/>
      <c r="G67" s="18"/>
      <c r="H67" s="18"/>
      <c r="I67" s="18"/>
      <c r="J67" s="43"/>
      <c r="K67" s="18"/>
      <c r="L67" s="18"/>
      <c r="M67" s="18"/>
      <c r="P67" s="18"/>
      <c r="Q67" s="18"/>
      <c r="R67" s="43"/>
      <c r="S67" s="18"/>
      <c r="T67" s="18"/>
      <c r="U67" s="18"/>
      <c r="V67" s="43"/>
      <c r="W67" s="18"/>
      <c r="X67" s="18"/>
    </row>
    <row r="68" spans="1:24" x14ac:dyDescent="0.3">
      <c r="A68" s="9"/>
      <c r="B68" s="55"/>
      <c r="D68" s="18"/>
      <c r="E68" s="18"/>
      <c r="G68" s="18"/>
      <c r="H68" s="18"/>
      <c r="I68" s="18"/>
      <c r="J68" s="43"/>
      <c r="K68" s="18"/>
      <c r="L68" s="18"/>
      <c r="M68" s="18"/>
      <c r="P68" s="18"/>
      <c r="Q68" s="18"/>
      <c r="R68" s="43"/>
      <c r="S68" s="18"/>
      <c r="T68" s="18"/>
      <c r="U68" s="18"/>
      <c r="V68" s="43"/>
      <c r="W68" s="18"/>
      <c r="X68" s="18"/>
    </row>
    <row r="69" spans="1:24" x14ac:dyDescent="0.3">
      <c r="D69" s="18"/>
      <c r="E69" s="18"/>
      <c r="G69" s="18"/>
      <c r="H69" s="18"/>
      <c r="I69" s="18"/>
      <c r="J69" s="43"/>
      <c r="K69" s="18"/>
      <c r="L69" s="18"/>
      <c r="M69" s="18"/>
      <c r="P69" s="18"/>
      <c r="Q69" s="18"/>
      <c r="R69" s="43"/>
      <c r="S69" s="18"/>
      <c r="T69" s="18"/>
      <c r="U69" s="18"/>
      <c r="V69" s="43"/>
      <c r="W69" s="18"/>
      <c r="X69" s="18"/>
    </row>
  </sheetData>
  <pageMargins left="0.25" right="0.25" top="0.75" bottom="0.75" header="0.3" footer="0.3"/>
  <pageSetup scale="55" fitToWidth="2" orientation="landscape"/>
  <drawing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>
    <tabColor rgb="FF92D050"/>
    <outlinePr summaryBelow="0" summaryRight="0"/>
  </sheetPr>
  <dimension ref="A2:Z68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50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7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50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7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7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7" customWidth="1" outlineLevel="1"/>
  </cols>
  <sheetData>
    <row r="2" spans="1:26" x14ac:dyDescent="0.3">
      <c r="D2" s="57" t="s">
        <v>23</v>
      </c>
    </row>
    <row r="3" spans="1:26" x14ac:dyDescent="0.3">
      <c r="D3" s="57" t="s">
        <v>237</v>
      </c>
      <c r="E3" s="17"/>
      <c r="F3" s="51"/>
      <c r="G3" s="17"/>
      <c r="H3" s="17"/>
      <c r="I3" s="17"/>
      <c r="J3" s="39"/>
      <c r="K3" s="17"/>
      <c r="L3" s="17"/>
      <c r="M3" s="17"/>
      <c r="N3" s="51"/>
      <c r="O3" s="61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3">
      <c r="D4" s="57" t="str">
        <f>CONCATENATE("Period ",RIGHT(202201,2),", ",2022)</f>
        <v>Period 01, 2022</v>
      </c>
      <c r="E4" s="17"/>
      <c r="F4" s="51"/>
      <c r="G4" s="17"/>
      <c r="H4" s="17"/>
      <c r="I4" s="17"/>
      <c r="J4" s="39"/>
      <c r="K4" s="17"/>
      <c r="L4" s="17"/>
      <c r="M4" s="17"/>
      <c r="N4" s="51"/>
      <c r="O4" s="61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3">
      <c r="A5" s="23"/>
      <c r="D5" s="64">
        <v>44408</v>
      </c>
      <c r="E5" s="17"/>
      <c r="F5" s="51"/>
      <c r="G5" s="17"/>
      <c r="H5" s="17"/>
      <c r="I5" s="17"/>
      <c r="J5" s="39"/>
      <c r="K5" s="17"/>
      <c r="L5" s="17"/>
      <c r="M5" s="17"/>
      <c r="N5" s="51"/>
      <c r="O5" s="61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3">
      <c r="A6" s="23"/>
      <c r="B6" s="47"/>
      <c r="C6" s="47"/>
      <c r="D6" s="23" t="str">
        <f>CONCATENATE("Department ","206", " - ", "Communications")</f>
        <v>Department 206 - Communications</v>
      </c>
      <c r="E6" s="17"/>
      <c r="F6" s="51"/>
      <c r="G6" s="17"/>
      <c r="H6" s="17"/>
      <c r="I6" s="17"/>
      <c r="J6" s="39"/>
      <c r="K6" s="17"/>
      <c r="L6" s="17"/>
      <c r="M6" s="17"/>
      <c r="N6" s="51"/>
      <c r="O6" s="60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3">
      <c r="B7" s="63"/>
    </row>
    <row r="8" spans="1:26" x14ac:dyDescent="0.3">
      <c r="B8" s="63"/>
    </row>
    <row r="9" spans="1:26" x14ac:dyDescent="0.3">
      <c r="B9" s="9"/>
      <c r="C9" s="9"/>
      <c r="D9" s="15" t="s">
        <v>292</v>
      </c>
      <c r="E9" s="15"/>
      <c r="F9" s="38"/>
      <c r="G9" s="15"/>
      <c r="H9" s="15"/>
      <c r="I9" s="15"/>
      <c r="J9" s="49"/>
      <c r="K9" s="15"/>
      <c r="L9" s="15"/>
      <c r="M9" s="15"/>
      <c r="N9" s="38"/>
      <c r="P9" s="15" t="s">
        <v>39</v>
      </c>
      <c r="Q9" s="15"/>
      <c r="R9" s="38"/>
      <c r="S9" s="15"/>
      <c r="T9" s="15"/>
      <c r="U9" s="15"/>
      <c r="V9" s="49"/>
      <c r="W9" s="15"/>
      <c r="X9" s="15"/>
      <c r="Y9" s="15"/>
      <c r="Z9" s="38"/>
    </row>
    <row r="10" spans="1:26" x14ac:dyDescent="0.3">
      <c r="A10" s="10"/>
      <c r="B10" s="53"/>
      <c r="C10" s="10"/>
      <c r="D10" s="42" t="s">
        <v>57</v>
      </c>
      <c r="E10" s="34"/>
      <c r="F10" s="40" t="s">
        <v>40</v>
      </c>
      <c r="G10" s="34"/>
      <c r="H10" s="45" t="s">
        <v>238</v>
      </c>
      <c r="I10" s="34"/>
      <c r="J10" s="48" t="s">
        <v>58</v>
      </c>
      <c r="K10" s="10"/>
      <c r="L10" s="42" t="s">
        <v>127</v>
      </c>
      <c r="M10" s="10"/>
      <c r="N10" s="40" t="s">
        <v>258</v>
      </c>
      <c r="O10" s="10"/>
      <c r="P10" s="56" t="s">
        <v>57</v>
      </c>
      <c r="Q10" s="34"/>
      <c r="R10" s="40" t="s">
        <v>40</v>
      </c>
      <c r="S10" s="34"/>
      <c r="T10" s="45" t="s">
        <v>238</v>
      </c>
      <c r="U10" s="34"/>
      <c r="V10" s="48" t="s">
        <v>58</v>
      </c>
      <c r="W10" s="10"/>
      <c r="X10" s="42" t="s">
        <v>127</v>
      </c>
      <c r="Y10" s="10"/>
      <c r="Z10" s="40" t="s">
        <v>258</v>
      </c>
    </row>
    <row r="11" spans="1:26" ht="15.6" x14ac:dyDescent="0.3">
      <c r="A11" s="9"/>
      <c r="B11" s="58"/>
      <c r="C11" s="9"/>
      <c r="D11" s="9"/>
      <c r="E11" s="9"/>
      <c r="F11" s="6"/>
      <c r="G11" s="9"/>
      <c r="H11" s="9"/>
      <c r="I11" s="9"/>
      <c r="J11" s="46"/>
      <c r="K11" s="9"/>
      <c r="L11" s="9"/>
      <c r="M11" s="9"/>
      <c r="N11" s="6"/>
      <c r="P11" s="9"/>
      <c r="Q11" s="9"/>
      <c r="R11" s="6"/>
      <c r="S11" s="9"/>
      <c r="T11" s="9"/>
      <c r="U11" s="9"/>
      <c r="V11" s="46"/>
      <c r="W11" s="9"/>
      <c r="X11" s="9"/>
      <c r="Y11" s="9"/>
      <c r="Z11" s="6"/>
    </row>
    <row r="12" spans="1:26" s="23" customFormat="1" x14ac:dyDescent="0.3">
      <c r="A12" s="10"/>
      <c r="B12" s="25" t="s">
        <v>140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3">
      <c r="A13" s="9"/>
      <c r="B13" s="10"/>
      <c r="C13" s="9"/>
      <c r="D13" s="2"/>
      <c r="E13" s="2"/>
      <c r="F13" s="6"/>
      <c r="G13" s="2"/>
      <c r="H13" s="2"/>
      <c r="I13" s="2"/>
      <c r="J13" s="6"/>
      <c r="K13" s="2"/>
      <c r="L13" s="2"/>
      <c r="M13" s="2"/>
      <c r="N13" s="6"/>
      <c r="P13" s="2"/>
      <c r="Q13" s="2"/>
      <c r="R13" s="6"/>
      <c r="S13" s="2"/>
      <c r="T13" s="2"/>
      <c r="U13" s="2"/>
      <c r="V13" s="6"/>
      <c r="W13" s="2"/>
      <c r="X13" s="2"/>
      <c r="Y13" s="2"/>
      <c r="Z13" s="6"/>
    </row>
    <row r="14" spans="1:26" s="23" customFormat="1" x14ac:dyDescent="0.3">
      <c r="A14" s="10"/>
      <c r="B14" s="25" t="s">
        <v>257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3">
      <c r="A15" s="9"/>
      <c r="B15" s="10"/>
      <c r="C15" s="10"/>
      <c r="D15" s="2"/>
      <c r="E15" s="2"/>
      <c r="F15" s="6"/>
      <c r="G15" s="2"/>
      <c r="H15" s="2"/>
      <c r="I15" s="2"/>
      <c r="J15" s="6"/>
      <c r="K15" s="2"/>
      <c r="L15" s="2"/>
      <c r="M15" s="2"/>
      <c r="N15" s="6"/>
      <c r="O15" s="10"/>
      <c r="P15" s="2"/>
      <c r="Q15" s="2"/>
      <c r="R15" s="6"/>
      <c r="S15" s="2"/>
      <c r="T15" s="2"/>
      <c r="U15" s="2"/>
      <c r="V15" s="6"/>
      <c r="W15" s="2"/>
      <c r="X15" s="2"/>
      <c r="Y15" s="2"/>
      <c r="Z15" s="6"/>
    </row>
    <row r="16" spans="1:26" s="23" customFormat="1" x14ac:dyDescent="0.3">
      <c r="A16" s="10"/>
      <c r="B16" s="26" t="s">
        <v>108</v>
      </c>
      <c r="C16" s="26"/>
      <c r="D16" s="21">
        <f>D12-D14</f>
        <v>0</v>
      </c>
      <c r="E16" s="13"/>
      <c r="F16" s="22">
        <f>IF(D$12=0,0,D16/D$12)</f>
        <v>0</v>
      </c>
      <c r="G16" s="13"/>
      <c r="H16" s="21">
        <f>H12-H14</f>
        <v>0</v>
      </c>
      <c r="I16" s="13"/>
      <c r="J16" s="22">
        <f>IF(H$12=0,0,H16/H$12)</f>
        <v>0</v>
      </c>
      <c r="K16" s="16"/>
      <c r="L16" s="21">
        <f>+D16-H16</f>
        <v>0</v>
      </c>
      <c r="M16" s="16"/>
      <c r="N16" s="22">
        <f>IF(H16=0,0,L16/H16)</f>
        <v>0</v>
      </c>
      <c r="O16" s="25"/>
      <c r="P16" s="21">
        <f>P12-P14</f>
        <v>0</v>
      </c>
      <c r="Q16" s="13"/>
      <c r="R16" s="22">
        <f>IF(P$12=0,0,P16/P$12)</f>
        <v>0</v>
      </c>
      <c r="S16" s="13"/>
      <c r="T16" s="21">
        <f>T12-T14</f>
        <v>0</v>
      </c>
      <c r="U16" s="13"/>
      <c r="V16" s="22">
        <f>IF(T$12=0,0,T16/T$12)</f>
        <v>0</v>
      </c>
      <c r="W16" s="16"/>
      <c r="X16" s="21">
        <f>+P16-T16</f>
        <v>0</v>
      </c>
      <c r="Y16" s="16"/>
      <c r="Z16" s="22">
        <f>IF(T16=0,0,X16/T16)</f>
        <v>0</v>
      </c>
    </row>
    <row r="17" spans="1:26" x14ac:dyDescent="0.3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3">
      <c r="A18" s="10"/>
      <c r="B18" s="25" t="s">
        <v>295</v>
      </c>
      <c r="C18" s="10"/>
      <c r="D18" s="20">
        <f>SUM(OSRRefD22x_0)</f>
        <v>10470.699999999999</v>
      </c>
      <c r="E18" s="20"/>
      <c r="F18" s="32">
        <f t="shared" ref="F18:F28" si="0">IF(D$12=0,0,D18/D$12)</f>
        <v>0</v>
      </c>
      <c r="G18" s="20"/>
      <c r="H18" s="20">
        <f>SUM(OSRRefH22x_0)</f>
        <v>16324.842784615381</v>
      </c>
      <c r="I18" s="20"/>
      <c r="J18" s="32">
        <f t="shared" ref="J18:J28" si="1">IF(H$12=0,0,H18/H$12)</f>
        <v>0</v>
      </c>
      <c r="K18" s="4"/>
      <c r="L18" s="20">
        <f t="shared" ref="L18:L28" si="2">+D18-H18</f>
        <v>-5854.142784615382</v>
      </c>
      <c r="M18" s="4"/>
      <c r="N18" s="32">
        <f t="shared" ref="N18:N28" si="3">IF(H18=0,0,L18/H18)</f>
        <v>-0.35860331776869286</v>
      </c>
      <c r="O18" s="10"/>
      <c r="P18" s="20">
        <f>SUM(OSRRefP22x_0)</f>
        <v>10470.699999999999</v>
      </c>
      <c r="Q18" s="20"/>
      <c r="R18" s="32">
        <f t="shared" ref="R18:R28" si="4">IF(P$12=0,0,P18/P$12)</f>
        <v>0</v>
      </c>
      <c r="S18" s="20"/>
      <c r="T18" s="20">
        <f>SUM(OSRRefT22x_0)</f>
        <v>16324.842784615381</v>
      </c>
      <c r="U18" s="20"/>
      <c r="V18" s="32">
        <f t="shared" ref="V18:V28" si="5">IF(T$12=0,0,T18/T$12)</f>
        <v>0</v>
      </c>
      <c r="W18" s="4"/>
      <c r="X18" s="20">
        <f t="shared" ref="X18:X28" si="6">+P18-T18</f>
        <v>-5854.142784615382</v>
      </c>
      <c r="Y18" s="4"/>
      <c r="Z18" s="32">
        <f t="shared" ref="Z18:Z28" si="7">IF(T18=0,0,X18/T18)</f>
        <v>-0.35860331776869286</v>
      </c>
    </row>
    <row r="19" spans="1:26" s="27" customFormat="1" outlineLevel="1" collapsed="1" x14ac:dyDescent="0.3">
      <c r="A19" s="28"/>
      <c r="B19" s="14" t="str">
        <f>CONCATENATE("     ","*Benefits                                         ")</f>
        <v xml:space="preserve">     *Benefits                                         </v>
      </c>
      <c r="C19" s="14"/>
      <c r="D19" s="1">
        <f>SUM(OSRRefD22_0x_0)</f>
        <v>1886.62</v>
      </c>
      <c r="E19" s="1"/>
      <c r="F19" s="5">
        <f t="shared" si="0"/>
        <v>0</v>
      </c>
      <c r="G19" s="1"/>
      <c r="H19" s="1">
        <f>SUM(OSRRefH22_0x_0)</f>
        <v>2941.2427846153801</v>
      </c>
      <c r="I19" s="1"/>
      <c r="J19" s="5">
        <f t="shared" si="1"/>
        <v>0</v>
      </c>
      <c r="K19" s="1"/>
      <c r="L19" s="1">
        <f t="shared" si="2"/>
        <v>-1054.6227846153802</v>
      </c>
      <c r="M19" s="1"/>
      <c r="N19" s="5">
        <f t="shared" si="3"/>
        <v>-0.35856366231708103</v>
      </c>
      <c r="O19" s="14"/>
      <c r="P19" s="1">
        <f>SUM(OSRRefP22_0x_0)</f>
        <v>1886.62</v>
      </c>
      <c r="Q19" s="1"/>
      <c r="R19" s="5">
        <f t="shared" si="4"/>
        <v>0</v>
      </c>
      <c r="S19" s="1"/>
      <c r="T19" s="1">
        <f>SUM(OSRRefT22_0x_0)</f>
        <v>2941.2427846153801</v>
      </c>
      <c r="U19" s="1"/>
      <c r="V19" s="5">
        <f t="shared" si="5"/>
        <v>0</v>
      </c>
      <c r="W19" s="1"/>
      <c r="X19" s="1">
        <f t="shared" si="6"/>
        <v>-1054.6227846153802</v>
      </c>
      <c r="Y19" s="1"/>
      <c r="Z19" s="5">
        <f t="shared" si="7"/>
        <v>-0.35856366231708103</v>
      </c>
    </row>
    <row r="20" spans="1:26" s="24" customFormat="1" hidden="1" outlineLevel="2" x14ac:dyDescent="0.3">
      <c r="A20" s="29"/>
      <c r="B20" s="11" t="str">
        <f>CONCATENATE("          ", "6111", " - ", "F.I.C.A.")</f>
        <v xml:space="preserve">          6111 - F.I.C.A.</v>
      </c>
      <c r="C20" s="11"/>
      <c r="D20" s="8">
        <v>498.51</v>
      </c>
      <c r="E20" s="3"/>
      <c r="F20" s="7">
        <f t="shared" si="0"/>
        <v>0</v>
      </c>
      <c r="G20" s="3"/>
      <c r="H20" s="8">
        <v>717.85140000000001</v>
      </c>
      <c r="I20" s="3"/>
      <c r="J20" s="7">
        <f t="shared" si="1"/>
        <v>0</v>
      </c>
      <c r="K20" s="3"/>
      <c r="L20" s="8">
        <f t="shared" si="2"/>
        <v>-219.34140000000002</v>
      </c>
      <c r="M20" s="3"/>
      <c r="N20" s="7">
        <f t="shared" si="3"/>
        <v>-0.30555265337645093</v>
      </c>
      <c r="O20" s="11"/>
      <c r="P20" s="8">
        <v>498.51</v>
      </c>
      <c r="Q20" s="3"/>
      <c r="R20" s="7">
        <f t="shared" si="4"/>
        <v>0</v>
      </c>
      <c r="S20" s="3"/>
      <c r="T20" s="8">
        <v>717.85140000000001</v>
      </c>
      <c r="U20" s="3"/>
      <c r="V20" s="7">
        <f t="shared" si="5"/>
        <v>0</v>
      </c>
      <c r="W20" s="3"/>
      <c r="X20" s="8">
        <f t="shared" si="6"/>
        <v>-219.34140000000002</v>
      </c>
      <c r="Y20" s="3"/>
      <c r="Z20" s="7">
        <f t="shared" si="7"/>
        <v>-0.30555265337645093</v>
      </c>
    </row>
    <row r="21" spans="1:26" s="24" customFormat="1" hidden="1" outlineLevel="2" x14ac:dyDescent="0.3">
      <c r="A21" s="29"/>
      <c r="B21" s="11" t="str">
        <f>CONCATENATE("          ", "6112", " - ", "COMPENSATION INSURANCE")</f>
        <v xml:space="preserve">          6112 - COMPENSATION INSURANCE</v>
      </c>
      <c r="C21" s="11"/>
      <c r="D21" s="8">
        <v>83.68</v>
      </c>
      <c r="E21" s="3"/>
      <c r="F21" s="7">
        <f t="shared" si="0"/>
        <v>0</v>
      </c>
      <c r="G21" s="3"/>
      <c r="H21" s="8">
        <v>29.077999999999999</v>
      </c>
      <c r="I21" s="3"/>
      <c r="J21" s="7">
        <f t="shared" si="1"/>
        <v>0</v>
      </c>
      <c r="K21" s="3"/>
      <c r="L21" s="8">
        <f t="shared" si="2"/>
        <v>54.602000000000004</v>
      </c>
      <c r="M21" s="3"/>
      <c r="N21" s="7">
        <f t="shared" si="3"/>
        <v>1.8777770135497629</v>
      </c>
      <c r="O21" s="11"/>
      <c r="P21" s="8">
        <v>83.68</v>
      </c>
      <c r="Q21" s="3"/>
      <c r="R21" s="7">
        <f t="shared" si="4"/>
        <v>0</v>
      </c>
      <c r="S21" s="3"/>
      <c r="T21" s="8">
        <v>29.077999999999999</v>
      </c>
      <c r="U21" s="3"/>
      <c r="V21" s="7">
        <f t="shared" si="5"/>
        <v>0</v>
      </c>
      <c r="W21" s="3"/>
      <c r="X21" s="8">
        <f t="shared" si="6"/>
        <v>54.602000000000004</v>
      </c>
      <c r="Y21" s="3"/>
      <c r="Z21" s="7">
        <f t="shared" si="7"/>
        <v>1.8777770135497629</v>
      </c>
    </row>
    <row r="22" spans="1:26" s="24" customFormat="1" hidden="1" outlineLevel="2" x14ac:dyDescent="0.3">
      <c r="A22" s="29"/>
      <c r="B22" s="11" t="str">
        <f>CONCATENATE("          ", "6113", " - ", "GROUP INSURANCE")</f>
        <v xml:space="preserve">          6113 - GROUP INSURANCE</v>
      </c>
      <c r="C22" s="11"/>
      <c r="D22" s="8">
        <v>700.87</v>
      </c>
      <c r="E22" s="3"/>
      <c r="F22" s="7">
        <f t="shared" si="0"/>
        <v>0</v>
      </c>
      <c r="G22" s="3"/>
      <c r="H22" s="8">
        <v>1594.61538461538</v>
      </c>
      <c r="I22" s="3"/>
      <c r="J22" s="7">
        <f t="shared" si="1"/>
        <v>0</v>
      </c>
      <c r="K22" s="3"/>
      <c r="L22" s="8">
        <f t="shared" si="2"/>
        <v>-893.74538461537998</v>
      </c>
      <c r="M22" s="3"/>
      <c r="N22" s="7">
        <f t="shared" si="3"/>
        <v>-0.56047708634828619</v>
      </c>
      <c r="O22" s="11"/>
      <c r="P22" s="8">
        <v>700.87</v>
      </c>
      <c r="Q22" s="3"/>
      <c r="R22" s="7">
        <f t="shared" si="4"/>
        <v>0</v>
      </c>
      <c r="S22" s="3"/>
      <c r="T22" s="8">
        <v>1594.61538461538</v>
      </c>
      <c r="U22" s="3"/>
      <c r="V22" s="7">
        <f t="shared" si="5"/>
        <v>0</v>
      </c>
      <c r="W22" s="3"/>
      <c r="X22" s="8">
        <f t="shared" si="6"/>
        <v>-893.74538461537998</v>
      </c>
      <c r="Y22" s="3"/>
      <c r="Z22" s="7">
        <f t="shared" si="7"/>
        <v>-0.56047708634828619</v>
      </c>
    </row>
    <row r="23" spans="1:26" s="24" customFormat="1" hidden="1" outlineLevel="2" x14ac:dyDescent="0.3">
      <c r="A23" s="29"/>
      <c r="B23" s="11" t="str">
        <f>CONCATENATE("          ", "6114", " - ", "STATE UNEMPLOYMENT INSURANCE")</f>
        <v xml:space="preserve">          6114 - STATE UNEMPLOYMENT INSURANCE</v>
      </c>
      <c r="C23" s="11"/>
      <c r="D23" s="8">
        <v>16.87</v>
      </c>
      <c r="E23" s="3"/>
      <c r="F23" s="7">
        <f t="shared" si="0"/>
        <v>0</v>
      </c>
      <c r="G23" s="3"/>
      <c r="H23" s="8">
        <v>19.698</v>
      </c>
      <c r="I23" s="3"/>
      <c r="J23" s="7">
        <f t="shared" si="1"/>
        <v>0</v>
      </c>
      <c r="K23" s="3"/>
      <c r="L23" s="8">
        <f t="shared" si="2"/>
        <v>-2.8279999999999994</v>
      </c>
      <c r="M23" s="3"/>
      <c r="N23" s="7">
        <f t="shared" si="3"/>
        <v>-0.14356787491115847</v>
      </c>
      <c r="O23" s="11"/>
      <c r="P23" s="8">
        <v>16.87</v>
      </c>
      <c r="Q23" s="3"/>
      <c r="R23" s="7">
        <f t="shared" si="4"/>
        <v>0</v>
      </c>
      <c r="S23" s="3"/>
      <c r="T23" s="8">
        <v>19.698</v>
      </c>
      <c r="U23" s="3"/>
      <c r="V23" s="7">
        <f t="shared" si="5"/>
        <v>0</v>
      </c>
      <c r="W23" s="3"/>
      <c r="X23" s="8">
        <f t="shared" si="6"/>
        <v>-2.8279999999999994</v>
      </c>
      <c r="Y23" s="3"/>
      <c r="Z23" s="7">
        <f t="shared" si="7"/>
        <v>-0.14356787491115847</v>
      </c>
    </row>
    <row r="24" spans="1:26" s="24" customFormat="1" hidden="1" outlineLevel="2" x14ac:dyDescent="0.3">
      <c r="A24" s="29"/>
      <c r="B24" s="11" t="str">
        <f>CONCATENATE("          ", "6115", " - ", "P.E.R.S.")</f>
        <v xml:space="preserve">          6115 - P.E.R.S.</v>
      </c>
      <c r="C24" s="11"/>
      <c r="D24" s="8"/>
      <c r="E24" s="3"/>
      <c r="F24" s="7">
        <f t="shared" si="0"/>
        <v>0</v>
      </c>
      <c r="G24" s="3"/>
      <c r="H24" s="8">
        <v>0</v>
      </c>
      <c r="I24" s="3"/>
      <c r="J24" s="7">
        <f t="shared" si="1"/>
        <v>0</v>
      </c>
      <c r="K24" s="3"/>
      <c r="L24" s="8">
        <f t="shared" si="2"/>
        <v>0</v>
      </c>
      <c r="M24" s="3"/>
      <c r="N24" s="7">
        <f t="shared" si="3"/>
        <v>0</v>
      </c>
      <c r="O24" s="11"/>
      <c r="P24" s="8"/>
      <c r="Q24" s="3"/>
      <c r="R24" s="7">
        <f t="shared" si="4"/>
        <v>0</v>
      </c>
      <c r="S24" s="3"/>
      <c r="T24" s="8">
        <v>0</v>
      </c>
      <c r="U24" s="3"/>
      <c r="V24" s="7">
        <f t="shared" si="5"/>
        <v>0</v>
      </c>
      <c r="W24" s="3"/>
      <c r="X24" s="8">
        <f t="shared" si="6"/>
        <v>0</v>
      </c>
      <c r="Y24" s="3"/>
      <c r="Z24" s="7">
        <f t="shared" si="7"/>
        <v>0</v>
      </c>
    </row>
    <row r="25" spans="1:26" s="24" customFormat="1" hidden="1" outlineLevel="2" x14ac:dyDescent="0.3">
      <c r="A25" s="29"/>
      <c r="B25" s="11" t="str">
        <f>CONCATENATE("          ", "6116", " - ", "EDUCATIONAL BENEFITS")</f>
        <v xml:space="preserve">          6116 - EDUCATIONAL BENEFITS</v>
      </c>
      <c r="C25" s="11"/>
      <c r="D25" s="8"/>
      <c r="E25" s="3"/>
      <c r="F25" s="7">
        <f t="shared" si="0"/>
        <v>0</v>
      </c>
      <c r="G25" s="3"/>
      <c r="H25" s="8">
        <v>0</v>
      </c>
      <c r="I25" s="3"/>
      <c r="J25" s="7">
        <f t="shared" si="1"/>
        <v>0</v>
      </c>
      <c r="K25" s="3"/>
      <c r="L25" s="8">
        <f t="shared" si="2"/>
        <v>0</v>
      </c>
      <c r="M25" s="3"/>
      <c r="N25" s="7">
        <f t="shared" si="3"/>
        <v>0</v>
      </c>
      <c r="O25" s="11"/>
      <c r="P25" s="8"/>
      <c r="Q25" s="3"/>
      <c r="R25" s="7">
        <f t="shared" si="4"/>
        <v>0</v>
      </c>
      <c r="S25" s="3"/>
      <c r="T25" s="8">
        <v>0</v>
      </c>
      <c r="U25" s="3"/>
      <c r="V25" s="7">
        <f t="shared" si="5"/>
        <v>0</v>
      </c>
      <c r="W25" s="3"/>
      <c r="X25" s="8">
        <f t="shared" si="6"/>
        <v>0</v>
      </c>
      <c r="Y25" s="3"/>
      <c r="Z25" s="7">
        <f t="shared" si="7"/>
        <v>0</v>
      </c>
    </row>
    <row r="26" spans="1:26" s="24" customFormat="1" hidden="1" outlineLevel="2" x14ac:dyDescent="0.3">
      <c r="A26" s="29"/>
      <c r="B26" s="11" t="str">
        <f>CONCATENATE("          ", "6118", " - ", "VACATION")</f>
        <v xml:space="preserve">          6118 - VACATION</v>
      </c>
      <c r="C26" s="11"/>
      <c r="D26" s="8">
        <v>276.60000000000002</v>
      </c>
      <c r="E26" s="3"/>
      <c r="F26" s="7">
        <f t="shared" si="0"/>
        <v>0</v>
      </c>
      <c r="G26" s="3"/>
      <c r="H26" s="8">
        <v>185.4</v>
      </c>
      <c r="I26" s="3"/>
      <c r="J26" s="7">
        <f t="shared" si="1"/>
        <v>0</v>
      </c>
      <c r="K26" s="3"/>
      <c r="L26" s="8">
        <f t="shared" si="2"/>
        <v>91.200000000000017</v>
      </c>
      <c r="M26" s="3"/>
      <c r="N26" s="7">
        <f t="shared" si="3"/>
        <v>0.4919093851132687</v>
      </c>
      <c r="O26" s="11"/>
      <c r="P26" s="8">
        <v>276.60000000000002</v>
      </c>
      <c r="Q26" s="3"/>
      <c r="R26" s="7">
        <f t="shared" si="4"/>
        <v>0</v>
      </c>
      <c r="S26" s="3"/>
      <c r="T26" s="8">
        <v>185.4</v>
      </c>
      <c r="U26" s="3"/>
      <c r="V26" s="7">
        <f t="shared" si="5"/>
        <v>0</v>
      </c>
      <c r="W26" s="3"/>
      <c r="X26" s="8">
        <f t="shared" si="6"/>
        <v>91.200000000000017</v>
      </c>
      <c r="Y26" s="3"/>
      <c r="Z26" s="7">
        <f t="shared" si="7"/>
        <v>0.4919093851132687</v>
      </c>
    </row>
    <row r="27" spans="1:26" s="24" customFormat="1" hidden="1" outlineLevel="2" x14ac:dyDescent="0.3">
      <c r="A27" s="29"/>
      <c r="B27" s="11" t="str">
        <f>CONCATENATE("          ", "6119", " - ", "SICK LEAVE")</f>
        <v xml:space="preserve">          6119 - SICK LEAVE</v>
      </c>
      <c r="C27" s="11"/>
      <c r="D27" s="8">
        <v>221.4</v>
      </c>
      <c r="E27" s="3"/>
      <c r="F27" s="7">
        <f t="shared" si="0"/>
        <v>0</v>
      </c>
      <c r="G27" s="3"/>
      <c r="H27" s="8">
        <v>219.6</v>
      </c>
      <c r="I27" s="3"/>
      <c r="J27" s="7">
        <f t="shared" si="1"/>
        <v>0</v>
      </c>
      <c r="K27" s="3"/>
      <c r="L27" s="8">
        <f t="shared" si="2"/>
        <v>1.8000000000000114</v>
      </c>
      <c r="M27" s="3"/>
      <c r="N27" s="7">
        <f t="shared" si="3"/>
        <v>8.1967213114754623E-3</v>
      </c>
      <c r="O27" s="11"/>
      <c r="P27" s="8">
        <v>221.4</v>
      </c>
      <c r="Q27" s="3"/>
      <c r="R27" s="7">
        <f t="shared" si="4"/>
        <v>0</v>
      </c>
      <c r="S27" s="3"/>
      <c r="T27" s="8">
        <v>219.6</v>
      </c>
      <c r="U27" s="3"/>
      <c r="V27" s="7">
        <f t="shared" si="5"/>
        <v>0</v>
      </c>
      <c r="W27" s="3"/>
      <c r="X27" s="8">
        <f t="shared" si="6"/>
        <v>1.8000000000000114</v>
      </c>
      <c r="Y27" s="3"/>
      <c r="Z27" s="7">
        <f t="shared" si="7"/>
        <v>8.1967213114754623E-3</v>
      </c>
    </row>
    <row r="28" spans="1:26" s="24" customFormat="1" hidden="1" outlineLevel="2" x14ac:dyDescent="0.3">
      <c r="A28" s="29"/>
      <c r="B28" s="11" t="str">
        <f>CONCATENATE("          ", "6156", " - ", "EMPLOYEE MEALS")</f>
        <v xml:space="preserve">          6156 - EMPLOYEE MEALS</v>
      </c>
      <c r="C28" s="11"/>
      <c r="D28" s="8">
        <v>88.69</v>
      </c>
      <c r="E28" s="3"/>
      <c r="F28" s="7">
        <f t="shared" si="0"/>
        <v>0</v>
      </c>
      <c r="G28" s="3"/>
      <c r="H28" s="8">
        <v>175</v>
      </c>
      <c r="I28" s="3"/>
      <c r="J28" s="7">
        <f t="shared" si="1"/>
        <v>0</v>
      </c>
      <c r="K28" s="3"/>
      <c r="L28" s="8">
        <f t="shared" si="2"/>
        <v>-86.31</v>
      </c>
      <c r="M28" s="3"/>
      <c r="N28" s="7">
        <f t="shared" si="3"/>
        <v>-0.49320000000000003</v>
      </c>
      <c r="O28" s="11"/>
      <c r="P28" s="8">
        <v>88.69</v>
      </c>
      <c r="Q28" s="3"/>
      <c r="R28" s="7">
        <f t="shared" si="4"/>
        <v>0</v>
      </c>
      <c r="S28" s="3"/>
      <c r="T28" s="8">
        <v>175</v>
      </c>
      <c r="U28" s="3"/>
      <c r="V28" s="7">
        <f t="shared" si="5"/>
        <v>0</v>
      </c>
      <c r="W28" s="3"/>
      <c r="X28" s="8">
        <f t="shared" si="6"/>
        <v>-86.31</v>
      </c>
      <c r="Y28" s="3"/>
      <c r="Z28" s="7">
        <f t="shared" si="7"/>
        <v>-0.49320000000000003</v>
      </c>
    </row>
    <row r="29" spans="1:26" s="27" customFormat="1" outlineLevel="1" collapsed="1" x14ac:dyDescent="0.3">
      <c r="A29" s="28"/>
      <c r="B29" s="14" t="str">
        <f>CONCATENATE("     ","*Payroll                                          ")</f>
        <v xml:space="preserve">     *Payroll                                          </v>
      </c>
      <c r="C29" s="14"/>
      <c r="D29" s="1">
        <f>SUM(OSRRefD22_1x_0)</f>
        <v>8302.8700000000008</v>
      </c>
      <c r="E29" s="1"/>
      <c r="F29" s="5">
        <f t="shared" ref="F29:F39" si="8">IF(D$12=0,0,D29/D$12)</f>
        <v>0</v>
      </c>
      <c r="G29" s="1"/>
      <c r="H29" s="1">
        <f>SUM(OSRRefH22_1x_0)</f>
        <v>9194.6</v>
      </c>
      <c r="I29" s="1"/>
      <c r="J29" s="5">
        <f t="shared" ref="J29:J39" si="9">IF(H$12=0,0,H29/H$12)</f>
        <v>0</v>
      </c>
      <c r="K29" s="1"/>
      <c r="L29" s="1">
        <f t="shared" ref="L29:L39" si="10">+D29-H29</f>
        <v>-891.72999999999956</v>
      </c>
      <c r="M29" s="1"/>
      <c r="N29" s="5">
        <f t="shared" ref="N29:N39" si="11">IF(H29=0,0,L29/H29)</f>
        <v>-9.6984099362669343E-2</v>
      </c>
      <c r="O29" s="14"/>
      <c r="P29" s="1">
        <f>SUM(OSRRefP22_1x_0)</f>
        <v>8302.8700000000008</v>
      </c>
      <c r="Q29" s="1"/>
      <c r="R29" s="5">
        <f t="shared" ref="R29:R39" si="12">IF(P$12=0,0,P29/P$12)</f>
        <v>0</v>
      </c>
      <c r="S29" s="1"/>
      <c r="T29" s="1">
        <f>SUM(OSRRefT22_1x_0)</f>
        <v>9194.6</v>
      </c>
      <c r="U29" s="1"/>
      <c r="V29" s="5">
        <f t="shared" ref="V29:V39" si="13">IF(T$12=0,0,T29/T$12)</f>
        <v>0</v>
      </c>
      <c r="W29" s="1"/>
      <c r="X29" s="1">
        <f t="shared" ref="X29:X39" si="14">+P29-T29</f>
        <v>-891.72999999999956</v>
      </c>
      <c r="Y29" s="1"/>
      <c r="Z29" s="5">
        <f t="shared" ref="Z29:Z39" si="15">IF(T29=0,0,X29/T29)</f>
        <v>-9.6984099362669343E-2</v>
      </c>
    </row>
    <row r="30" spans="1:26" s="24" customFormat="1" hidden="1" outlineLevel="2" x14ac:dyDescent="0.3">
      <c r="A30" s="29"/>
      <c r="B30" s="11" t="str">
        <f>CONCATENATE("          ", "6001", " - ", "ADMINISTRATIVE SALARIES")</f>
        <v xml:space="preserve">          6001 - ADMINISTRATIVE SALARIES</v>
      </c>
      <c r="C30" s="11"/>
      <c r="D30" s="8"/>
      <c r="E30" s="3"/>
      <c r="F30" s="7">
        <f t="shared" si="8"/>
        <v>0</v>
      </c>
      <c r="G30" s="3"/>
      <c r="H30" s="8">
        <v>0</v>
      </c>
      <c r="I30" s="3"/>
      <c r="J30" s="7">
        <f t="shared" si="9"/>
        <v>0</v>
      </c>
      <c r="K30" s="3"/>
      <c r="L30" s="8">
        <f t="shared" si="10"/>
        <v>0</v>
      </c>
      <c r="M30" s="3"/>
      <c r="N30" s="7">
        <f t="shared" si="11"/>
        <v>0</v>
      </c>
      <c r="O30" s="11"/>
      <c r="P30" s="8"/>
      <c r="Q30" s="3"/>
      <c r="R30" s="7">
        <f t="shared" si="12"/>
        <v>0</v>
      </c>
      <c r="S30" s="3"/>
      <c r="T30" s="8">
        <v>0</v>
      </c>
      <c r="U30" s="3"/>
      <c r="V30" s="7">
        <f t="shared" si="13"/>
        <v>0</v>
      </c>
      <c r="W30" s="3"/>
      <c r="X30" s="8">
        <f t="shared" si="14"/>
        <v>0</v>
      </c>
      <c r="Y30" s="3"/>
      <c r="Z30" s="7">
        <f t="shared" si="15"/>
        <v>0</v>
      </c>
    </row>
    <row r="31" spans="1:26" s="24" customFormat="1" hidden="1" outlineLevel="2" x14ac:dyDescent="0.3">
      <c r="A31" s="29"/>
      <c r="B31" s="11" t="str">
        <f>CONCATENATE("          ", "6002", " - ", "STAFF SALARIES")</f>
        <v xml:space="preserve">          6002 - STAFF SALARIES</v>
      </c>
      <c r="C31" s="11"/>
      <c r="D31" s="8"/>
      <c r="E31" s="3"/>
      <c r="F31" s="7">
        <f t="shared" si="8"/>
        <v>0</v>
      </c>
      <c r="G31" s="3"/>
      <c r="H31" s="8">
        <v>0</v>
      </c>
      <c r="I31" s="3"/>
      <c r="J31" s="7">
        <f t="shared" si="9"/>
        <v>0</v>
      </c>
      <c r="K31" s="3"/>
      <c r="L31" s="8">
        <f t="shared" si="10"/>
        <v>0</v>
      </c>
      <c r="M31" s="3"/>
      <c r="N31" s="7">
        <f t="shared" si="11"/>
        <v>0</v>
      </c>
      <c r="O31" s="11"/>
      <c r="P31" s="8"/>
      <c r="Q31" s="3"/>
      <c r="R31" s="7">
        <f t="shared" si="12"/>
        <v>0</v>
      </c>
      <c r="S31" s="3"/>
      <c r="T31" s="8">
        <v>0</v>
      </c>
      <c r="U31" s="3"/>
      <c r="V31" s="7">
        <f t="shared" si="13"/>
        <v>0</v>
      </c>
      <c r="W31" s="3"/>
      <c r="X31" s="8">
        <f t="shared" si="14"/>
        <v>0</v>
      </c>
      <c r="Y31" s="3"/>
      <c r="Z31" s="7">
        <f t="shared" si="15"/>
        <v>0</v>
      </c>
    </row>
    <row r="32" spans="1:26" s="24" customFormat="1" hidden="1" outlineLevel="2" x14ac:dyDescent="0.3">
      <c r="A32" s="29"/>
      <c r="B32" s="11" t="str">
        <f>CONCATENATE("          ", "6003", " - ", "STAFF HOURLY-9 MONTH")</f>
        <v xml:space="preserve">          6003 - STAFF HOURLY-9 MONTH</v>
      </c>
      <c r="C32" s="11"/>
      <c r="D32" s="8"/>
      <c r="E32" s="3"/>
      <c r="F32" s="7">
        <f t="shared" si="8"/>
        <v>0</v>
      </c>
      <c r="G32" s="3"/>
      <c r="H32" s="8">
        <v>0</v>
      </c>
      <c r="I32" s="3"/>
      <c r="J32" s="7">
        <f t="shared" si="9"/>
        <v>0</v>
      </c>
      <c r="K32" s="3"/>
      <c r="L32" s="8">
        <f t="shared" si="10"/>
        <v>0</v>
      </c>
      <c r="M32" s="3"/>
      <c r="N32" s="7">
        <f t="shared" si="11"/>
        <v>0</v>
      </c>
      <c r="O32" s="11"/>
      <c r="P32" s="8"/>
      <c r="Q32" s="3"/>
      <c r="R32" s="7">
        <f t="shared" si="12"/>
        <v>0</v>
      </c>
      <c r="S32" s="3"/>
      <c r="T32" s="8">
        <v>0</v>
      </c>
      <c r="U32" s="3"/>
      <c r="V32" s="7">
        <f t="shared" si="13"/>
        <v>0</v>
      </c>
      <c r="W32" s="3"/>
      <c r="X32" s="8">
        <f t="shared" si="14"/>
        <v>0</v>
      </c>
      <c r="Y32" s="3"/>
      <c r="Z32" s="7">
        <f t="shared" si="15"/>
        <v>0</v>
      </c>
    </row>
    <row r="33" spans="1:26" s="24" customFormat="1" hidden="1" outlineLevel="2" x14ac:dyDescent="0.3">
      <c r="A33" s="29"/>
      <c r="B33" s="11" t="str">
        <f>CONCATENATE("          ", "6004", " - ", "STAFF HOURLY")</f>
        <v xml:space="preserve">          6004 - STAFF HOURLY</v>
      </c>
      <c r="C33" s="11"/>
      <c r="D33" s="8">
        <v>4874.55</v>
      </c>
      <c r="E33" s="3"/>
      <c r="F33" s="7">
        <f t="shared" si="8"/>
        <v>0</v>
      </c>
      <c r="G33" s="3"/>
      <c r="H33" s="8">
        <v>5994.6</v>
      </c>
      <c r="I33" s="3"/>
      <c r="J33" s="7">
        <f t="shared" si="9"/>
        <v>0</v>
      </c>
      <c r="K33" s="3"/>
      <c r="L33" s="8">
        <f t="shared" si="10"/>
        <v>-1120.0500000000002</v>
      </c>
      <c r="M33" s="3"/>
      <c r="N33" s="7">
        <f t="shared" si="11"/>
        <v>-0.18684315884295868</v>
      </c>
      <c r="O33" s="11"/>
      <c r="P33" s="8">
        <v>4874.55</v>
      </c>
      <c r="Q33" s="3"/>
      <c r="R33" s="7">
        <f t="shared" si="12"/>
        <v>0</v>
      </c>
      <c r="S33" s="3"/>
      <c r="T33" s="8">
        <v>5994.6</v>
      </c>
      <c r="U33" s="3"/>
      <c r="V33" s="7">
        <f t="shared" si="13"/>
        <v>0</v>
      </c>
      <c r="W33" s="3"/>
      <c r="X33" s="8">
        <f t="shared" si="14"/>
        <v>-1120.0500000000002</v>
      </c>
      <c r="Y33" s="3"/>
      <c r="Z33" s="7">
        <f t="shared" si="15"/>
        <v>-0.18684315884295868</v>
      </c>
    </row>
    <row r="34" spans="1:26" s="24" customFormat="1" hidden="1" outlineLevel="2" x14ac:dyDescent="0.3">
      <c r="A34" s="29"/>
      <c r="B34" s="11" t="str">
        <f>CONCATENATE("          ", "6005", " - ", "TEMPORARY WAGES-HOURLY")</f>
        <v xml:space="preserve">          6005 - TEMPORARY WAGES-HOURLY</v>
      </c>
      <c r="C34" s="11"/>
      <c r="D34" s="8"/>
      <c r="E34" s="3"/>
      <c r="F34" s="7">
        <f t="shared" si="8"/>
        <v>0</v>
      </c>
      <c r="G34" s="3"/>
      <c r="H34" s="8">
        <v>0</v>
      </c>
      <c r="I34" s="3"/>
      <c r="J34" s="7">
        <f t="shared" si="9"/>
        <v>0</v>
      </c>
      <c r="K34" s="3"/>
      <c r="L34" s="8">
        <f t="shared" si="10"/>
        <v>0</v>
      </c>
      <c r="M34" s="3"/>
      <c r="N34" s="7">
        <f t="shared" si="11"/>
        <v>0</v>
      </c>
      <c r="O34" s="11"/>
      <c r="P34" s="8"/>
      <c r="Q34" s="3"/>
      <c r="R34" s="7">
        <f t="shared" si="12"/>
        <v>0</v>
      </c>
      <c r="S34" s="3"/>
      <c r="T34" s="8">
        <v>0</v>
      </c>
      <c r="U34" s="3"/>
      <c r="V34" s="7">
        <f t="shared" si="13"/>
        <v>0</v>
      </c>
      <c r="W34" s="3"/>
      <c r="X34" s="8">
        <f t="shared" si="14"/>
        <v>0</v>
      </c>
      <c r="Y34" s="3"/>
      <c r="Z34" s="7">
        <f t="shared" si="15"/>
        <v>0</v>
      </c>
    </row>
    <row r="35" spans="1:26" s="24" customFormat="1" hidden="1" outlineLevel="2" x14ac:dyDescent="0.3">
      <c r="A35" s="29"/>
      <c r="B35" s="11" t="str">
        <f>CONCATENATE("          ", "6006", " - ", "TEMPORARY PART TIME")</f>
        <v xml:space="preserve">          6006 - TEMPORARY PART TIME</v>
      </c>
      <c r="C35" s="11"/>
      <c r="D35" s="8"/>
      <c r="E35" s="3"/>
      <c r="F35" s="7">
        <f t="shared" si="8"/>
        <v>0</v>
      </c>
      <c r="G35" s="3"/>
      <c r="H35" s="8">
        <v>0</v>
      </c>
      <c r="I35" s="3"/>
      <c r="J35" s="7">
        <f t="shared" si="9"/>
        <v>0</v>
      </c>
      <c r="K35" s="3"/>
      <c r="L35" s="8">
        <f t="shared" si="10"/>
        <v>0</v>
      </c>
      <c r="M35" s="3"/>
      <c r="N35" s="7">
        <f t="shared" si="11"/>
        <v>0</v>
      </c>
      <c r="O35" s="11"/>
      <c r="P35" s="8"/>
      <c r="Q35" s="3"/>
      <c r="R35" s="7">
        <f t="shared" si="12"/>
        <v>0</v>
      </c>
      <c r="S35" s="3"/>
      <c r="T35" s="8">
        <v>0</v>
      </c>
      <c r="U35" s="3"/>
      <c r="V35" s="7">
        <f t="shared" si="13"/>
        <v>0</v>
      </c>
      <c r="W35" s="3"/>
      <c r="X35" s="8">
        <f t="shared" si="14"/>
        <v>0</v>
      </c>
      <c r="Y35" s="3"/>
      <c r="Z35" s="7">
        <f t="shared" si="15"/>
        <v>0</v>
      </c>
    </row>
    <row r="36" spans="1:26" s="24" customFormat="1" hidden="1" outlineLevel="2" x14ac:dyDescent="0.3">
      <c r="A36" s="29"/>
      <c r="B36" s="11" t="str">
        <f>CONCATENATE("          ", "6007", " - ", "STUDENT HOURLY")</f>
        <v xml:space="preserve">          6007 - STUDENT HOURLY</v>
      </c>
      <c r="C36" s="11"/>
      <c r="D36" s="8">
        <v>1657</v>
      </c>
      <c r="E36" s="3"/>
      <c r="F36" s="7">
        <f t="shared" si="8"/>
        <v>0</v>
      </c>
      <c r="G36" s="3"/>
      <c r="H36" s="8">
        <v>3200</v>
      </c>
      <c r="I36" s="3"/>
      <c r="J36" s="7">
        <f t="shared" si="9"/>
        <v>0</v>
      </c>
      <c r="K36" s="3"/>
      <c r="L36" s="8">
        <f t="shared" si="10"/>
        <v>-1543</v>
      </c>
      <c r="M36" s="3"/>
      <c r="N36" s="7">
        <f t="shared" si="11"/>
        <v>-0.48218749999999999</v>
      </c>
      <c r="O36" s="11"/>
      <c r="P36" s="8">
        <v>1657</v>
      </c>
      <c r="Q36" s="3"/>
      <c r="R36" s="7">
        <f t="shared" si="12"/>
        <v>0</v>
      </c>
      <c r="S36" s="3"/>
      <c r="T36" s="8">
        <v>3200</v>
      </c>
      <c r="U36" s="3"/>
      <c r="V36" s="7">
        <f t="shared" si="13"/>
        <v>0</v>
      </c>
      <c r="W36" s="3"/>
      <c r="X36" s="8">
        <f t="shared" si="14"/>
        <v>-1543</v>
      </c>
      <c r="Y36" s="3"/>
      <c r="Z36" s="7">
        <f t="shared" si="15"/>
        <v>-0.48218749999999999</v>
      </c>
    </row>
    <row r="37" spans="1:26" s="24" customFormat="1" hidden="1" outlineLevel="2" x14ac:dyDescent="0.3">
      <c r="A37" s="29"/>
      <c r="B37" s="11" t="str">
        <f>CONCATENATE("          ", "6008", " - ", "STUDENT HOURLY-FICA EXEMPT")</f>
        <v xml:space="preserve">          6008 - STUDENT HOURLY-FICA EXEMPT</v>
      </c>
      <c r="C37" s="11"/>
      <c r="D37" s="8">
        <v>1771.32</v>
      </c>
      <c r="E37" s="3"/>
      <c r="F37" s="7">
        <f t="shared" si="8"/>
        <v>0</v>
      </c>
      <c r="G37" s="3"/>
      <c r="H37" s="8">
        <v>0</v>
      </c>
      <c r="I37" s="3"/>
      <c r="J37" s="7">
        <f t="shared" si="9"/>
        <v>0</v>
      </c>
      <c r="K37" s="3"/>
      <c r="L37" s="8">
        <f t="shared" si="10"/>
        <v>1771.32</v>
      </c>
      <c r="M37" s="3"/>
      <c r="N37" s="7">
        <f t="shared" si="11"/>
        <v>0</v>
      </c>
      <c r="O37" s="11"/>
      <c r="P37" s="8">
        <v>1771.32</v>
      </c>
      <c r="Q37" s="3"/>
      <c r="R37" s="7">
        <f t="shared" si="12"/>
        <v>0</v>
      </c>
      <c r="S37" s="3"/>
      <c r="T37" s="8">
        <v>0</v>
      </c>
      <c r="U37" s="3"/>
      <c r="V37" s="7">
        <f t="shared" si="13"/>
        <v>0</v>
      </c>
      <c r="W37" s="3"/>
      <c r="X37" s="8">
        <f t="shared" si="14"/>
        <v>1771.32</v>
      </c>
      <c r="Y37" s="3"/>
      <c r="Z37" s="7">
        <f t="shared" si="15"/>
        <v>0</v>
      </c>
    </row>
    <row r="38" spans="1:26" s="24" customFormat="1" hidden="1" outlineLevel="2" x14ac:dyDescent="0.3">
      <c r="A38" s="29"/>
      <c r="B38" s="11" t="str">
        <f>CONCATENATE("          ", "6009", " - ", "TEMPORARY-SEASONAL")</f>
        <v xml:space="preserve">          6009 - TEMPORARY-SEASONAL</v>
      </c>
      <c r="C38" s="11"/>
      <c r="D38" s="8"/>
      <c r="E38" s="3"/>
      <c r="F38" s="7">
        <f t="shared" si="8"/>
        <v>0</v>
      </c>
      <c r="G38" s="3"/>
      <c r="H38" s="8">
        <v>0</v>
      </c>
      <c r="I38" s="3"/>
      <c r="J38" s="7">
        <f t="shared" si="9"/>
        <v>0</v>
      </c>
      <c r="K38" s="3"/>
      <c r="L38" s="8">
        <f t="shared" si="10"/>
        <v>0</v>
      </c>
      <c r="M38" s="3"/>
      <c r="N38" s="7">
        <f t="shared" si="11"/>
        <v>0</v>
      </c>
      <c r="O38" s="11"/>
      <c r="P38" s="8"/>
      <c r="Q38" s="3"/>
      <c r="R38" s="7">
        <f t="shared" si="12"/>
        <v>0</v>
      </c>
      <c r="S38" s="3"/>
      <c r="T38" s="8">
        <v>0</v>
      </c>
      <c r="U38" s="3"/>
      <c r="V38" s="7">
        <f t="shared" si="13"/>
        <v>0</v>
      </c>
      <c r="W38" s="3"/>
      <c r="X38" s="8">
        <f t="shared" si="14"/>
        <v>0</v>
      </c>
      <c r="Y38" s="3"/>
      <c r="Z38" s="7">
        <f t="shared" si="15"/>
        <v>0</v>
      </c>
    </row>
    <row r="39" spans="1:26" s="24" customFormat="1" hidden="1" outlineLevel="2" x14ac:dyDescent="0.3">
      <c r="A39" s="29"/>
      <c r="B39" s="11" t="str">
        <f>CONCATENATE("          ", "6010", " - ", "GRATUITY")</f>
        <v xml:space="preserve">          6010 - GRATUITY</v>
      </c>
      <c r="C39" s="11"/>
      <c r="D39" s="8"/>
      <c r="E39" s="3"/>
      <c r="F39" s="7">
        <f t="shared" si="8"/>
        <v>0</v>
      </c>
      <c r="G39" s="3"/>
      <c r="H39" s="8">
        <v>0</v>
      </c>
      <c r="I39" s="3"/>
      <c r="J39" s="7">
        <f t="shared" si="9"/>
        <v>0</v>
      </c>
      <c r="K39" s="3"/>
      <c r="L39" s="8">
        <f t="shared" si="10"/>
        <v>0</v>
      </c>
      <c r="M39" s="3"/>
      <c r="N39" s="7">
        <f t="shared" si="11"/>
        <v>0</v>
      </c>
      <c r="O39" s="11"/>
      <c r="P39" s="8"/>
      <c r="Q39" s="3"/>
      <c r="R39" s="7">
        <f t="shared" si="12"/>
        <v>0</v>
      </c>
      <c r="S39" s="3"/>
      <c r="T39" s="8">
        <v>0</v>
      </c>
      <c r="U39" s="3"/>
      <c r="V39" s="7">
        <f t="shared" si="13"/>
        <v>0</v>
      </c>
      <c r="W39" s="3"/>
      <c r="X39" s="8">
        <f t="shared" si="14"/>
        <v>0</v>
      </c>
      <c r="Y39" s="3"/>
      <c r="Z39" s="7">
        <f t="shared" si="15"/>
        <v>0</v>
      </c>
    </row>
    <row r="40" spans="1:26" s="27" customFormat="1" outlineLevel="1" collapsed="1" x14ac:dyDescent="0.3">
      <c r="A40" s="28"/>
      <c r="B40" s="14" t="str">
        <f>CONCATENATE("     ","Advertising/Promo                                 ")</f>
        <v xml:space="preserve">     Advertising/Promo                                 </v>
      </c>
      <c r="C40" s="14"/>
      <c r="D40" s="1">
        <f>SUM(OSRRefD22_2x_0)</f>
        <v>173.21</v>
      </c>
      <c r="E40" s="1"/>
      <c r="F40" s="5">
        <f t="shared" ref="F40:F50" si="16">IF(D$12=0,0,D40/D$12)</f>
        <v>0</v>
      </c>
      <c r="G40" s="1"/>
      <c r="H40" s="1">
        <f>SUM(OSRRefH22_2x_0)</f>
        <v>417</v>
      </c>
      <c r="I40" s="1"/>
      <c r="J40" s="5">
        <f t="shared" ref="J40:J50" si="17">IF(H$12=0,0,H40/H$12)</f>
        <v>0</v>
      </c>
      <c r="K40" s="1"/>
      <c r="L40" s="1">
        <f t="shared" ref="L40:L50" si="18">+D40-H40</f>
        <v>-243.79</v>
      </c>
      <c r="M40" s="1"/>
      <c r="N40" s="5">
        <f t="shared" ref="N40:N50" si="19">IF(H40=0,0,L40/H40)</f>
        <v>-0.58462829736211031</v>
      </c>
      <c r="O40" s="14"/>
      <c r="P40" s="1">
        <f>SUM(OSRRefP22_2x_0)</f>
        <v>173.21</v>
      </c>
      <c r="Q40" s="1"/>
      <c r="R40" s="5">
        <f t="shared" ref="R40:R50" si="20">IF(P$12=0,0,P40/P$12)</f>
        <v>0</v>
      </c>
      <c r="S40" s="1"/>
      <c r="T40" s="1">
        <f>SUM(OSRRefT22_2x_0)</f>
        <v>417</v>
      </c>
      <c r="U40" s="1"/>
      <c r="V40" s="5">
        <f t="shared" ref="V40:V50" si="21">IF(T$12=0,0,T40/T$12)</f>
        <v>0</v>
      </c>
      <c r="W40" s="1"/>
      <c r="X40" s="1">
        <f t="shared" ref="X40:X50" si="22">+P40-T40</f>
        <v>-243.79</v>
      </c>
      <c r="Y40" s="1"/>
      <c r="Z40" s="5">
        <f t="shared" ref="Z40:Z50" si="23">IF(T40=0,0,X40/T40)</f>
        <v>-0.58462829736211031</v>
      </c>
    </row>
    <row r="41" spans="1:26" s="24" customFormat="1" hidden="1" outlineLevel="2" x14ac:dyDescent="0.3">
      <c r="A41" s="29"/>
      <c r="B41" s="11" t="str">
        <f>CONCATENATE("          ", "6362", " - ", "ADVERTISING EXPENSE")</f>
        <v xml:space="preserve">          6362 - ADVERTISING EXPENSE</v>
      </c>
      <c r="C41" s="11"/>
      <c r="D41" s="8">
        <v>173.21</v>
      </c>
      <c r="E41" s="3"/>
      <c r="F41" s="7">
        <f t="shared" si="16"/>
        <v>0</v>
      </c>
      <c r="G41" s="3"/>
      <c r="H41" s="8">
        <v>417</v>
      </c>
      <c r="I41" s="3"/>
      <c r="J41" s="7">
        <f t="shared" si="17"/>
        <v>0</v>
      </c>
      <c r="K41" s="3"/>
      <c r="L41" s="8">
        <f t="shared" si="18"/>
        <v>-243.79</v>
      </c>
      <c r="M41" s="3"/>
      <c r="N41" s="7">
        <f t="shared" si="19"/>
        <v>-0.58462829736211031</v>
      </c>
      <c r="O41" s="11"/>
      <c r="P41" s="8">
        <v>173.21</v>
      </c>
      <c r="Q41" s="3"/>
      <c r="R41" s="7">
        <f t="shared" si="20"/>
        <v>0</v>
      </c>
      <c r="S41" s="3"/>
      <c r="T41" s="8">
        <v>417</v>
      </c>
      <c r="U41" s="3"/>
      <c r="V41" s="7">
        <f t="shared" si="21"/>
        <v>0</v>
      </c>
      <c r="W41" s="3"/>
      <c r="X41" s="8">
        <f t="shared" si="22"/>
        <v>-243.79</v>
      </c>
      <c r="Y41" s="3"/>
      <c r="Z41" s="7">
        <f t="shared" si="23"/>
        <v>-0.58462829736211031</v>
      </c>
    </row>
    <row r="42" spans="1:26" s="27" customFormat="1" outlineLevel="1" collapsed="1" x14ac:dyDescent="0.3">
      <c r="A42" s="28"/>
      <c r="B42" s="14" t="str">
        <f>CONCATENATE("     ","Employees' Appreciation                           ")</f>
        <v xml:space="preserve">     Employees' Appreciation                           </v>
      </c>
      <c r="C42" s="14"/>
      <c r="D42" s="1">
        <f>SUM(OSRRefD22_3x_0)</f>
        <v>0</v>
      </c>
      <c r="E42" s="1"/>
      <c r="F42" s="5">
        <f t="shared" si="16"/>
        <v>0</v>
      </c>
      <c r="G42" s="1"/>
      <c r="H42" s="1">
        <f>SUM(OSRRefH22_3x_0)</f>
        <v>500</v>
      </c>
      <c r="I42" s="1"/>
      <c r="J42" s="5">
        <f t="shared" si="17"/>
        <v>0</v>
      </c>
      <c r="K42" s="1"/>
      <c r="L42" s="1">
        <f t="shared" si="18"/>
        <v>-500</v>
      </c>
      <c r="M42" s="1"/>
      <c r="N42" s="5">
        <f t="shared" si="19"/>
        <v>-1</v>
      </c>
      <c r="O42" s="14"/>
      <c r="P42" s="1">
        <f>SUM(OSRRefP22_3x_0)</f>
        <v>0</v>
      </c>
      <c r="Q42" s="1"/>
      <c r="R42" s="5">
        <f t="shared" si="20"/>
        <v>0</v>
      </c>
      <c r="S42" s="1"/>
      <c r="T42" s="1">
        <f>SUM(OSRRefT22_3x_0)</f>
        <v>500</v>
      </c>
      <c r="U42" s="1"/>
      <c r="V42" s="5">
        <f t="shared" si="21"/>
        <v>0</v>
      </c>
      <c r="W42" s="1"/>
      <c r="X42" s="1">
        <f t="shared" si="22"/>
        <v>-500</v>
      </c>
      <c r="Y42" s="1"/>
      <c r="Z42" s="5">
        <f t="shared" si="23"/>
        <v>-1</v>
      </c>
    </row>
    <row r="43" spans="1:26" s="24" customFormat="1" hidden="1" outlineLevel="2" x14ac:dyDescent="0.3">
      <c r="A43" s="29"/>
      <c r="B43" s="11" t="str">
        <f>CONCATENATE("          ", "6277", " - ", "EMPLOYEE APPRECIATION")</f>
        <v xml:space="preserve">          6277 - EMPLOYEE APPRECIATION</v>
      </c>
      <c r="C43" s="11"/>
      <c r="D43" s="8"/>
      <c r="E43" s="3"/>
      <c r="F43" s="7">
        <f t="shared" si="16"/>
        <v>0</v>
      </c>
      <c r="G43" s="3"/>
      <c r="H43" s="8">
        <v>500</v>
      </c>
      <c r="I43" s="3"/>
      <c r="J43" s="7">
        <f t="shared" si="17"/>
        <v>0</v>
      </c>
      <c r="K43" s="3"/>
      <c r="L43" s="8">
        <f t="shared" si="18"/>
        <v>-500</v>
      </c>
      <c r="M43" s="3"/>
      <c r="N43" s="7">
        <f t="shared" si="19"/>
        <v>-1</v>
      </c>
      <c r="O43" s="11"/>
      <c r="P43" s="8"/>
      <c r="Q43" s="3"/>
      <c r="R43" s="7">
        <f t="shared" si="20"/>
        <v>0</v>
      </c>
      <c r="S43" s="3"/>
      <c r="T43" s="8">
        <v>500</v>
      </c>
      <c r="U43" s="3"/>
      <c r="V43" s="7">
        <f t="shared" si="21"/>
        <v>0</v>
      </c>
      <c r="W43" s="3"/>
      <c r="X43" s="8">
        <f t="shared" si="22"/>
        <v>-500</v>
      </c>
      <c r="Y43" s="3"/>
      <c r="Z43" s="7">
        <f t="shared" si="23"/>
        <v>-1</v>
      </c>
    </row>
    <row r="44" spans="1:26" s="27" customFormat="1" outlineLevel="1" collapsed="1" x14ac:dyDescent="0.3">
      <c r="A44" s="28"/>
      <c r="B44" s="14" t="str">
        <f>CONCATENATE("     ","Repair and Maintenance                            ")</f>
        <v xml:space="preserve">     Repair and Maintenance                            </v>
      </c>
      <c r="C44" s="14"/>
      <c r="D44" s="1">
        <f>SUM(OSRRefD22_4x_0)</f>
        <v>0</v>
      </c>
      <c r="E44" s="1"/>
      <c r="F44" s="5">
        <f t="shared" si="16"/>
        <v>0</v>
      </c>
      <c r="G44" s="1"/>
      <c r="H44" s="1">
        <f>SUM(OSRRefH22_4x_0)</f>
        <v>1600</v>
      </c>
      <c r="I44" s="1"/>
      <c r="J44" s="5">
        <f t="shared" si="17"/>
        <v>0</v>
      </c>
      <c r="K44" s="1"/>
      <c r="L44" s="1">
        <f t="shared" si="18"/>
        <v>-1600</v>
      </c>
      <c r="M44" s="1"/>
      <c r="N44" s="5">
        <f t="shared" si="19"/>
        <v>-1</v>
      </c>
      <c r="O44" s="14"/>
      <c r="P44" s="1">
        <f>SUM(OSRRefP22_4x_0)</f>
        <v>0</v>
      </c>
      <c r="Q44" s="1"/>
      <c r="R44" s="5">
        <f t="shared" si="20"/>
        <v>0</v>
      </c>
      <c r="S44" s="1"/>
      <c r="T44" s="1">
        <f>SUM(OSRRefT22_4x_0)</f>
        <v>1600</v>
      </c>
      <c r="U44" s="1"/>
      <c r="V44" s="5">
        <f t="shared" si="21"/>
        <v>0</v>
      </c>
      <c r="W44" s="1"/>
      <c r="X44" s="1">
        <f t="shared" si="22"/>
        <v>-1600</v>
      </c>
      <c r="Y44" s="1"/>
      <c r="Z44" s="5">
        <f t="shared" si="23"/>
        <v>-1</v>
      </c>
    </row>
    <row r="45" spans="1:26" s="24" customFormat="1" hidden="1" outlineLevel="2" x14ac:dyDescent="0.3">
      <c r="A45" s="29"/>
      <c r="B45" s="11" t="str">
        <f>CONCATENATE("          ", "6371", " - ", "COMPUTER SOFTWARE MAINTENANCE")</f>
        <v xml:space="preserve">          6371 - COMPUTER SOFTWARE MAINTENANCE</v>
      </c>
      <c r="C45" s="11"/>
      <c r="D45" s="8"/>
      <c r="E45" s="3"/>
      <c r="F45" s="7">
        <f t="shared" si="16"/>
        <v>0</v>
      </c>
      <c r="G45" s="3"/>
      <c r="H45" s="8">
        <v>1600</v>
      </c>
      <c r="I45" s="3"/>
      <c r="J45" s="7">
        <f t="shared" si="17"/>
        <v>0</v>
      </c>
      <c r="K45" s="3"/>
      <c r="L45" s="8">
        <f t="shared" si="18"/>
        <v>-1600</v>
      </c>
      <c r="M45" s="3"/>
      <c r="N45" s="7">
        <f t="shared" si="19"/>
        <v>-1</v>
      </c>
      <c r="O45" s="11"/>
      <c r="P45" s="8"/>
      <c r="Q45" s="3"/>
      <c r="R45" s="7">
        <f t="shared" si="20"/>
        <v>0</v>
      </c>
      <c r="S45" s="3"/>
      <c r="T45" s="8">
        <v>1600</v>
      </c>
      <c r="U45" s="3"/>
      <c r="V45" s="7">
        <f t="shared" si="21"/>
        <v>0</v>
      </c>
      <c r="W45" s="3"/>
      <c r="X45" s="8">
        <f t="shared" si="22"/>
        <v>-1600</v>
      </c>
      <c r="Y45" s="3"/>
      <c r="Z45" s="7">
        <f t="shared" si="23"/>
        <v>-1</v>
      </c>
    </row>
    <row r="46" spans="1:26" s="27" customFormat="1" outlineLevel="1" collapsed="1" x14ac:dyDescent="0.3">
      <c r="A46" s="28"/>
      <c r="B46" s="14" t="str">
        <f>CONCATENATE("     ","Supplies                                          ")</f>
        <v xml:space="preserve">     Supplies                                          </v>
      </c>
      <c r="C46" s="14"/>
      <c r="D46" s="1">
        <f>SUM(OSRRefD22_5x_0)</f>
        <v>0</v>
      </c>
      <c r="E46" s="1"/>
      <c r="F46" s="5">
        <f t="shared" si="16"/>
        <v>0</v>
      </c>
      <c r="G46" s="1"/>
      <c r="H46" s="1">
        <f>SUM(OSRRefH22_5x_0)</f>
        <v>600</v>
      </c>
      <c r="I46" s="1"/>
      <c r="J46" s="5">
        <f t="shared" si="17"/>
        <v>0</v>
      </c>
      <c r="K46" s="1"/>
      <c r="L46" s="1">
        <f t="shared" si="18"/>
        <v>-600</v>
      </c>
      <c r="M46" s="1"/>
      <c r="N46" s="5">
        <f t="shared" si="19"/>
        <v>-1</v>
      </c>
      <c r="O46" s="14"/>
      <c r="P46" s="1">
        <f>SUM(OSRRefP22_5x_0)</f>
        <v>0</v>
      </c>
      <c r="Q46" s="1"/>
      <c r="R46" s="5">
        <f t="shared" si="20"/>
        <v>0</v>
      </c>
      <c r="S46" s="1"/>
      <c r="T46" s="1">
        <f>SUM(OSRRefT22_5x_0)</f>
        <v>600</v>
      </c>
      <c r="U46" s="1"/>
      <c r="V46" s="5">
        <f t="shared" si="21"/>
        <v>0</v>
      </c>
      <c r="W46" s="1"/>
      <c r="X46" s="1">
        <f t="shared" si="22"/>
        <v>-600</v>
      </c>
      <c r="Y46" s="1"/>
      <c r="Z46" s="5">
        <f t="shared" si="23"/>
        <v>-1</v>
      </c>
    </row>
    <row r="47" spans="1:26" s="24" customFormat="1" hidden="1" outlineLevel="2" x14ac:dyDescent="0.3">
      <c r="A47" s="29"/>
      <c r="B47" s="11" t="str">
        <f>CONCATENATE("          ", "6241", " - ", "OFFICE EXPENSE")</f>
        <v xml:space="preserve">          6241 - OFFICE EXPENSE</v>
      </c>
      <c r="C47" s="11"/>
      <c r="D47" s="8"/>
      <c r="E47" s="3"/>
      <c r="F47" s="7">
        <f t="shared" si="16"/>
        <v>0</v>
      </c>
      <c r="G47" s="3"/>
      <c r="H47" s="8">
        <v>600</v>
      </c>
      <c r="I47" s="3"/>
      <c r="J47" s="7">
        <f t="shared" si="17"/>
        <v>0</v>
      </c>
      <c r="K47" s="3"/>
      <c r="L47" s="8">
        <f t="shared" si="18"/>
        <v>-600</v>
      </c>
      <c r="M47" s="3"/>
      <c r="N47" s="7">
        <f t="shared" si="19"/>
        <v>-1</v>
      </c>
      <c r="O47" s="11"/>
      <c r="P47" s="8"/>
      <c r="Q47" s="3"/>
      <c r="R47" s="7">
        <f t="shared" si="20"/>
        <v>0</v>
      </c>
      <c r="S47" s="3"/>
      <c r="T47" s="8">
        <v>600</v>
      </c>
      <c r="U47" s="3"/>
      <c r="V47" s="7">
        <f t="shared" si="21"/>
        <v>0</v>
      </c>
      <c r="W47" s="3"/>
      <c r="X47" s="8">
        <f t="shared" si="22"/>
        <v>-600</v>
      </c>
      <c r="Y47" s="3"/>
      <c r="Z47" s="7">
        <f t="shared" si="23"/>
        <v>-1</v>
      </c>
    </row>
    <row r="48" spans="1:26" s="27" customFormat="1" outlineLevel="1" collapsed="1" x14ac:dyDescent="0.3">
      <c r="A48" s="28"/>
      <c r="B48" s="14" t="str">
        <f>CONCATENATE("     ","Telephone/Data Lines                              ")</f>
        <v xml:space="preserve">     Telephone/Data Lines                              </v>
      </c>
      <c r="C48" s="14"/>
      <c r="D48" s="1">
        <f>SUM(OSRRefD22_6x_0)</f>
        <v>108</v>
      </c>
      <c r="E48" s="1"/>
      <c r="F48" s="5">
        <f t="shared" si="16"/>
        <v>0</v>
      </c>
      <c r="G48" s="1"/>
      <c r="H48" s="1">
        <f>SUM(OSRRefH22_6x_0)</f>
        <v>72</v>
      </c>
      <c r="I48" s="1"/>
      <c r="J48" s="5">
        <f t="shared" si="17"/>
        <v>0</v>
      </c>
      <c r="K48" s="1"/>
      <c r="L48" s="1">
        <f t="shared" si="18"/>
        <v>36</v>
      </c>
      <c r="M48" s="1"/>
      <c r="N48" s="5">
        <f t="shared" si="19"/>
        <v>0.5</v>
      </c>
      <c r="O48" s="14"/>
      <c r="P48" s="1">
        <f>SUM(OSRRefP22_6x_0)</f>
        <v>108</v>
      </c>
      <c r="Q48" s="1"/>
      <c r="R48" s="5">
        <f t="shared" si="20"/>
        <v>0</v>
      </c>
      <c r="S48" s="1"/>
      <c r="T48" s="1">
        <f>SUM(OSRRefT22_6x_0)</f>
        <v>72</v>
      </c>
      <c r="U48" s="1"/>
      <c r="V48" s="5">
        <f t="shared" si="21"/>
        <v>0</v>
      </c>
      <c r="W48" s="1"/>
      <c r="X48" s="1">
        <f t="shared" si="22"/>
        <v>36</v>
      </c>
      <c r="Y48" s="1"/>
      <c r="Z48" s="5">
        <f t="shared" si="23"/>
        <v>0.5</v>
      </c>
    </row>
    <row r="49" spans="1:26" s="24" customFormat="1" hidden="1" outlineLevel="2" x14ac:dyDescent="0.3">
      <c r="A49" s="29"/>
      <c r="B49" s="11" t="str">
        <f>CONCATENATE("          ", "6303", " - ", "DATA PHONE LINES")</f>
        <v xml:space="preserve">          6303 - DATA PHONE LINES</v>
      </c>
      <c r="C49" s="11"/>
      <c r="D49" s="8"/>
      <c r="E49" s="3"/>
      <c r="F49" s="7">
        <f t="shared" si="16"/>
        <v>0</v>
      </c>
      <c r="G49" s="3"/>
      <c r="H49" s="8">
        <v>36</v>
      </c>
      <c r="I49" s="3"/>
      <c r="J49" s="7">
        <f t="shared" si="17"/>
        <v>0</v>
      </c>
      <c r="K49" s="3"/>
      <c r="L49" s="8">
        <f t="shared" si="18"/>
        <v>-36</v>
      </c>
      <c r="M49" s="3"/>
      <c r="N49" s="7">
        <f t="shared" si="19"/>
        <v>-1</v>
      </c>
      <c r="O49" s="11"/>
      <c r="P49" s="8"/>
      <c r="Q49" s="3"/>
      <c r="R49" s="7">
        <f t="shared" si="20"/>
        <v>0</v>
      </c>
      <c r="S49" s="3"/>
      <c r="T49" s="8">
        <v>36</v>
      </c>
      <c r="U49" s="3"/>
      <c r="V49" s="7">
        <f t="shared" si="21"/>
        <v>0</v>
      </c>
      <c r="W49" s="3"/>
      <c r="X49" s="8">
        <f t="shared" si="22"/>
        <v>-36</v>
      </c>
      <c r="Y49" s="3"/>
      <c r="Z49" s="7">
        <f t="shared" si="23"/>
        <v>-1</v>
      </c>
    </row>
    <row r="50" spans="1:26" s="24" customFormat="1" hidden="1" outlineLevel="2" x14ac:dyDescent="0.3">
      <c r="A50" s="29"/>
      <c r="B50" s="11" t="str">
        <f>CONCATENATE("          ", "6309", " - ", "TELEPHONE")</f>
        <v xml:space="preserve">          6309 - TELEPHONE</v>
      </c>
      <c r="C50" s="11"/>
      <c r="D50" s="8">
        <v>108</v>
      </c>
      <c r="E50" s="3"/>
      <c r="F50" s="7">
        <f t="shared" si="16"/>
        <v>0</v>
      </c>
      <c r="G50" s="3"/>
      <c r="H50" s="8">
        <v>36</v>
      </c>
      <c r="I50" s="3"/>
      <c r="J50" s="7">
        <f t="shared" si="17"/>
        <v>0</v>
      </c>
      <c r="K50" s="3"/>
      <c r="L50" s="8">
        <f t="shared" si="18"/>
        <v>72</v>
      </c>
      <c r="M50" s="3"/>
      <c r="N50" s="7">
        <f t="shared" si="19"/>
        <v>2</v>
      </c>
      <c r="O50" s="11"/>
      <c r="P50" s="8">
        <v>108</v>
      </c>
      <c r="Q50" s="3"/>
      <c r="R50" s="7">
        <f t="shared" si="20"/>
        <v>0</v>
      </c>
      <c r="S50" s="3"/>
      <c r="T50" s="8">
        <v>36</v>
      </c>
      <c r="U50" s="3"/>
      <c r="V50" s="7">
        <f t="shared" si="21"/>
        <v>0</v>
      </c>
      <c r="W50" s="3"/>
      <c r="X50" s="8">
        <f t="shared" si="22"/>
        <v>72</v>
      </c>
      <c r="Y50" s="3"/>
      <c r="Z50" s="7">
        <f t="shared" si="23"/>
        <v>2</v>
      </c>
    </row>
    <row r="51" spans="1:26" s="27" customFormat="1" outlineLevel="1" collapsed="1" x14ac:dyDescent="0.3">
      <c r="A51" s="28"/>
      <c r="B51" s="14" t="str">
        <f>CONCATENATE("     ","Training                                          ")</f>
        <v xml:space="preserve">     Training                                          </v>
      </c>
      <c r="C51" s="14"/>
      <c r="D51" s="1">
        <f>SUM(OSRRefD22_7x_0)</f>
        <v>0</v>
      </c>
      <c r="E51" s="1"/>
      <c r="F51" s="5">
        <f t="shared" ref="F51:F52" si="24">IF(D$12=0,0,D51/D$12)</f>
        <v>0</v>
      </c>
      <c r="G51" s="1"/>
      <c r="H51" s="1">
        <f>SUM(OSRRefH22_7x_0)</f>
        <v>1000</v>
      </c>
      <c r="I51" s="1"/>
      <c r="J51" s="5">
        <f t="shared" ref="J51:J52" si="25">IF(H$12=0,0,H51/H$12)</f>
        <v>0</v>
      </c>
      <c r="K51" s="1"/>
      <c r="L51" s="1">
        <f t="shared" ref="L51:L52" si="26">+D51-H51</f>
        <v>-1000</v>
      </c>
      <c r="M51" s="1"/>
      <c r="N51" s="5">
        <f t="shared" ref="N51:N52" si="27">IF(H51=0,0,L51/H51)</f>
        <v>-1</v>
      </c>
      <c r="O51" s="14"/>
      <c r="P51" s="1">
        <f>SUM(OSRRefP22_7x_0)</f>
        <v>0</v>
      </c>
      <c r="Q51" s="1"/>
      <c r="R51" s="5">
        <f t="shared" ref="R51:R52" si="28">IF(P$12=0,0,P51/P$12)</f>
        <v>0</v>
      </c>
      <c r="S51" s="1"/>
      <c r="T51" s="1">
        <f>SUM(OSRRefT22_7x_0)</f>
        <v>1000</v>
      </c>
      <c r="U51" s="1"/>
      <c r="V51" s="5">
        <f t="shared" ref="V51:V52" si="29">IF(T$12=0,0,T51/T$12)</f>
        <v>0</v>
      </c>
      <c r="W51" s="1"/>
      <c r="X51" s="1">
        <f t="shared" ref="X51:X52" si="30">+P51-T51</f>
        <v>-1000</v>
      </c>
      <c r="Y51" s="1"/>
      <c r="Z51" s="5">
        <f t="shared" ref="Z51:Z52" si="31">IF(T51=0,0,X51/T51)</f>
        <v>-1</v>
      </c>
    </row>
    <row r="52" spans="1:26" s="24" customFormat="1" hidden="1" outlineLevel="2" x14ac:dyDescent="0.3">
      <c r="A52" s="29"/>
      <c r="B52" s="11" t="str">
        <f>CONCATENATE("          ", "6376", " - ", "TRAINING")</f>
        <v xml:space="preserve">          6376 - TRAINING</v>
      </c>
      <c r="C52" s="11"/>
      <c r="D52" s="8"/>
      <c r="E52" s="3"/>
      <c r="F52" s="7">
        <f t="shared" si="24"/>
        <v>0</v>
      </c>
      <c r="G52" s="3"/>
      <c r="H52" s="8">
        <v>1000</v>
      </c>
      <c r="I52" s="3"/>
      <c r="J52" s="7">
        <f t="shared" si="25"/>
        <v>0</v>
      </c>
      <c r="K52" s="3"/>
      <c r="L52" s="8">
        <f t="shared" si="26"/>
        <v>-1000</v>
      </c>
      <c r="M52" s="3"/>
      <c r="N52" s="7">
        <f t="shared" si="27"/>
        <v>-1</v>
      </c>
      <c r="O52" s="11"/>
      <c r="P52" s="8"/>
      <c r="Q52" s="3"/>
      <c r="R52" s="7">
        <f t="shared" si="28"/>
        <v>0</v>
      </c>
      <c r="S52" s="3"/>
      <c r="T52" s="8">
        <v>1000</v>
      </c>
      <c r="U52" s="3"/>
      <c r="V52" s="7">
        <f t="shared" si="29"/>
        <v>0</v>
      </c>
      <c r="W52" s="3"/>
      <c r="X52" s="8">
        <f t="shared" si="30"/>
        <v>-1000</v>
      </c>
      <c r="Y52" s="3"/>
      <c r="Z52" s="7">
        <f t="shared" si="31"/>
        <v>-1</v>
      </c>
    </row>
    <row r="53" spans="1:26" s="62" customFormat="1" x14ac:dyDescent="0.3">
      <c r="A53" s="36"/>
      <c r="B53" s="36"/>
      <c r="C53" s="36"/>
      <c r="D53" s="1"/>
      <c r="E53" s="1"/>
      <c r="F53" s="5"/>
      <c r="G53" s="1"/>
      <c r="H53" s="1"/>
      <c r="I53" s="1"/>
      <c r="J53" s="5"/>
      <c r="K53" s="1"/>
      <c r="L53" s="1"/>
      <c r="M53" s="1"/>
      <c r="N53" s="5"/>
      <c r="O53" s="36"/>
      <c r="P53" s="1"/>
      <c r="Q53" s="1"/>
      <c r="R53" s="5"/>
      <c r="S53" s="1"/>
      <c r="T53" s="1"/>
      <c r="U53" s="1"/>
      <c r="V53" s="5"/>
      <c r="W53" s="1"/>
      <c r="X53" s="1"/>
      <c r="Y53" s="1"/>
      <c r="Z53" s="5"/>
    </row>
    <row r="54" spans="1:26" s="23" customFormat="1" x14ac:dyDescent="0.3">
      <c r="A54" s="10"/>
      <c r="B54" s="25" t="s">
        <v>293</v>
      </c>
      <c r="C54" s="10"/>
      <c r="D54" s="4">
        <f>SUM(0)</f>
        <v>0</v>
      </c>
      <c r="E54" s="4"/>
      <c r="F54" s="12">
        <f>IF(D$12=0,0,D54/D$12)</f>
        <v>0</v>
      </c>
      <c r="G54" s="4"/>
      <c r="H54" s="4">
        <f>SUM(0)</f>
        <v>0</v>
      </c>
      <c r="I54" s="4"/>
      <c r="J54" s="12">
        <f>IF(H$12=0,0,H54/H$12)</f>
        <v>0</v>
      </c>
      <c r="K54" s="4"/>
      <c r="L54" s="4">
        <f>+D54-H54</f>
        <v>0</v>
      </c>
      <c r="M54" s="4"/>
      <c r="N54" s="12">
        <f>IF(H54=0,0,L54/H54)</f>
        <v>0</v>
      </c>
      <c r="O54" s="10"/>
      <c r="P54" s="4">
        <f>SUM(0)</f>
        <v>0</v>
      </c>
      <c r="Q54" s="4"/>
      <c r="R54" s="12">
        <f>IF(P$12=0,0,P54/P$12)</f>
        <v>0</v>
      </c>
      <c r="S54" s="4"/>
      <c r="T54" s="4">
        <f>SUM(0)</f>
        <v>0</v>
      </c>
      <c r="U54" s="4"/>
      <c r="V54" s="12">
        <f>IF(T$12=0,0,T54/T$12)</f>
        <v>0</v>
      </c>
      <c r="W54" s="4"/>
      <c r="X54" s="4">
        <f>+P54-T54</f>
        <v>0</v>
      </c>
      <c r="Y54" s="4"/>
      <c r="Z54" s="12">
        <f>IF(T54=0,0,X54/T54)</f>
        <v>0</v>
      </c>
    </row>
    <row r="55" spans="1:26" x14ac:dyDescent="0.3">
      <c r="A55" s="9"/>
      <c r="B55" s="10"/>
      <c r="C55" s="10"/>
      <c r="D55" s="2"/>
      <c r="E55" s="2"/>
      <c r="F55" s="6"/>
      <c r="G55" s="2"/>
      <c r="H55" s="2"/>
      <c r="I55" s="2"/>
      <c r="J55" s="6"/>
      <c r="K55" s="2"/>
      <c r="L55" s="2"/>
      <c r="M55" s="2"/>
      <c r="N55" s="6"/>
      <c r="O55" s="10"/>
      <c r="P55" s="2"/>
      <c r="Q55" s="2"/>
      <c r="R55" s="6"/>
      <c r="S55" s="2"/>
      <c r="T55" s="2"/>
      <c r="U55" s="2"/>
      <c r="V55" s="6"/>
      <c r="W55" s="2"/>
      <c r="X55" s="2"/>
      <c r="Y55" s="2"/>
      <c r="Z55" s="6"/>
    </row>
    <row r="56" spans="1:26" s="23" customFormat="1" x14ac:dyDescent="0.3">
      <c r="A56" s="10"/>
      <c r="B56" s="26" t="s">
        <v>277</v>
      </c>
      <c r="C56" s="26"/>
      <c r="D56" s="21">
        <f>+D16-D18+D54</f>
        <v>-10470.699999999999</v>
      </c>
      <c r="E56" s="13"/>
      <c r="F56" s="22">
        <f>IF(D$12=0,0,D56/D$12)</f>
        <v>0</v>
      </c>
      <c r="G56" s="13"/>
      <c r="H56" s="21">
        <f>+H16-H18+H54</f>
        <v>-16324.842784615381</v>
      </c>
      <c r="I56" s="13"/>
      <c r="J56" s="22">
        <f>IF(H$12=0,0,H56/H$12)</f>
        <v>0</v>
      </c>
      <c r="K56" s="16"/>
      <c r="L56" s="21">
        <f>+D56-H56</f>
        <v>5854.142784615382</v>
      </c>
      <c r="M56" s="16"/>
      <c r="N56" s="22">
        <f>IF(H56=0,0,L56/H56)</f>
        <v>-0.35860331776869286</v>
      </c>
      <c r="O56" s="25"/>
      <c r="P56" s="21">
        <f>+P16-P18+P54</f>
        <v>-10470.699999999999</v>
      </c>
      <c r="Q56" s="13"/>
      <c r="R56" s="22">
        <f>IF(P$12=0,0,P56/P$12)</f>
        <v>0</v>
      </c>
      <c r="S56" s="13"/>
      <c r="T56" s="21">
        <f>+T16-T18+T54</f>
        <v>-16324.842784615381</v>
      </c>
      <c r="U56" s="13"/>
      <c r="V56" s="22">
        <f>IF(T$12=0,0,T56/T$12)</f>
        <v>0</v>
      </c>
      <c r="W56" s="16"/>
      <c r="X56" s="21">
        <f>+P56-T56</f>
        <v>5854.142784615382</v>
      </c>
      <c r="Y56" s="16"/>
      <c r="Z56" s="22">
        <f>IF(T56=0,0,X56/T56)</f>
        <v>-0.35860331776869286</v>
      </c>
    </row>
    <row r="57" spans="1:26" x14ac:dyDescent="0.3">
      <c r="A57" s="9"/>
      <c r="B57" s="10"/>
      <c r="C57" s="9"/>
      <c r="D57" s="2"/>
      <c r="E57" s="2"/>
      <c r="F57" s="6"/>
      <c r="G57" s="2"/>
      <c r="H57" s="2"/>
      <c r="I57" s="2"/>
      <c r="J57" s="6"/>
      <c r="K57" s="2"/>
      <c r="L57" s="2"/>
      <c r="M57" s="2"/>
      <c r="N57" s="6"/>
      <c r="P57" s="2"/>
      <c r="Q57" s="2"/>
      <c r="R57" s="6"/>
      <c r="S57" s="2"/>
      <c r="T57" s="2"/>
      <c r="U57" s="2"/>
      <c r="V57" s="6"/>
      <c r="W57" s="2"/>
      <c r="X57" s="2"/>
      <c r="Y57" s="2"/>
      <c r="Z57" s="6"/>
    </row>
    <row r="58" spans="1:26" s="23" customFormat="1" x14ac:dyDescent="0.3">
      <c r="A58" s="52"/>
      <c r="B58" s="10" t="s">
        <v>128</v>
      </c>
      <c r="C58" s="10"/>
      <c r="D58" s="4"/>
      <c r="E58" s="4"/>
      <c r="F58" s="12">
        <f>IF(D$12=0,0,D58/D$12)</f>
        <v>0</v>
      </c>
      <c r="G58" s="4"/>
      <c r="H58" s="4"/>
      <c r="I58" s="4"/>
      <c r="J58" s="12">
        <f>IF(H$12=0,0,H58/H$12)</f>
        <v>0</v>
      </c>
      <c r="K58" s="4"/>
      <c r="L58" s="4">
        <f>+D58-H58</f>
        <v>0</v>
      </c>
      <c r="M58" s="4"/>
      <c r="N58" s="12">
        <f>IF(H58=0,0,L58/H58)</f>
        <v>0</v>
      </c>
      <c r="O58" s="10"/>
      <c r="P58" s="4"/>
      <c r="Q58" s="4"/>
      <c r="R58" s="12">
        <f>IF(P$12=0,0,P58/P$12)</f>
        <v>0</v>
      </c>
      <c r="S58" s="4"/>
      <c r="T58" s="4"/>
      <c r="U58" s="4"/>
      <c r="V58" s="12">
        <f>IF(T$12=0,0,T58/T$12)</f>
        <v>0</v>
      </c>
      <c r="W58" s="4"/>
      <c r="X58" s="4">
        <f>+P58-T58</f>
        <v>0</v>
      </c>
      <c r="Y58" s="4"/>
      <c r="Z58" s="12">
        <f>IF(T58=0,0,X58/T58)</f>
        <v>0</v>
      </c>
    </row>
    <row r="59" spans="1:26" x14ac:dyDescent="0.3">
      <c r="A59" s="9"/>
      <c r="B59" s="10"/>
      <c r="C59" s="10"/>
      <c r="D59" s="2"/>
      <c r="E59" s="2"/>
      <c r="F59" s="6"/>
      <c r="G59" s="2"/>
      <c r="H59" s="2"/>
      <c r="I59" s="2"/>
      <c r="J59" s="6"/>
      <c r="K59" s="2"/>
      <c r="L59" s="2"/>
      <c r="M59" s="2"/>
      <c r="N59" s="6"/>
      <c r="O59" s="10"/>
      <c r="P59" s="2"/>
      <c r="Q59" s="2"/>
      <c r="R59" s="6"/>
      <c r="S59" s="2"/>
      <c r="T59" s="2"/>
      <c r="U59" s="2"/>
      <c r="V59" s="6"/>
      <c r="W59" s="2"/>
      <c r="X59" s="2"/>
      <c r="Y59" s="2"/>
      <c r="Z59" s="6"/>
    </row>
    <row r="60" spans="1:26" s="23" customFormat="1" ht="15" thickBot="1" x14ac:dyDescent="0.35">
      <c r="A60" s="10"/>
      <c r="B60" s="26" t="s">
        <v>126</v>
      </c>
      <c r="C60" s="26"/>
      <c r="D60" s="35">
        <f>+D56-D58</f>
        <v>-10470.699999999999</v>
      </c>
      <c r="E60" s="13"/>
      <c r="F60" s="30">
        <f>IF(D$12=0,0,D60/D$12)</f>
        <v>0</v>
      </c>
      <c r="G60" s="13"/>
      <c r="H60" s="35">
        <f>+H56-H58</f>
        <v>-16324.842784615381</v>
      </c>
      <c r="I60" s="13"/>
      <c r="J60" s="30">
        <f>IF(H$12=0,0,H60/H$12)</f>
        <v>0</v>
      </c>
      <c r="K60" s="16"/>
      <c r="L60" s="35">
        <f>D60-H60</f>
        <v>5854.142784615382</v>
      </c>
      <c r="M60" s="16"/>
      <c r="N60" s="30">
        <f>IF(H60=0,0,L60/H60)</f>
        <v>-0.35860331776869286</v>
      </c>
      <c r="O60" s="25"/>
      <c r="P60" s="35">
        <f>+P56-P58</f>
        <v>-10470.699999999999</v>
      </c>
      <c r="Q60" s="13"/>
      <c r="R60" s="30">
        <f>IF(P$12=0,0,P60/P$12)</f>
        <v>0</v>
      </c>
      <c r="S60" s="13"/>
      <c r="T60" s="35">
        <f>+T56-T58</f>
        <v>-16324.842784615381</v>
      </c>
      <c r="U60" s="13"/>
      <c r="V60" s="30">
        <f>IF(T$12=0,0,T60/T$12)</f>
        <v>0</v>
      </c>
      <c r="W60" s="16"/>
      <c r="X60" s="35">
        <f>P60-T60</f>
        <v>5854.142784615382</v>
      </c>
      <c r="Y60" s="16"/>
      <c r="Z60" s="30">
        <f>IF(T60=0,0,X60/T60)</f>
        <v>-0.35860331776869286</v>
      </c>
    </row>
    <row r="61" spans="1:26" ht="15" thickTop="1" x14ac:dyDescent="0.3">
      <c r="A61" s="9"/>
      <c r="B61" s="9"/>
      <c r="C61" s="9"/>
      <c r="D61" s="2"/>
      <c r="E61" s="2"/>
      <c r="F61" s="6"/>
      <c r="G61" s="2"/>
      <c r="H61" s="2"/>
      <c r="I61" s="2"/>
      <c r="J61" s="6"/>
      <c r="K61" s="2"/>
      <c r="L61" s="2"/>
      <c r="M61" s="2"/>
      <c r="N61" s="6"/>
      <c r="P61" s="2"/>
      <c r="Q61" s="2"/>
      <c r="R61" s="6"/>
      <c r="S61" s="2"/>
      <c r="T61" s="2"/>
      <c r="U61" s="2"/>
      <c r="V61" s="6"/>
      <c r="W61" s="2"/>
      <c r="X61" s="2"/>
      <c r="Y61" s="2"/>
      <c r="Z61" s="6"/>
    </row>
    <row r="62" spans="1:26" x14ac:dyDescent="0.3">
      <c r="A62" s="9"/>
      <c r="B62" s="9"/>
      <c r="C62" s="9"/>
      <c r="D62" s="2"/>
      <c r="E62" s="2"/>
      <c r="F62" s="6"/>
      <c r="G62" s="2"/>
      <c r="H62" s="2"/>
      <c r="I62" s="2"/>
      <c r="J62" s="6"/>
      <c r="K62" s="2"/>
      <c r="L62" s="2"/>
      <c r="M62" s="2"/>
      <c r="N62" s="6"/>
      <c r="P62" s="2"/>
      <c r="Q62" s="2"/>
      <c r="R62" s="6"/>
      <c r="S62" s="2"/>
      <c r="T62" s="2"/>
      <c r="U62" s="2"/>
      <c r="V62" s="6"/>
      <c r="W62" s="2"/>
      <c r="X62" s="2"/>
      <c r="Y62" s="2"/>
      <c r="Z62" s="6"/>
    </row>
    <row r="63" spans="1:26" s="23" customFormat="1" ht="15" thickBot="1" x14ac:dyDescent="0.35">
      <c r="A63" s="10"/>
      <c r="B63" s="26" t="s">
        <v>294</v>
      </c>
      <c r="C63" s="26"/>
      <c r="D63" s="33">
        <f>SUM(D60:D62)</f>
        <v>-10470.699999999999</v>
      </c>
      <c r="E63" s="13"/>
      <c r="F63" s="31">
        <f>IF(D$12=0,0,D63/D$12)</f>
        <v>0</v>
      </c>
      <c r="G63" s="13"/>
      <c r="H63" s="33">
        <f>SUM(H60:H62)</f>
        <v>-16324.842784615381</v>
      </c>
      <c r="I63" s="13"/>
      <c r="J63" s="31">
        <f>IF(H$12=0,0,H63/H$12)</f>
        <v>0</v>
      </c>
      <c r="K63" s="16"/>
      <c r="L63" s="33">
        <f>+D63-H63</f>
        <v>5854.142784615382</v>
      </c>
      <c r="M63" s="16"/>
      <c r="N63" s="31">
        <f>IF(H63=0,0,L63/H63)</f>
        <v>-0.35860331776869286</v>
      </c>
      <c r="O63" s="25"/>
      <c r="P63" s="33">
        <f>SUM(P60:P62)</f>
        <v>-10470.699999999999</v>
      </c>
      <c r="Q63" s="13"/>
      <c r="R63" s="31">
        <f>IF(P$12=0,0,P63/P$12)</f>
        <v>0</v>
      </c>
      <c r="S63" s="13"/>
      <c r="T63" s="33">
        <f>SUM(T60:T62)</f>
        <v>-16324.842784615381</v>
      </c>
      <c r="U63" s="13"/>
      <c r="V63" s="31">
        <f>IF(T$12=0,0,T63/T$12)</f>
        <v>0</v>
      </c>
      <c r="W63" s="16"/>
      <c r="X63" s="33">
        <f>+P63-T63</f>
        <v>5854.142784615382</v>
      </c>
      <c r="Y63" s="16"/>
      <c r="Z63" s="31">
        <f>IF(T63=0,0,X63/T63)</f>
        <v>-0.35860331776869286</v>
      </c>
    </row>
    <row r="64" spans="1:26" ht="15" thickTop="1" x14ac:dyDescent="0.3">
      <c r="A64" s="9"/>
      <c r="C64" s="9"/>
      <c r="D64" s="18"/>
      <c r="E64" s="18"/>
      <c r="G64" s="18"/>
      <c r="H64" s="18"/>
      <c r="I64" s="18"/>
      <c r="J64" s="43"/>
      <c r="K64" s="18"/>
      <c r="L64" s="18"/>
      <c r="M64" s="18"/>
      <c r="P64" s="18"/>
      <c r="Q64" s="18"/>
      <c r="R64" s="43"/>
      <c r="S64" s="18"/>
      <c r="T64" s="18"/>
      <c r="U64" s="18"/>
      <c r="V64" s="43"/>
      <c r="W64" s="18"/>
      <c r="X64" s="18"/>
    </row>
    <row r="65" spans="1:24" x14ac:dyDescent="0.3">
      <c r="A65" s="9"/>
      <c r="B65" s="54">
        <v>44462.64548684028</v>
      </c>
      <c r="D65" s="18"/>
      <c r="E65" s="18"/>
      <c r="G65" s="18"/>
      <c r="H65" s="18"/>
      <c r="I65" s="18"/>
      <c r="J65" s="43"/>
      <c r="K65" s="18"/>
      <c r="L65" s="18"/>
      <c r="M65" s="18"/>
      <c r="P65" s="18"/>
      <c r="Q65" s="18"/>
      <c r="R65" s="43"/>
      <c r="S65" s="18"/>
      <c r="T65" s="18"/>
      <c r="U65" s="18"/>
      <c r="V65" s="43"/>
      <c r="W65" s="18"/>
      <c r="X65" s="18"/>
    </row>
    <row r="66" spans="1:24" x14ac:dyDescent="0.3">
      <c r="A66" s="9"/>
      <c r="B66" s="59" t="s">
        <v>56</v>
      </c>
      <c r="D66" s="18"/>
      <c r="E66" s="18"/>
      <c r="G66" s="18"/>
      <c r="H66" s="18"/>
      <c r="I66" s="18"/>
      <c r="J66" s="43"/>
      <c r="K66" s="18"/>
      <c r="L66" s="18"/>
      <c r="M66" s="18"/>
      <c r="P66" s="18"/>
      <c r="Q66" s="18"/>
      <c r="R66" s="43"/>
      <c r="S66" s="18"/>
      <c r="T66" s="18"/>
      <c r="U66" s="18"/>
      <c r="V66" s="43"/>
      <c r="W66" s="18"/>
      <c r="X66" s="18"/>
    </row>
    <row r="67" spans="1:24" x14ac:dyDescent="0.3">
      <c r="A67" s="9"/>
      <c r="B67" s="55"/>
      <c r="D67" s="18"/>
      <c r="E67" s="18"/>
      <c r="G67" s="18"/>
      <c r="H67" s="18"/>
      <c r="I67" s="18"/>
      <c r="J67" s="43"/>
      <c r="K67" s="18"/>
      <c r="L67" s="18"/>
      <c r="M67" s="18"/>
      <c r="P67" s="18"/>
      <c r="Q67" s="18"/>
      <c r="R67" s="43"/>
      <c r="S67" s="18"/>
      <c r="T67" s="18"/>
      <c r="U67" s="18"/>
      <c r="V67" s="43"/>
      <c r="W67" s="18"/>
      <c r="X67" s="18"/>
    </row>
    <row r="68" spans="1:24" x14ac:dyDescent="0.3">
      <c r="D68" s="18"/>
      <c r="E68" s="18"/>
      <c r="G68" s="18"/>
      <c r="H68" s="18"/>
      <c r="I68" s="18"/>
      <c r="J68" s="43"/>
      <c r="K68" s="18"/>
      <c r="L68" s="18"/>
      <c r="M68" s="18"/>
      <c r="P68" s="18"/>
      <c r="Q68" s="18"/>
      <c r="R68" s="43"/>
      <c r="S68" s="18"/>
      <c r="T68" s="18"/>
      <c r="U68" s="18"/>
      <c r="V68" s="43"/>
      <c r="W68" s="18"/>
      <c r="X68" s="18"/>
    </row>
  </sheetData>
  <pageMargins left="0.25" right="0.25" top="0.75" bottom="0.75" header="0.3" footer="0.3"/>
  <pageSetup scale="55" fitToWidth="2" orientation="landscape"/>
  <drawing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FFC000"/>
    <outlinePr summaryBelow="0" summaryRight="0"/>
  </sheetPr>
  <dimension ref="A2:Z155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50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7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50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7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7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7" customWidth="1" outlineLevel="1"/>
  </cols>
  <sheetData>
    <row r="2" spans="1:26" x14ac:dyDescent="0.3">
      <c r="D2" s="57" t="s">
        <v>23</v>
      </c>
    </row>
    <row r="3" spans="1:26" x14ac:dyDescent="0.3">
      <c r="D3" s="57" t="s">
        <v>237</v>
      </c>
      <c r="E3" s="17"/>
      <c r="F3" s="51"/>
      <c r="G3" s="17"/>
      <c r="H3" s="17"/>
      <c r="I3" s="17"/>
      <c r="J3" s="39"/>
      <c r="K3" s="17"/>
      <c r="L3" s="17"/>
      <c r="M3" s="17"/>
      <c r="N3" s="51"/>
      <c r="O3" s="61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3">
      <c r="D4" s="57" t="str">
        <f>CONCATENATE("Period ",RIGHT(202201,2),", ",2022)</f>
        <v>Period 01, 2022</v>
      </c>
      <c r="E4" s="17"/>
      <c r="F4" s="51"/>
      <c r="G4" s="17"/>
      <c r="H4" s="17"/>
      <c r="I4" s="17"/>
      <c r="J4" s="39"/>
      <c r="K4" s="17"/>
      <c r="L4" s="17"/>
      <c r="M4" s="17"/>
      <c r="N4" s="51"/>
      <c r="O4" s="61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3">
      <c r="A5" s="23"/>
      <c r="D5" s="64">
        <v>44408</v>
      </c>
      <c r="E5" s="17"/>
      <c r="F5" s="51"/>
      <c r="G5" s="17"/>
      <c r="H5" s="17"/>
      <c r="I5" s="17"/>
      <c r="J5" s="39"/>
      <c r="K5" s="17"/>
      <c r="L5" s="17"/>
      <c r="M5" s="17"/>
      <c r="N5" s="51"/>
      <c r="O5" s="61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3">
      <c r="A6" s="23"/>
      <c r="B6" s="47"/>
      <c r="C6" s="47"/>
      <c r="D6" s="23" t="s">
        <v>107</v>
      </c>
      <c r="E6" s="17"/>
      <c r="F6" s="51"/>
      <c r="G6" s="17"/>
      <c r="H6" s="17"/>
      <c r="I6" s="17"/>
      <c r="J6" s="39"/>
      <c r="K6" s="17"/>
      <c r="L6" s="17"/>
      <c r="M6" s="17"/>
      <c r="N6" s="51"/>
      <c r="O6" s="60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3">
      <c r="B7" s="63"/>
    </row>
    <row r="8" spans="1:26" x14ac:dyDescent="0.3">
      <c r="B8" s="63"/>
    </row>
    <row r="9" spans="1:26" x14ac:dyDescent="0.3">
      <c r="B9" s="9"/>
      <c r="C9" s="9"/>
      <c r="D9" s="15" t="s">
        <v>292</v>
      </c>
      <c r="E9" s="15"/>
      <c r="F9" s="38"/>
      <c r="G9" s="15"/>
      <c r="H9" s="15"/>
      <c r="I9" s="15"/>
      <c r="J9" s="49"/>
      <c r="K9" s="15"/>
      <c r="L9" s="15"/>
      <c r="M9" s="15"/>
      <c r="N9" s="38"/>
      <c r="P9" s="15" t="s">
        <v>39</v>
      </c>
      <c r="Q9" s="15"/>
      <c r="R9" s="38"/>
      <c r="S9" s="15"/>
      <c r="T9" s="15"/>
      <c r="U9" s="15"/>
      <c r="V9" s="49"/>
      <c r="W9" s="15"/>
      <c r="X9" s="15"/>
      <c r="Y9" s="15"/>
      <c r="Z9" s="38"/>
    </row>
    <row r="10" spans="1:26" x14ac:dyDescent="0.3">
      <c r="A10" s="10"/>
      <c r="B10" s="53"/>
      <c r="C10" s="10"/>
      <c r="D10" s="42" t="s">
        <v>57</v>
      </c>
      <c r="E10" s="34"/>
      <c r="F10" s="40" t="s">
        <v>40</v>
      </c>
      <c r="G10" s="34"/>
      <c r="H10" s="45" t="s">
        <v>238</v>
      </c>
      <c r="I10" s="34"/>
      <c r="J10" s="48" t="s">
        <v>58</v>
      </c>
      <c r="K10" s="10"/>
      <c r="L10" s="42" t="s">
        <v>127</v>
      </c>
      <c r="M10" s="10"/>
      <c r="N10" s="40" t="s">
        <v>258</v>
      </c>
      <c r="O10" s="10"/>
      <c r="P10" s="56" t="s">
        <v>57</v>
      </c>
      <c r="Q10" s="34"/>
      <c r="R10" s="40" t="s">
        <v>40</v>
      </c>
      <c r="S10" s="34"/>
      <c r="T10" s="45" t="s">
        <v>238</v>
      </c>
      <c r="U10" s="34"/>
      <c r="V10" s="48" t="s">
        <v>58</v>
      </c>
      <c r="W10" s="10"/>
      <c r="X10" s="42" t="s">
        <v>127</v>
      </c>
      <c r="Y10" s="10"/>
      <c r="Z10" s="40" t="s">
        <v>258</v>
      </c>
    </row>
    <row r="11" spans="1:26" ht="15.6" x14ac:dyDescent="0.3">
      <c r="A11" s="9"/>
      <c r="B11" s="58"/>
      <c r="C11" s="9"/>
      <c r="D11" s="9"/>
      <c r="E11" s="9"/>
      <c r="F11" s="6"/>
      <c r="G11" s="9"/>
      <c r="H11" s="9"/>
      <c r="I11" s="9"/>
      <c r="J11" s="46"/>
      <c r="K11" s="9"/>
      <c r="L11" s="9"/>
      <c r="M11" s="9"/>
      <c r="N11" s="6"/>
      <c r="P11" s="9"/>
      <c r="Q11" s="9"/>
      <c r="R11" s="6"/>
      <c r="S11" s="9"/>
      <c r="T11" s="9"/>
      <c r="U11" s="9"/>
      <c r="V11" s="46"/>
      <c r="W11" s="9"/>
      <c r="X11" s="9"/>
      <c r="Y11" s="9"/>
      <c r="Z11" s="6"/>
    </row>
    <row r="12" spans="1:26" s="23" customFormat="1" collapsed="1" x14ac:dyDescent="0.3">
      <c r="A12" s="10"/>
      <c r="B12" s="25" t="s">
        <v>140</v>
      </c>
      <c r="C12" s="10"/>
      <c r="D12" s="4">
        <f>SUM(OSRRefD13x_0)</f>
        <v>220498.22000000003</v>
      </c>
      <c r="E12" s="4"/>
      <c r="F12" s="12"/>
      <c r="G12" s="4"/>
      <c r="H12" s="4">
        <f>SUM(OSRRefH13x_0)</f>
        <v>330233</v>
      </c>
      <c r="I12" s="4"/>
      <c r="J12" s="12"/>
      <c r="K12" s="4"/>
      <c r="L12" s="4">
        <f t="shared" ref="L12:L17" si="0">+D12-H12</f>
        <v>-109734.77999999997</v>
      </c>
      <c r="M12" s="4"/>
      <c r="N12" s="12">
        <f t="shared" ref="N12:N17" si="1">IF(H12=0,0,L12/H12)</f>
        <v>-0.33229501594328842</v>
      </c>
      <c r="O12" s="10"/>
      <c r="P12" s="4">
        <f>SUM(OSRRefP13x_0)</f>
        <v>220498.22000000003</v>
      </c>
      <c r="Q12" s="4"/>
      <c r="R12" s="12"/>
      <c r="S12" s="4"/>
      <c r="T12" s="4">
        <f>SUM(OSRRefT13x_0)</f>
        <v>330233</v>
      </c>
      <c r="U12" s="4"/>
      <c r="V12" s="12"/>
      <c r="W12" s="4"/>
      <c r="X12" s="4">
        <f t="shared" ref="X12:X17" si="2">+P12-T12</f>
        <v>-109734.77999999997</v>
      </c>
      <c r="Y12" s="4"/>
      <c r="Z12" s="12">
        <f t="shared" ref="Z12:Z17" si="3">IF(T12=0,0,X12/T12)</f>
        <v>-0.33229501594328842</v>
      </c>
    </row>
    <row r="13" spans="1:26" s="24" customFormat="1" hidden="1" outlineLevel="1" x14ac:dyDescent="0.3">
      <c r="A13" s="44"/>
      <c r="B13" s="11" t="str">
        <f>CONCATENATE("          ", "4000", " - ", "TAXABLE SALES")</f>
        <v xml:space="preserve">          4000 - TAXABLE SALES</v>
      </c>
      <c r="C13" s="11"/>
      <c r="D13" s="3">
        <f>--188048.33</f>
        <v>188048.33</v>
      </c>
      <c r="E13" s="3"/>
      <c r="F13" s="19"/>
      <c r="G13" s="3"/>
      <c r="H13" s="3">
        <v>329678</v>
      </c>
      <c r="I13" s="3"/>
      <c r="J13" s="19"/>
      <c r="K13" s="3"/>
      <c r="L13" s="3">
        <f t="shared" si="0"/>
        <v>-141629.67000000001</v>
      </c>
      <c r="M13" s="3"/>
      <c r="N13" s="19">
        <f t="shared" si="1"/>
        <v>-0.42960000363991535</v>
      </c>
      <c r="O13" s="11"/>
      <c r="P13" s="3">
        <f>--188048.33</f>
        <v>188048.33</v>
      </c>
      <c r="Q13" s="3"/>
      <c r="R13" s="19"/>
      <c r="S13" s="3"/>
      <c r="T13" s="3">
        <v>329678</v>
      </c>
      <c r="U13" s="3"/>
      <c r="V13" s="19"/>
      <c r="W13" s="3"/>
      <c r="X13" s="3">
        <f t="shared" si="2"/>
        <v>-141629.67000000001</v>
      </c>
      <c r="Y13" s="3"/>
      <c r="Z13" s="19">
        <f t="shared" si="3"/>
        <v>-0.42960000363991535</v>
      </c>
    </row>
    <row r="14" spans="1:26" s="24" customFormat="1" hidden="1" outlineLevel="1" x14ac:dyDescent="0.3">
      <c r="A14" s="44"/>
      <c r="B14" s="11" t="str">
        <f>CONCATENATE("          ", "4100", " - ", "NON-TAXABLE SALES")</f>
        <v xml:space="preserve">          4100 - NON-TAXABLE SALES</v>
      </c>
      <c r="C14" s="11"/>
      <c r="D14" s="3">
        <f>--39098.54</f>
        <v>39098.54</v>
      </c>
      <c r="E14" s="3"/>
      <c r="F14" s="19"/>
      <c r="G14" s="3"/>
      <c r="H14" s="3">
        <v>555</v>
      </c>
      <c r="I14" s="3"/>
      <c r="J14" s="19"/>
      <c r="K14" s="3"/>
      <c r="L14" s="3">
        <f t="shared" si="0"/>
        <v>38543.54</v>
      </c>
      <c r="M14" s="3"/>
      <c r="N14" s="19">
        <f t="shared" si="1"/>
        <v>69.447819819819827</v>
      </c>
      <c r="O14" s="11"/>
      <c r="P14" s="3">
        <f>--39098.54</f>
        <v>39098.54</v>
      </c>
      <c r="Q14" s="3"/>
      <c r="R14" s="19"/>
      <c r="S14" s="3"/>
      <c r="T14" s="3">
        <v>555</v>
      </c>
      <c r="U14" s="3"/>
      <c r="V14" s="19"/>
      <c r="W14" s="3"/>
      <c r="X14" s="3">
        <f t="shared" si="2"/>
        <v>38543.54</v>
      </c>
      <c r="Y14" s="3"/>
      <c r="Z14" s="19">
        <f t="shared" si="3"/>
        <v>69.447819819819827</v>
      </c>
    </row>
    <row r="15" spans="1:26" s="24" customFormat="1" hidden="1" outlineLevel="1" x14ac:dyDescent="0.3">
      <c r="A15" s="44"/>
      <c r="B15" s="11" t="str">
        <f>CONCATENATE("          ", "4146", " - ", "NON-TAXABLE SALES-COIN OP MACH")</f>
        <v xml:space="preserve">          4146 - NON-TAXABLE SALES-COIN OP MACH</v>
      </c>
      <c r="C15" s="11"/>
      <c r="D15" s="3">
        <f>--20.2</f>
        <v>20.2</v>
      </c>
      <c r="E15" s="3"/>
      <c r="F15" s="19"/>
      <c r="G15" s="3"/>
      <c r="H15" s="3"/>
      <c r="I15" s="3"/>
      <c r="J15" s="19"/>
      <c r="K15" s="3"/>
      <c r="L15" s="3">
        <f t="shared" si="0"/>
        <v>20.2</v>
      </c>
      <c r="M15" s="3"/>
      <c r="N15" s="19">
        <f t="shared" si="1"/>
        <v>0</v>
      </c>
      <c r="O15" s="11"/>
      <c r="P15" s="3">
        <f>--20.2</f>
        <v>20.2</v>
      </c>
      <c r="Q15" s="3"/>
      <c r="R15" s="19"/>
      <c r="S15" s="3"/>
      <c r="T15" s="3"/>
      <c r="U15" s="3"/>
      <c r="V15" s="19"/>
      <c r="W15" s="3"/>
      <c r="X15" s="3">
        <f t="shared" si="2"/>
        <v>20.2</v>
      </c>
      <c r="Y15" s="3"/>
      <c r="Z15" s="19">
        <f t="shared" si="3"/>
        <v>0</v>
      </c>
    </row>
    <row r="16" spans="1:26" s="24" customFormat="1" hidden="1" outlineLevel="1" x14ac:dyDescent="0.3">
      <c r="A16" s="44"/>
      <c r="B16" s="11" t="str">
        <f>CONCATENATE("          ", "4200", " - ", "TAXABLE RETURNS")</f>
        <v xml:space="preserve">          4200 - TAXABLE RETURNS</v>
      </c>
      <c r="C16" s="11"/>
      <c r="D16" s="3">
        <f>-5566.27</f>
        <v>-5566.27</v>
      </c>
      <c r="E16" s="3"/>
      <c r="F16" s="19"/>
      <c r="G16" s="3"/>
      <c r="H16" s="3"/>
      <c r="I16" s="3"/>
      <c r="J16" s="19"/>
      <c r="K16" s="3"/>
      <c r="L16" s="3">
        <f t="shared" si="0"/>
        <v>-5566.27</v>
      </c>
      <c r="M16" s="3"/>
      <c r="N16" s="19">
        <f t="shared" si="1"/>
        <v>0</v>
      </c>
      <c r="O16" s="11"/>
      <c r="P16" s="3">
        <f>-5566.27</f>
        <v>-5566.27</v>
      </c>
      <c r="Q16" s="3"/>
      <c r="R16" s="19"/>
      <c r="S16" s="3"/>
      <c r="T16" s="3"/>
      <c r="U16" s="3"/>
      <c r="V16" s="19"/>
      <c r="W16" s="3"/>
      <c r="X16" s="3">
        <f t="shared" si="2"/>
        <v>-5566.27</v>
      </c>
      <c r="Y16" s="3"/>
      <c r="Z16" s="19">
        <f t="shared" si="3"/>
        <v>0</v>
      </c>
    </row>
    <row r="17" spans="1:26" s="24" customFormat="1" hidden="1" outlineLevel="1" x14ac:dyDescent="0.3">
      <c r="A17" s="44"/>
      <c r="B17" s="11" t="str">
        <f>CONCATENATE("          ", "4300", " - ", "NON-TAX RETURNS")</f>
        <v xml:space="preserve">          4300 - NON-TAX RETURNS</v>
      </c>
      <c r="C17" s="11"/>
      <c r="D17" s="3">
        <f>-1102.58</f>
        <v>-1102.58</v>
      </c>
      <c r="E17" s="3"/>
      <c r="F17" s="19"/>
      <c r="G17" s="3"/>
      <c r="H17" s="3"/>
      <c r="I17" s="3"/>
      <c r="J17" s="19"/>
      <c r="K17" s="3"/>
      <c r="L17" s="3">
        <f t="shared" si="0"/>
        <v>-1102.58</v>
      </c>
      <c r="M17" s="3"/>
      <c r="N17" s="19">
        <f t="shared" si="1"/>
        <v>0</v>
      </c>
      <c r="O17" s="11"/>
      <c r="P17" s="3">
        <f>-1102.58</f>
        <v>-1102.58</v>
      </c>
      <c r="Q17" s="3"/>
      <c r="R17" s="19"/>
      <c r="S17" s="3"/>
      <c r="T17" s="3"/>
      <c r="U17" s="3"/>
      <c r="V17" s="19"/>
      <c r="W17" s="3"/>
      <c r="X17" s="3">
        <f t="shared" si="2"/>
        <v>-1102.58</v>
      </c>
      <c r="Y17" s="3"/>
      <c r="Z17" s="19">
        <f t="shared" si="3"/>
        <v>0</v>
      </c>
    </row>
    <row r="18" spans="1:26" x14ac:dyDescent="0.3">
      <c r="A18" s="9"/>
      <c r="B18" s="10"/>
      <c r="C18" s="9"/>
      <c r="D18" s="2"/>
      <c r="E18" s="2"/>
      <c r="F18" s="6"/>
      <c r="G18" s="2"/>
      <c r="H18" s="2"/>
      <c r="I18" s="2"/>
      <c r="J18" s="6"/>
      <c r="K18" s="2"/>
      <c r="L18" s="2"/>
      <c r="M18" s="2"/>
      <c r="N18" s="6"/>
      <c r="P18" s="2"/>
      <c r="Q18" s="2"/>
      <c r="R18" s="6"/>
      <c r="S18" s="2"/>
      <c r="T18" s="2"/>
      <c r="U18" s="2"/>
      <c r="V18" s="6"/>
      <c r="W18" s="2"/>
      <c r="X18" s="2"/>
      <c r="Y18" s="2"/>
      <c r="Z18" s="6"/>
    </row>
    <row r="19" spans="1:26" s="23" customFormat="1" collapsed="1" x14ac:dyDescent="0.3">
      <c r="A19" s="10"/>
      <c r="B19" s="25" t="s">
        <v>257</v>
      </c>
      <c r="C19" s="10"/>
      <c r="D19" s="4">
        <f>SUM(OSRRefD16x_0)</f>
        <v>127421.44</v>
      </c>
      <c r="E19" s="4"/>
      <c r="F19" s="12">
        <f t="shared" ref="F19:F41" si="4">IF(D$12=0,0,D19/D$12)</f>
        <v>0.57787967630759096</v>
      </c>
      <c r="G19" s="4"/>
      <c r="H19" s="4">
        <f>SUM(OSRRefH16x_0)</f>
        <v>203796</v>
      </c>
      <c r="I19" s="4"/>
      <c r="J19" s="12">
        <f t="shared" ref="J19:J41" si="5">IF(H$12=0,0,H19/H$12)</f>
        <v>0.61712790665984318</v>
      </c>
      <c r="K19" s="4"/>
      <c r="L19" s="4">
        <f t="shared" ref="L19:L41" si="6">+D19-H19</f>
        <v>-76374.559999999998</v>
      </c>
      <c r="M19" s="4"/>
      <c r="N19" s="12">
        <f t="shared" ref="N19:N41" si="7">IF(H19=0,0,L19/H19)</f>
        <v>-0.3747598578971128</v>
      </c>
      <c r="O19" s="10"/>
      <c r="P19" s="4">
        <f>SUM(OSRRefP16x_0)</f>
        <v>127421.44</v>
      </c>
      <c r="Q19" s="4"/>
      <c r="R19" s="12">
        <f t="shared" ref="R19:R41" si="8">IF(P$12=0,0,P19/P$12)</f>
        <v>0.57787967630759096</v>
      </c>
      <c r="S19" s="4"/>
      <c r="T19" s="4">
        <f>SUM(OSRRefT16x_0)</f>
        <v>203796</v>
      </c>
      <c r="U19" s="4"/>
      <c r="V19" s="12">
        <f t="shared" ref="V19:V41" si="9">IF(T$12=0,0,T19/T$12)</f>
        <v>0.61712790665984318</v>
      </c>
      <c r="W19" s="4"/>
      <c r="X19" s="4">
        <f t="shared" ref="X19:X41" si="10">+P19-T19</f>
        <v>-76374.559999999998</v>
      </c>
      <c r="Y19" s="4"/>
      <c r="Z19" s="12">
        <f t="shared" ref="Z19:Z41" si="11">IF(T19=0,0,X19/T19)</f>
        <v>-0.3747598578971128</v>
      </c>
    </row>
    <row r="20" spans="1:26" s="24" customFormat="1" hidden="1" outlineLevel="1" x14ac:dyDescent="0.3">
      <c r="A20" s="44"/>
      <c r="B20" s="11" t="str">
        <f>CONCATENATE("          ", "5000", " - ", "PURCHASES @ COST")</f>
        <v xml:space="preserve">          5000 - PURCHASES @ COST</v>
      </c>
      <c r="C20" s="11"/>
      <c r="D20" s="3">
        <v>344773.67</v>
      </c>
      <c r="E20" s="3"/>
      <c r="F20" s="19">
        <f t="shared" si="4"/>
        <v>1.5636120327864775</v>
      </c>
      <c r="G20" s="3"/>
      <c r="H20" s="3">
        <v>203796</v>
      </c>
      <c r="I20" s="3"/>
      <c r="J20" s="19">
        <f t="shared" si="5"/>
        <v>0.61712790665984318</v>
      </c>
      <c r="K20" s="3"/>
      <c r="L20" s="3">
        <f t="shared" si="6"/>
        <v>140977.66999999998</v>
      </c>
      <c r="M20" s="3"/>
      <c r="N20" s="19">
        <f t="shared" si="7"/>
        <v>0.69175876857249397</v>
      </c>
      <c r="O20" s="11"/>
      <c r="P20" s="3">
        <v>344773.67</v>
      </c>
      <c r="Q20" s="3"/>
      <c r="R20" s="19">
        <f t="shared" si="8"/>
        <v>1.5636120327864775</v>
      </c>
      <c r="S20" s="3"/>
      <c r="T20" s="3">
        <v>203796</v>
      </c>
      <c r="U20" s="3"/>
      <c r="V20" s="19">
        <f t="shared" si="9"/>
        <v>0.61712790665984318</v>
      </c>
      <c r="W20" s="3"/>
      <c r="X20" s="3">
        <f t="shared" si="10"/>
        <v>140977.66999999998</v>
      </c>
      <c r="Y20" s="3"/>
      <c r="Z20" s="19">
        <f t="shared" si="11"/>
        <v>0.69175876857249397</v>
      </c>
    </row>
    <row r="21" spans="1:26" s="24" customFormat="1" hidden="1" outlineLevel="1" x14ac:dyDescent="0.3">
      <c r="A21" s="44"/>
      <c r="B21" s="11" t="str">
        <f>CONCATENATE("          ", "5001", " - ", "PURCHASES @ COST-NEW TEXT")</f>
        <v xml:space="preserve">          5001 - PURCHASES @ COST-NEW TEXT</v>
      </c>
      <c r="C21" s="11"/>
      <c r="D21" s="3">
        <v>0</v>
      </c>
      <c r="E21" s="3"/>
      <c r="F21" s="19">
        <f t="shared" si="4"/>
        <v>0</v>
      </c>
      <c r="G21" s="3"/>
      <c r="H21" s="3"/>
      <c r="I21" s="3"/>
      <c r="J21" s="19">
        <f t="shared" si="5"/>
        <v>0</v>
      </c>
      <c r="K21" s="3"/>
      <c r="L21" s="3">
        <f t="shared" si="6"/>
        <v>0</v>
      </c>
      <c r="M21" s="3"/>
      <c r="N21" s="19">
        <f t="shared" si="7"/>
        <v>0</v>
      </c>
      <c r="O21" s="11"/>
      <c r="P21" s="3">
        <v>0</v>
      </c>
      <c r="Q21" s="3"/>
      <c r="R21" s="19">
        <f t="shared" si="8"/>
        <v>0</v>
      </c>
      <c r="S21" s="3"/>
      <c r="T21" s="3"/>
      <c r="U21" s="3"/>
      <c r="V21" s="19">
        <f t="shared" si="9"/>
        <v>0</v>
      </c>
      <c r="W21" s="3"/>
      <c r="X21" s="3">
        <f t="shared" si="10"/>
        <v>0</v>
      </c>
      <c r="Y21" s="3"/>
      <c r="Z21" s="19">
        <f t="shared" si="11"/>
        <v>0</v>
      </c>
    </row>
    <row r="22" spans="1:26" s="24" customFormat="1" hidden="1" outlineLevel="1" x14ac:dyDescent="0.3">
      <c r="A22" s="44"/>
      <c r="B22" s="11" t="str">
        <f>CONCATENATE("          ", "5002", " - ", "PURCHASES @ COST-USED TEXT")</f>
        <v xml:space="preserve">          5002 - PURCHASES @ COST-USED TEXT</v>
      </c>
      <c r="C22" s="11"/>
      <c r="D22" s="3">
        <v>0</v>
      </c>
      <c r="E22" s="3"/>
      <c r="F22" s="19">
        <f t="shared" si="4"/>
        <v>0</v>
      </c>
      <c r="G22" s="3"/>
      <c r="H22" s="3"/>
      <c r="I22" s="3"/>
      <c r="J22" s="19">
        <f t="shared" si="5"/>
        <v>0</v>
      </c>
      <c r="K22" s="3"/>
      <c r="L22" s="3">
        <f t="shared" si="6"/>
        <v>0</v>
      </c>
      <c r="M22" s="3"/>
      <c r="N22" s="19">
        <f t="shared" si="7"/>
        <v>0</v>
      </c>
      <c r="O22" s="11"/>
      <c r="P22" s="3">
        <v>0</v>
      </c>
      <c r="Q22" s="3"/>
      <c r="R22" s="19">
        <f t="shared" si="8"/>
        <v>0</v>
      </c>
      <c r="S22" s="3"/>
      <c r="T22" s="3"/>
      <c r="U22" s="3"/>
      <c r="V22" s="19">
        <f t="shared" si="9"/>
        <v>0</v>
      </c>
      <c r="W22" s="3"/>
      <c r="X22" s="3">
        <f t="shared" si="10"/>
        <v>0</v>
      </c>
      <c r="Y22" s="3"/>
      <c r="Z22" s="19">
        <f t="shared" si="11"/>
        <v>0</v>
      </c>
    </row>
    <row r="23" spans="1:26" s="24" customFormat="1" hidden="1" outlineLevel="1" x14ac:dyDescent="0.3">
      <c r="A23" s="44"/>
      <c r="B23" s="11" t="str">
        <f>CONCATENATE("          ", "5004", " - ", "PURCHASES @ COST-DIGITAL TEXT")</f>
        <v xml:space="preserve">          5004 - PURCHASES @ COST-DIGITAL TEXT</v>
      </c>
      <c r="C23" s="11"/>
      <c r="D23" s="3">
        <v>0</v>
      </c>
      <c r="E23" s="3"/>
      <c r="F23" s="19">
        <f t="shared" si="4"/>
        <v>0</v>
      </c>
      <c r="G23" s="3"/>
      <c r="H23" s="3"/>
      <c r="I23" s="3"/>
      <c r="J23" s="19">
        <f t="shared" si="5"/>
        <v>0</v>
      </c>
      <c r="K23" s="3"/>
      <c r="L23" s="3">
        <f t="shared" si="6"/>
        <v>0</v>
      </c>
      <c r="M23" s="3"/>
      <c r="N23" s="19">
        <f t="shared" si="7"/>
        <v>0</v>
      </c>
      <c r="O23" s="11"/>
      <c r="P23" s="3">
        <v>0</v>
      </c>
      <c r="Q23" s="3"/>
      <c r="R23" s="19">
        <f t="shared" si="8"/>
        <v>0</v>
      </c>
      <c r="S23" s="3"/>
      <c r="T23" s="3"/>
      <c r="U23" s="3"/>
      <c r="V23" s="19">
        <f t="shared" si="9"/>
        <v>0</v>
      </c>
      <c r="W23" s="3"/>
      <c r="X23" s="3">
        <f t="shared" si="10"/>
        <v>0</v>
      </c>
      <c r="Y23" s="3"/>
      <c r="Z23" s="19">
        <f t="shared" si="11"/>
        <v>0</v>
      </c>
    </row>
    <row r="24" spans="1:26" s="24" customFormat="1" hidden="1" outlineLevel="1" x14ac:dyDescent="0.3">
      <c r="A24" s="44"/>
      <c r="B24" s="11" t="str">
        <f>CONCATENATE("          ", "5040", " - ", "PURCHASES @ COST-LOGO CLOTHING")</f>
        <v xml:space="preserve">          5040 - PURCHASES @ COST-LOGO CLOTHING</v>
      </c>
      <c r="C24" s="11"/>
      <c r="D24" s="3">
        <v>0</v>
      </c>
      <c r="E24" s="3"/>
      <c r="F24" s="19">
        <f t="shared" si="4"/>
        <v>0</v>
      </c>
      <c r="G24" s="3"/>
      <c r="H24" s="3"/>
      <c r="I24" s="3"/>
      <c r="J24" s="19">
        <f t="shared" si="5"/>
        <v>0</v>
      </c>
      <c r="K24" s="3"/>
      <c r="L24" s="3">
        <f t="shared" si="6"/>
        <v>0</v>
      </c>
      <c r="M24" s="3"/>
      <c r="N24" s="19">
        <f t="shared" si="7"/>
        <v>0</v>
      </c>
      <c r="O24" s="11"/>
      <c r="P24" s="3">
        <v>0</v>
      </c>
      <c r="Q24" s="3"/>
      <c r="R24" s="19">
        <f t="shared" si="8"/>
        <v>0</v>
      </c>
      <c r="S24" s="3"/>
      <c r="T24" s="3"/>
      <c r="U24" s="3"/>
      <c r="V24" s="19">
        <f t="shared" si="9"/>
        <v>0</v>
      </c>
      <c r="W24" s="3"/>
      <c r="X24" s="3">
        <f t="shared" si="10"/>
        <v>0</v>
      </c>
      <c r="Y24" s="3"/>
      <c r="Z24" s="19">
        <f t="shared" si="11"/>
        <v>0</v>
      </c>
    </row>
    <row r="25" spans="1:26" s="24" customFormat="1" hidden="1" outlineLevel="1" x14ac:dyDescent="0.3">
      <c r="A25" s="44"/>
      <c r="B25" s="11" t="str">
        <f>CONCATENATE("          ", "5041", " - ", "PURCHASES @ COST-LOGO GIFTS")</f>
        <v xml:space="preserve">          5041 - PURCHASES @ COST-LOGO GIFTS</v>
      </c>
      <c r="C25" s="11"/>
      <c r="D25" s="3">
        <v>0</v>
      </c>
      <c r="E25" s="3"/>
      <c r="F25" s="19">
        <f t="shared" si="4"/>
        <v>0</v>
      </c>
      <c r="G25" s="3"/>
      <c r="H25" s="3"/>
      <c r="I25" s="3"/>
      <c r="J25" s="19">
        <f t="shared" si="5"/>
        <v>0</v>
      </c>
      <c r="K25" s="3"/>
      <c r="L25" s="3">
        <f t="shared" si="6"/>
        <v>0</v>
      </c>
      <c r="M25" s="3"/>
      <c r="N25" s="19">
        <f t="shared" si="7"/>
        <v>0</v>
      </c>
      <c r="O25" s="11"/>
      <c r="P25" s="3">
        <v>0</v>
      </c>
      <c r="Q25" s="3"/>
      <c r="R25" s="19">
        <f t="shared" si="8"/>
        <v>0</v>
      </c>
      <c r="S25" s="3"/>
      <c r="T25" s="3"/>
      <c r="U25" s="3"/>
      <c r="V25" s="19">
        <f t="shared" si="9"/>
        <v>0</v>
      </c>
      <c r="W25" s="3"/>
      <c r="X25" s="3">
        <f t="shared" si="10"/>
        <v>0</v>
      </c>
      <c r="Y25" s="3"/>
      <c r="Z25" s="19">
        <f t="shared" si="11"/>
        <v>0</v>
      </c>
    </row>
    <row r="26" spans="1:26" s="24" customFormat="1" hidden="1" outlineLevel="1" x14ac:dyDescent="0.3">
      <c r="A26" s="44"/>
      <c r="B26" s="11" t="str">
        <f>CONCATENATE("          ", "5042", " - ", "PURCHASES @ COST-EVERYDAY GIFT")</f>
        <v xml:space="preserve">          5042 - PURCHASES @ COST-EVERYDAY GIFT</v>
      </c>
      <c r="C26" s="11"/>
      <c r="D26" s="3">
        <v>0</v>
      </c>
      <c r="E26" s="3"/>
      <c r="F26" s="19">
        <f t="shared" si="4"/>
        <v>0</v>
      </c>
      <c r="G26" s="3"/>
      <c r="H26" s="3"/>
      <c r="I26" s="3"/>
      <c r="J26" s="19">
        <f t="shared" si="5"/>
        <v>0</v>
      </c>
      <c r="K26" s="3"/>
      <c r="L26" s="3">
        <f t="shared" si="6"/>
        <v>0</v>
      </c>
      <c r="M26" s="3"/>
      <c r="N26" s="19">
        <f t="shared" si="7"/>
        <v>0</v>
      </c>
      <c r="O26" s="11"/>
      <c r="P26" s="3">
        <v>0</v>
      </c>
      <c r="Q26" s="3"/>
      <c r="R26" s="19">
        <f t="shared" si="8"/>
        <v>0</v>
      </c>
      <c r="S26" s="3"/>
      <c r="T26" s="3"/>
      <c r="U26" s="3"/>
      <c r="V26" s="19">
        <f t="shared" si="9"/>
        <v>0</v>
      </c>
      <c r="W26" s="3"/>
      <c r="X26" s="3">
        <f t="shared" si="10"/>
        <v>0</v>
      </c>
      <c r="Y26" s="3"/>
      <c r="Z26" s="19">
        <f t="shared" si="11"/>
        <v>0</v>
      </c>
    </row>
    <row r="27" spans="1:26" s="24" customFormat="1" hidden="1" outlineLevel="1" x14ac:dyDescent="0.3">
      <c r="A27" s="44"/>
      <c r="B27" s="11" t="str">
        <f>CONCATENATE("          ", "5043", " - ", "PURCHASES @ COST-CARDS")</f>
        <v xml:space="preserve">          5043 - PURCHASES @ COST-CARDS</v>
      </c>
      <c r="C27" s="11"/>
      <c r="D27" s="3">
        <v>0</v>
      </c>
      <c r="E27" s="3"/>
      <c r="F27" s="19">
        <f t="shared" si="4"/>
        <v>0</v>
      </c>
      <c r="G27" s="3"/>
      <c r="H27" s="3"/>
      <c r="I27" s="3"/>
      <c r="J27" s="19">
        <f t="shared" si="5"/>
        <v>0</v>
      </c>
      <c r="K27" s="3"/>
      <c r="L27" s="3">
        <f t="shared" si="6"/>
        <v>0</v>
      </c>
      <c r="M27" s="3"/>
      <c r="N27" s="19">
        <f t="shared" si="7"/>
        <v>0</v>
      </c>
      <c r="O27" s="11"/>
      <c r="P27" s="3">
        <v>0</v>
      </c>
      <c r="Q27" s="3"/>
      <c r="R27" s="19">
        <f t="shared" si="8"/>
        <v>0</v>
      </c>
      <c r="S27" s="3"/>
      <c r="T27" s="3"/>
      <c r="U27" s="3"/>
      <c r="V27" s="19">
        <f t="shared" si="9"/>
        <v>0</v>
      </c>
      <c r="W27" s="3"/>
      <c r="X27" s="3">
        <f t="shared" si="10"/>
        <v>0</v>
      </c>
      <c r="Y27" s="3"/>
      <c r="Z27" s="19">
        <f t="shared" si="11"/>
        <v>0</v>
      </c>
    </row>
    <row r="28" spans="1:26" s="24" customFormat="1" hidden="1" outlineLevel="1" x14ac:dyDescent="0.3">
      <c r="A28" s="44"/>
      <c r="B28" s="11" t="str">
        <f>CONCATENATE("          ", "5044", " - ", "PURCHASES @ COST-ACCESSORIES")</f>
        <v xml:space="preserve">          5044 - PURCHASES @ COST-ACCESSORIES</v>
      </c>
      <c r="C28" s="11"/>
      <c r="D28" s="3">
        <v>0</v>
      </c>
      <c r="E28" s="3"/>
      <c r="F28" s="19">
        <f t="shared" si="4"/>
        <v>0</v>
      </c>
      <c r="G28" s="3"/>
      <c r="H28" s="3"/>
      <c r="I28" s="3"/>
      <c r="J28" s="19">
        <f t="shared" si="5"/>
        <v>0</v>
      </c>
      <c r="K28" s="3"/>
      <c r="L28" s="3">
        <f t="shared" si="6"/>
        <v>0</v>
      </c>
      <c r="M28" s="3"/>
      <c r="N28" s="19">
        <f t="shared" si="7"/>
        <v>0</v>
      </c>
      <c r="O28" s="11"/>
      <c r="P28" s="3">
        <v>0</v>
      </c>
      <c r="Q28" s="3"/>
      <c r="R28" s="19">
        <f t="shared" si="8"/>
        <v>0</v>
      </c>
      <c r="S28" s="3"/>
      <c r="T28" s="3"/>
      <c r="U28" s="3"/>
      <c r="V28" s="19">
        <f t="shared" si="9"/>
        <v>0</v>
      </c>
      <c r="W28" s="3"/>
      <c r="X28" s="3">
        <f t="shared" si="10"/>
        <v>0</v>
      </c>
      <c r="Y28" s="3"/>
      <c r="Z28" s="19">
        <f t="shared" si="11"/>
        <v>0</v>
      </c>
    </row>
    <row r="29" spans="1:26" s="24" customFormat="1" hidden="1" outlineLevel="1" x14ac:dyDescent="0.3">
      <c r="A29" s="44"/>
      <c r="B29" s="11" t="str">
        <f>CONCATENATE("          ", "5045", " - ", "PURCHASES @ COST-SPECIAL ORDER")</f>
        <v xml:space="preserve">          5045 - PURCHASES @ COST-SPECIAL ORDER</v>
      </c>
      <c r="C29" s="11"/>
      <c r="D29" s="3">
        <v>0</v>
      </c>
      <c r="E29" s="3"/>
      <c r="F29" s="19">
        <f t="shared" si="4"/>
        <v>0</v>
      </c>
      <c r="G29" s="3"/>
      <c r="H29" s="3"/>
      <c r="I29" s="3"/>
      <c r="J29" s="19">
        <f t="shared" si="5"/>
        <v>0</v>
      </c>
      <c r="K29" s="3"/>
      <c r="L29" s="3">
        <f t="shared" si="6"/>
        <v>0</v>
      </c>
      <c r="M29" s="3"/>
      <c r="N29" s="19">
        <f t="shared" si="7"/>
        <v>0</v>
      </c>
      <c r="O29" s="11"/>
      <c r="P29" s="3">
        <v>0</v>
      </c>
      <c r="Q29" s="3"/>
      <c r="R29" s="19">
        <f t="shared" si="8"/>
        <v>0</v>
      </c>
      <c r="S29" s="3"/>
      <c r="T29" s="3"/>
      <c r="U29" s="3"/>
      <c r="V29" s="19">
        <f t="shared" si="9"/>
        <v>0</v>
      </c>
      <c r="W29" s="3"/>
      <c r="X29" s="3">
        <f t="shared" si="10"/>
        <v>0</v>
      </c>
      <c r="Y29" s="3"/>
      <c r="Z29" s="19">
        <f t="shared" si="11"/>
        <v>0</v>
      </c>
    </row>
    <row r="30" spans="1:26" s="24" customFormat="1" hidden="1" outlineLevel="1" x14ac:dyDescent="0.3">
      <c r="A30" s="44"/>
      <c r="B30" s="11" t="str">
        <f>CONCATENATE("          ", "5053", " - ", "PURCHASES @ COST-FOOD")</f>
        <v xml:space="preserve">          5053 - PURCHASES @ COST-FOOD</v>
      </c>
      <c r="C30" s="11"/>
      <c r="D30" s="3">
        <v>0</v>
      </c>
      <c r="E30" s="3"/>
      <c r="F30" s="19">
        <f t="shared" si="4"/>
        <v>0</v>
      </c>
      <c r="G30" s="3"/>
      <c r="H30" s="3"/>
      <c r="I30" s="3"/>
      <c r="J30" s="19">
        <f t="shared" si="5"/>
        <v>0</v>
      </c>
      <c r="K30" s="3"/>
      <c r="L30" s="3">
        <f t="shared" si="6"/>
        <v>0</v>
      </c>
      <c r="M30" s="3"/>
      <c r="N30" s="19">
        <f t="shared" si="7"/>
        <v>0</v>
      </c>
      <c r="O30" s="11"/>
      <c r="P30" s="3">
        <v>0</v>
      </c>
      <c r="Q30" s="3"/>
      <c r="R30" s="19">
        <f t="shared" si="8"/>
        <v>0</v>
      </c>
      <c r="S30" s="3"/>
      <c r="T30" s="3"/>
      <c r="U30" s="3"/>
      <c r="V30" s="19">
        <f t="shared" si="9"/>
        <v>0</v>
      </c>
      <c r="W30" s="3"/>
      <c r="X30" s="3">
        <f t="shared" si="10"/>
        <v>0</v>
      </c>
      <c r="Y30" s="3"/>
      <c r="Z30" s="19">
        <f t="shared" si="11"/>
        <v>0</v>
      </c>
    </row>
    <row r="31" spans="1:26" s="24" customFormat="1" hidden="1" outlineLevel="1" x14ac:dyDescent="0.3">
      <c r="A31" s="44"/>
      <c r="B31" s="11" t="str">
        <f>CONCATENATE("          ", "5200", " - ", "PURCHASES OFFSET")</f>
        <v xml:space="preserve">          5200 - PURCHASES OFFSET</v>
      </c>
      <c r="C31" s="11"/>
      <c r="D31" s="3">
        <v>-346348.67</v>
      </c>
      <c r="E31" s="3"/>
      <c r="F31" s="19">
        <f t="shared" si="4"/>
        <v>-1.5707549475909599</v>
      </c>
      <c r="G31" s="3"/>
      <c r="H31" s="3"/>
      <c r="I31" s="3"/>
      <c r="J31" s="19">
        <f t="shared" si="5"/>
        <v>0</v>
      </c>
      <c r="K31" s="3"/>
      <c r="L31" s="3">
        <f t="shared" si="6"/>
        <v>-346348.67</v>
      </c>
      <c r="M31" s="3"/>
      <c r="N31" s="19">
        <f t="shared" si="7"/>
        <v>0</v>
      </c>
      <c r="O31" s="11"/>
      <c r="P31" s="3">
        <v>-346348.67</v>
      </c>
      <c r="Q31" s="3"/>
      <c r="R31" s="19">
        <f t="shared" si="8"/>
        <v>-1.5707549475909599</v>
      </c>
      <c r="S31" s="3"/>
      <c r="T31" s="3"/>
      <c r="U31" s="3"/>
      <c r="V31" s="19">
        <f t="shared" si="9"/>
        <v>0</v>
      </c>
      <c r="W31" s="3"/>
      <c r="X31" s="3">
        <f t="shared" si="10"/>
        <v>-346348.67</v>
      </c>
      <c r="Y31" s="3"/>
      <c r="Z31" s="19">
        <f t="shared" si="11"/>
        <v>0</v>
      </c>
    </row>
    <row r="32" spans="1:26" s="24" customFormat="1" hidden="1" outlineLevel="1" x14ac:dyDescent="0.3">
      <c r="A32" s="44"/>
      <c r="B32" s="11" t="str">
        <f>CONCATENATE("          ", "5300", " - ", "COG$ OFFSET")</f>
        <v xml:space="preserve">          5300 - COG$ OFFSET</v>
      </c>
      <c r="C32" s="11"/>
      <c r="D32" s="3">
        <v>125411.41</v>
      </c>
      <c r="E32" s="3"/>
      <c r="F32" s="19">
        <f t="shared" si="4"/>
        <v>0.56876382040635065</v>
      </c>
      <c r="G32" s="3"/>
      <c r="H32" s="3"/>
      <c r="I32" s="3"/>
      <c r="J32" s="19">
        <f t="shared" si="5"/>
        <v>0</v>
      </c>
      <c r="K32" s="3"/>
      <c r="L32" s="3">
        <f t="shared" si="6"/>
        <v>125411.41</v>
      </c>
      <c r="M32" s="3"/>
      <c r="N32" s="19">
        <f t="shared" si="7"/>
        <v>0</v>
      </c>
      <c r="O32" s="11"/>
      <c r="P32" s="3">
        <v>125411.41</v>
      </c>
      <c r="Q32" s="3"/>
      <c r="R32" s="19">
        <f t="shared" si="8"/>
        <v>0.56876382040635065</v>
      </c>
      <c r="S32" s="3"/>
      <c r="T32" s="3"/>
      <c r="U32" s="3"/>
      <c r="V32" s="19">
        <f t="shared" si="9"/>
        <v>0</v>
      </c>
      <c r="W32" s="3"/>
      <c r="X32" s="3">
        <f t="shared" si="10"/>
        <v>125411.41</v>
      </c>
      <c r="Y32" s="3"/>
      <c r="Z32" s="19">
        <f t="shared" si="11"/>
        <v>0</v>
      </c>
    </row>
    <row r="33" spans="1:26" s="24" customFormat="1" hidden="1" outlineLevel="1" x14ac:dyDescent="0.3">
      <c r="A33" s="44"/>
      <c r="B33" s="11" t="str">
        <f>CONCATENATE("          ", "5500", " - ", "FREIGHT-IN")</f>
        <v xml:space="preserve">          5500 - FREIGHT-IN</v>
      </c>
      <c r="C33" s="11"/>
      <c r="D33" s="3">
        <v>3585.03</v>
      </c>
      <c r="E33" s="3"/>
      <c r="F33" s="19">
        <f t="shared" si="4"/>
        <v>1.6258770705722701E-2</v>
      </c>
      <c r="G33" s="3"/>
      <c r="H33" s="3"/>
      <c r="I33" s="3"/>
      <c r="J33" s="19">
        <f t="shared" si="5"/>
        <v>0</v>
      </c>
      <c r="K33" s="3"/>
      <c r="L33" s="3">
        <f t="shared" si="6"/>
        <v>3585.03</v>
      </c>
      <c r="M33" s="3"/>
      <c r="N33" s="19">
        <f t="shared" si="7"/>
        <v>0</v>
      </c>
      <c r="O33" s="11"/>
      <c r="P33" s="3">
        <v>3585.03</v>
      </c>
      <c r="Q33" s="3"/>
      <c r="R33" s="19">
        <f t="shared" si="8"/>
        <v>1.6258770705722701E-2</v>
      </c>
      <c r="S33" s="3"/>
      <c r="T33" s="3"/>
      <c r="U33" s="3"/>
      <c r="V33" s="19">
        <f t="shared" si="9"/>
        <v>0</v>
      </c>
      <c r="W33" s="3"/>
      <c r="X33" s="3">
        <f t="shared" si="10"/>
        <v>3585.03</v>
      </c>
      <c r="Y33" s="3"/>
      <c r="Z33" s="19">
        <f t="shared" si="11"/>
        <v>0</v>
      </c>
    </row>
    <row r="34" spans="1:26" s="24" customFormat="1" hidden="1" outlineLevel="1" x14ac:dyDescent="0.3">
      <c r="A34" s="44"/>
      <c r="B34" s="11" t="str">
        <f>CONCATENATE("          ", "5501", " - ", "FREIGHT-IN-NEW TEXT")</f>
        <v xml:space="preserve">          5501 - FREIGHT-IN-NEW TEXT</v>
      </c>
      <c r="C34" s="11"/>
      <c r="D34" s="3">
        <v>0</v>
      </c>
      <c r="E34" s="3"/>
      <c r="F34" s="19">
        <f t="shared" si="4"/>
        <v>0</v>
      </c>
      <c r="G34" s="3"/>
      <c r="H34" s="3"/>
      <c r="I34" s="3"/>
      <c r="J34" s="19">
        <f t="shared" si="5"/>
        <v>0</v>
      </c>
      <c r="K34" s="3"/>
      <c r="L34" s="3">
        <f t="shared" si="6"/>
        <v>0</v>
      </c>
      <c r="M34" s="3"/>
      <c r="N34" s="19">
        <f t="shared" si="7"/>
        <v>0</v>
      </c>
      <c r="O34" s="11"/>
      <c r="P34" s="3">
        <v>0</v>
      </c>
      <c r="Q34" s="3"/>
      <c r="R34" s="19">
        <f t="shared" si="8"/>
        <v>0</v>
      </c>
      <c r="S34" s="3"/>
      <c r="T34" s="3"/>
      <c r="U34" s="3"/>
      <c r="V34" s="19">
        <f t="shared" si="9"/>
        <v>0</v>
      </c>
      <c r="W34" s="3"/>
      <c r="X34" s="3">
        <f t="shared" si="10"/>
        <v>0</v>
      </c>
      <c r="Y34" s="3"/>
      <c r="Z34" s="19">
        <f t="shared" si="11"/>
        <v>0</v>
      </c>
    </row>
    <row r="35" spans="1:26" s="24" customFormat="1" hidden="1" outlineLevel="1" x14ac:dyDescent="0.3">
      <c r="A35" s="44"/>
      <c r="B35" s="11" t="str">
        <f>CONCATENATE("          ", "5502", " - ", "FREIGHT-IN-USED TEXT")</f>
        <v xml:space="preserve">          5502 - FREIGHT-IN-USED TEXT</v>
      </c>
      <c r="C35" s="11"/>
      <c r="D35" s="3">
        <v>0</v>
      </c>
      <c r="E35" s="3"/>
      <c r="F35" s="19">
        <f t="shared" si="4"/>
        <v>0</v>
      </c>
      <c r="G35" s="3"/>
      <c r="H35" s="3"/>
      <c r="I35" s="3"/>
      <c r="J35" s="19">
        <f t="shared" si="5"/>
        <v>0</v>
      </c>
      <c r="K35" s="3"/>
      <c r="L35" s="3">
        <f t="shared" si="6"/>
        <v>0</v>
      </c>
      <c r="M35" s="3"/>
      <c r="N35" s="19">
        <f t="shared" si="7"/>
        <v>0</v>
      </c>
      <c r="O35" s="11"/>
      <c r="P35" s="3">
        <v>0</v>
      </c>
      <c r="Q35" s="3"/>
      <c r="R35" s="19">
        <f t="shared" si="8"/>
        <v>0</v>
      </c>
      <c r="S35" s="3"/>
      <c r="T35" s="3"/>
      <c r="U35" s="3"/>
      <c r="V35" s="19">
        <f t="shared" si="9"/>
        <v>0</v>
      </c>
      <c r="W35" s="3"/>
      <c r="X35" s="3">
        <f t="shared" si="10"/>
        <v>0</v>
      </c>
      <c r="Y35" s="3"/>
      <c r="Z35" s="19">
        <f t="shared" si="11"/>
        <v>0</v>
      </c>
    </row>
    <row r="36" spans="1:26" s="24" customFormat="1" hidden="1" outlineLevel="1" x14ac:dyDescent="0.3">
      <c r="A36" s="44"/>
      <c r="B36" s="11" t="str">
        <f>CONCATENATE("          ", "5518", " - ", "FREIGHT-IN-STUDY GUIDES")</f>
        <v xml:space="preserve">          5518 - FREIGHT-IN-STUDY GUIDES</v>
      </c>
      <c r="C36" s="11"/>
      <c r="D36" s="3">
        <v>0</v>
      </c>
      <c r="E36" s="3"/>
      <c r="F36" s="19">
        <f t="shared" si="4"/>
        <v>0</v>
      </c>
      <c r="G36" s="3"/>
      <c r="H36" s="3"/>
      <c r="I36" s="3"/>
      <c r="J36" s="19">
        <f t="shared" si="5"/>
        <v>0</v>
      </c>
      <c r="K36" s="3"/>
      <c r="L36" s="3">
        <f t="shared" si="6"/>
        <v>0</v>
      </c>
      <c r="M36" s="3"/>
      <c r="N36" s="19">
        <f t="shared" si="7"/>
        <v>0</v>
      </c>
      <c r="O36" s="11"/>
      <c r="P36" s="3">
        <v>0</v>
      </c>
      <c r="Q36" s="3"/>
      <c r="R36" s="19">
        <f t="shared" si="8"/>
        <v>0</v>
      </c>
      <c r="S36" s="3"/>
      <c r="T36" s="3"/>
      <c r="U36" s="3"/>
      <c r="V36" s="19">
        <f t="shared" si="9"/>
        <v>0</v>
      </c>
      <c r="W36" s="3"/>
      <c r="X36" s="3">
        <f t="shared" si="10"/>
        <v>0</v>
      </c>
      <c r="Y36" s="3"/>
      <c r="Z36" s="19">
        <f t="shared" si="11"/>
        <v>0</v>
      </c>
    </row>
    <row r="37" spans="1:26" s="24" customFormat="1" hidden="1" outlineLevel="1" x14ac:dyDescent="0.3">
      <c r="A37" s="44"/>
      <c r="B37" s="11" t="str">
        <f>CONCATENATE("          ", "5540", " - ", "FREIGHT-IN-LOGO CLOTHING")</f>
        <v xml:space="preserve">          5540 - FREIGHT-IN-LOGO CLOTHING</v>
      </c>
      <c r="C37" s="11"/>
      <c r="D37" s="3">
        <v>0</v>
      </c>
      <c r="E37" s="3"/>
      <c r="F37" s="19">
        <f t="shared" si="4"/>
        <v>0</v>
      </c>
      <c r="G37" s="3"/>
      <c r="H37" s="3"/>
      <c r="I37" s="3"/>
      <c r="J37" s="19">
        <f t="shared" si="5"/>
        <v>0</v>
      </c>
      <c r="K37" s="3"/>
      <c r="L37" s="3">
        <f t="shared" si="6"/>
        <v>0</v>
      </c>
      <c r="M37" s="3"/>
      <c r="N37" s="19">
        <f t="shared" si="7"/>
        <v>0</v>
      </c>
      <c r="O37" s="11"/>
      <c r="P37" s="3">
        <v>0</v>
      </c>
      <c r="Q37" s="3"/>
      <c r="R37" s="19">
        <f t="shared" si="8"/>
        <v>0</v>
      </c>
      <c r="S37" s="3"/>
      <c r="T37" s="3"/>
      <c r="U37" s="3"/>
      <c r="V37" s="19">
        <f t="shared" si="9"/>
        <v>0</v>
      </c>
      <c r="W37" s="3"/>
      <c r="X37" s="3">
        <f t="shared" si="10"/>
        <v>0</v>
      </c>
      <c r="Y37" s="3"/>
      <c r="Z37" s="19">
        <f t="shared" si="11"/>
        <v>0</v>
      </c>
    </row>
    <row r="38" spans="1:26" s="24" customFormat="1" hidden="1" outlineLevel="1" x14ac:dyDescent="0.3">
      <c r="A38" s="44"/>
      <c r="B38" s="11" t="str">
        <f>CONCATENATE("          ", "5541", " - ", "FREIGHT-IN-LOGO GIFTS")</f>
        <v xml:space="preserve">          5541 - FREIGHT-IN-LOGO GIFTS</v>
      </c>
      <c r="C38" s="11"/>
      <c r="D38" s="3">
        <v>0</v>
      </c>
      <c r="E38" s="3"/>
      <c r="F38" s="19">
        <f t="shared" si="4"/>
        <v>0</v>
      </c>
      <c r="G38" s="3"/>
      <c r="H38" s="3"/>
      <c r="I38" s="3"/>
      <c r="J38" s="19">
        <f t="shared" si="5"/>
        <v>0</v>
      </c>
      <c r="K38" s="3"/>
      <c r="L38" s="3">
        <f t="shared" si="6"/>
        <v>0</v>
      </c>
      <c r="M38" s="3"/>
      <c r="N38" s="19">
        <f t="shared" si="7"/>
        <v>0</v>
      </c>
      <c r="O38" s="11"/>
      <c r="P38" s="3">
        <v>0</v>
      </c>
      <c r="Q38" s="3"/>
      <c r="R38" s="19">
        <f t="shared" si="8"/>
        <v>0</v>
      </c>
      <c r="S38" s="3"/>
      <c r="T38" s="3"/>
      <c r="U38" s="3"/>
      <c r="V38" s="19">
        <f t="shared" si="9"/>
        <v>0</v>
      </c>
      <c r="W38" s="3"/>
      <c r="X38" s="3">
        <f t="shared" si="10"/>
        <v>0</v>
      </c>
      <c r="Y38" s="3"/>
      <c r="Z38" s="19">
        <f t="shared" si="11"/>
        <v>0</v>
      </c>
    </row>
    <row r="39" spans="1:26" s="24" customFormat="1" hidden="1" outlineLevel="1" x14ac:dyDescent="0.3">
      <c r="A39" s="44"/>
      <c r="B39" s="11" t="str">
        <f>CONCATENATE("          ", "5542", " - ", "FREIGHT-IN-EVERYDAY GIFTS")</f>
        <v xml:space="preserve">          5542 - FREIGHT-IN-EVERYDAY GIFTS</v>
      </c>
      <c r="C39" s="11"/>
      <c r="D39" s="3">
        <v>0</v>
      </c>
      <c r="E39" s="3"/>
      <c r="F39" s="19">
        <f t="shared" si="4"/>
        <v>0</v>
      </c>
      <c r="G39" s="3"/>
      <c r="H39" s="3"/>
      <c r="I39" s="3"/>
      <c r="J39" s="19">
        <f t="shared" si="5"/>
        <v>0</v>
      </c>
      <c r="K39" s="3"/>
      <c r="L39" s="3">
        <f t="shared" si="6"/>
        <v>0</v>
      </c>
      <c r="M39" s="3"/>
      <c r="N39" s="19">
        <f t="shared" si="7"/>
        <v>0</v>
      </c>
      <c r="O39" s="11"/>
      <c r="P39" s="3">
        <v>0</v>
      </c>
      <c r="Q39" s="3"/>
      <c r="R39" s="19">
        <f t="shared" si="8"/>
        <v>0</v>
      </c>
      <c r="S39" s="3"/>
      <c r="T39" s="3"/>
      <c r="U39" s="3"/>
      <c r="V39" s="19">
        <f t="shared" si="9"/>
        <v>0</v>
      </c>
      <c r="W39" s="3"/>
      <c r="X39" s="3">
        <f t="shared" si="10"/>
        <v>0</v>
      </c>
      <c r="Y39" s="3"/>
      <c r="Z39" s="19">
        <f t="shared" si="11"/>
        <v>0</v>
      </c>
    </row>
    <row r="40" spans="1:26" s="24" customFormat="1" hidden="1" outlineLevel="1" x14ac:dyDescent="0.3">
      <c r="A40" s="44"/>
      <c r="B40" s="11" t="str">
        <f>CONCATENATE("          ", "5544", " - ", "FREIGHT-IN-ACCESSORIES")</f>
        <v xml:space="preserve">          5544 - FREIGHT-IN-ACCESSORIES</v>
      </c>
      <c r="C40" s="11"/>
      <c r="D40" s="3">
        <v>0</v>
      </c>
      <c r="E40" s="3"/>
      <c r="F40" s="19">
        <f t="shared" si="4"/>
        <v>0</v>
      </c>
      <c r="G40" s="3"/>
      <c r="H40" s="3"/>
      <c r="I40" s="3"/>
      <c r="J40" s="19">
        <f t="shared" si="5"/>
        <v>0</v>
      </c>
      <c r="K40" s="3"/>
      <c r="L40" s="3">
        <f t="shared" si="6"/>
        <v>0</v>
      </c>
      <c r="M40" s="3"/>
      <c r="N40" s="19">
        <f t="shared" si="7"/>
        <v>0</v>
      </c>
      <c r="O40" s="11"/>
      <c r="P40" s="3">
        <v>0</v>
      </c>
      <c r="Q40" s="3"/>
      <c r="R40" s="19">
        <f t="shared" si="8"/>
        <v>0</v>
      </c>
      <c r="S40" s="3"/>
      <c r="T40" s="3"/>
      <c r="U40" s="3"/>
      <c r="V40" s="19">
        <f t="shared" si="9"/>
        <v>0</v>
      </c>
      <c r="W40" s="3"/>
      <c r="X40" s="3">
        <f t="shared" si="10"/>
        <v>0</v>
      </c>
      <c r="Y40" s="3"/>
      <c r="Z40" s="19">
        <f t="shared" si="11"/>
        <v>0</v>
      </c>
    </row>
    <row r="41" spans="1:26" s="24" customFormat="1" hidden="1" outlineLevel="1" x14ac:dyDescent="0.3">
      <c r="A41" s="44"/>
      <c r="B41" s="11" t="str">
        <f>CONCATENATE("          ", "5545", " - ", "FREIGHT-IN-SPECIAL ORDERS")</f>
        <v xml:space="preserve">          5545 - FREIGHT-IN-SPECIAL ORDERS</v>
      </c>
      <c r="C41" s="11"/>
      <c r="D41" s="3">
        <v>0</v>
      </c>
      <c r="E41" s="3"/>
      <c r="F41" s="19">
        <f t="shared" si="4"/>
        <v>0</v>
      </c>
      <c r="G41" s="3"/>
      <c r="H41" s="3"/>
      <c r="I41" s="3"/>
      <c r="J41" s="19">
        <f t="shared" si="5"/>
        <v>0</v>
      </c>
      <c r="K41" s="3"/>
      <c r="L41" s="3">
        <f t="shared" si="6"/>
        <v>0</v>
      </c>
      <c r="M41" s="3"/>
      <c r="N41" s="19">
        <f t="shared" si="7"/>
        <v>0</v>
      </c>
      <c r="O41" s="11"/>
      <c r="P41" s="3">
        <v>0</v>
      </c>
      <c r="Q41" s="3"/>
      <c r="R41" s="19">
        <f t="shared" si="8"/>
        <v>0</v>
      </c>
      <c r="S41" s="3"/>
      <c r="T41" s="3"/>
      <c r="U41" s="3"/>
      <c r="V41" s="19">
        <f t="shared" si="9"/>
        <v>0</v>
      </c>
      <c r="W41" s="3"/>
      <c r="X41" s="3">
        <f t="shared" si="10"/>
        <v>0</v>
      </c>
      <c r="Y41" s="3"/>
      <c r="Z41" s="19">
        <f t="shared" si="11"/>
        <v>0</v>
      </c>
    </row>
    <row r="42" spans="1:26" x14ac:dyDescent="0.3">
      <c r="A42" s="9"/>
      <c r="B42" s="10"/>
      <c r="C42" s="10"/>
      <c r="D42" s="2"/>
      <c r="E42" s="2"/>
      <c r="F42" s="6"/>
      <c r="G42" s="2"/>
      <c r="H42" s="2"/>
      <c r="I42" s="2"/>
      <c r="J42" s="6"/>
      <c r="K42" s="2"/>
      <c r="L42" s="2"/>
      <c r="M42" s="2"/>
      <c r="N42" s="6"/>
      <c r="O42" s="10"/>
      <c r="P42" s="2"/>
      <c r="Q42" s="2"/>
      <c r="R42" s="6"/>
      <c r="S42" s="2"/>
      <c r="T42" s="2"/>
      <c r="U42" s="2"/>
      <c r="V42" s="6"/>
      <c r="W42" s="2"/>
      <c r="X42" s="2"/>
      <c r="Y42" s="2"/>
      <c r="Z42" s="6"/>
    </row>
    <row r="43" spans="1:26" s="23" customFormat="1" x14ac:dyDescent="0.3">
      <c r="A43" s="10"/>
      <c r="B43" s="26" t="s">
        <v>108</v>
      </c>
      <c r="C43" s="26"/>
      <c r="D43" s="21">
        <f>D12-D19</f>
        <v>93076.780000000028</v>
      </c>
      <c r="E43" s="13"/>
      <c r="F43" s="22">
        <f>IF(D$12=0,0,D43/D$12)</f>
        <v>0.42212032369240904</v>
      </c>
      <c r="G43" s="13"/>
      <c r="H43" s="21">
        <f>H12-H19</f>
        <v>126437</v>
      </c>
      <c r="I43" s="13"/>
      <c r="J43" s="22">
        <f>IF(H$12=0,0,H43/H$12)</f>
        <v>0.38287209334015682</v>
      </c>
      <c r="K43" s="16"/>
      <c r="L43" s="21">
        <f>+D43-H43</f>
        <v>-33360.219999999972</v>
      </c>
      <c r="M43" s="16"/>
      <c r="N43" s="22">
        <f>IF(H43=0,0,L43/H43)</f>
        <v>-0.2638485569888559</v>
      </c>
      <c r="O43" s="25"/>
      <c r="P43" s="21">
        <f>P12-P19</f>
        <v>93076.780000000028</v>
      </c>
      <c r="Q43" s="13"/>
      <c r="R43" s="22">
        <f>IF(P$12=0,0,P43/P$12)</f>
        <v>0.42212032369240904</v>
      </c>
      <c r="S43" s="13"/>
      <c r="T43" s="21">
        <f>T12-T19</f>
        <v>126437</v>
      </c>
      <c r="U43" s="13"/>
      <c r="V43" s="22">
        <f>IF(T$12=0,0,T43/T$12)</f>
        <v>0.38287209334015682</v>
      </c>
      <c r="W43" s="16"/>
      <c r="X43" s="21">
        <f>+P43-T43</f>
        <v>-33360.219999999972</v>
      </c>
      <c r="Y43" s="16"/>
      <c r="Z43" s="22">
        <f>IF(T43=0,0,X43/T43)</f>
        <v>-0.2638485569888559</v>
      </c>
    </row>
    <row r="44" spans="1:26" x14ac:dyDescent="0.3">
      <c r="A44" s="9"/>
      <c r="B44" s="10"/>
      <c r="C44" s="9"/>
      <c r="D44" s="1"/>
      <c r="E44" s="1"/>
      <c r="F44" s="5"/>
      <c r="G44" s="1"/>
      <c r="H44" s="1"/>
      <c r="I44" s="1"/>
      <c r="J44" s="5"/>
      <c r="K44" s="1"/>
      <c r="L44" s="1"/>
      <c r="M44" s="1"/>
      <c r="N44" s="5"/>
      <c r="O44" s="36"/>
      <c r="P44" s="1"/>
      <c r="Q44" s="1"/>
      <c r="R44" s="5"/>
      <c r="S44" s="1"/>
      <c r="T44" s="1"/>
      <c r="U44" s="1"/>
      <c r="V44" s="5"/>
      <c r="W44" s="1"/>
      <c r="X44" s="1"/>
      <c r="Y44" s="1"/>
      <c r="Z44" s="5"/>
    </row>
    <row r="45" spans="1:26" s="23" customFormat="1" x14ac:dyDescent="0.3">
      <c r="A45" s="10"/>
      <c r="B45" s="25" t="s">
        <v>295</v>
      </c>
      <c r="C45" s="10"/>
      <c r="D45" s="20">
        <f>SUM(OSRRefD22x_0)</f>
        <v>375360.22999999992</v>
      </c>
      <c r="E45" s="20"/>
      <c r="F45" s="32">
        <f t="shared" ref="F45:F56" si="12">IF(D$12=0,0,D45/D$12)</f>
        <v>1.7023277104005641</v>
      </c>
      <c r="G45" s="20"/>
      <c r="H45" s="20">
        <f>SUM(OSRRefH22x_0)</f>
        <v>426492.25052191038</v>
      </c>
      <c r="I45" s="20"/>
      <c r="J45" s="32">
        <f t="shared" ref="J45:J56" si="13">IF(H$12=0,0,H45/H$12)</f>
        <v>1.2914888897291015</v>
      </c>
      <c r="K45" s="4"/>
      <c r="L45" s="20">
        <f t="shared" ref="L45:L56" si="14">+D45-H45</f>
        <v>-51132.020521910454</v>
      </c>
      <c r="M45" s="4"/>
      <c r="N45" s="32">
        <f t="shared" ref="N45:N56" si="15">IF(H45=0,0,L45/H45)</f>
        <v>-0.11988968254250525</v>
      </c>
      <c r="O45" s="10"/>
      <c r="P45" s="20">
        <f>SUM(OSRRefP22x_0)</f>
        <v>375360.22999999992</v>
      </c>
      <c r="Q45" s="20"/>
      <c r="R45" s="32">
        <f t="shared" ref="R45:R56" si="16">IF(P$12=0,0,P45/P$12)</f>
        <v>1.7023277104005641</v>
      </c>
      <c r="S45" s="20"/>
      <c r="T45" s="20">
        <f>SUM(OSRRefT22x_0)</f>
        <v>426492.25052191038</v>
      </c>
      <c r="U45" s="20"/>
      <c r="V45" s="32">
        <f t="shared" ref="V45:V56" si="17">IF(T$12=0,0,T45/T$12)</f>
        <v>1.2914888897291015</v>
      </c>
      <c r="W45" s="4"/>
      <c r="X45" s="20">
        <f t="shared" ref="X45:X56" si="18">+P45-T45</f>
        <v>-51132.020521910454</v>
      </c>
      <c r="Y45" s="4"/>
      <c r="Z45" s="32">
        <f t="shared" ref="Z45:Z56" si="19">IF(T45=0,0,X45/T45)</f>
        <v>-0.11988968254250525</v>
      </c>
    </row>
    <row r="46" spans="1:26" s="27" customFormat="1" outlineLevel="1" collapsed="1" x14ac:dyDescent="0.3">
      <c r="A46" s="28"/>
      <c r="B46" s="14" t="str">
        <f>CONCATENATE("     ","*Benefits                                         ")</f>
        <v xml:space="preserve">     *Benefits                                         </v>
      </c>
      <c r="C46" s="14"/>
      <c r="D46" s="1">
        <f>SUM(OSRRefD22_0x_0)</f>
        <v>47426.359999999993</v>
      </c>
      <c r="E46" s="1"/>
      <c r="F46" s="5">
        <f t="shared" si="12"/>
        <v>0.21508726918521151</v>
      </c>
      <c r="G46" s="1"/>
      <c r="H46" s="1">
        <f>SUM(OSRRefH22_0x_0)</f>
        <v>60419.621474958345</v>
      </c>
      <c r="I46" s="1"/>
      <c r="J46" s="5">
        <f t="shared" si="13"/>
        <v>0.1829605807867728</v>
      </c>
      <c r="K46" s="1"/>
      <c r="L46" s="1">
        <f t="shared" si="14"/>
        <v>-12993.261474958352</v>
      </c>
      <c r="M46" s="1"/>
      <c r="N46" s="5">
        <f t="shared" si="15"/>
        <v>-0.21505036208052988</v>
      </c>
      <c r="O46" s="14"/>
      <c r="P46" s="1">
        <f>SUM(OSRRefP22_0x_0)</f>
        <v>47426.359999999993</v>
      </c>
      <c r="Q46" s="1"/>
      <c r="R46" s="5">
        <f t="shared" si="16"/>
        <v>0.21508726918521151</v>
      </c>
      <c r="S46" s="1"/>
      <c r="T46" s="1">
        <f>SUM(OSRRefT22_0x_0)</f>
        <v>60419.621474958345</v>
      </c>
      <c r="U46" s="1"/>
      <c r="V46" s="5">
        <f t="shared" si="17"/>
        <v>0.1829605807867728</v>
      </c>
      <c r="W46" s="1"/>
      <c r="X46" s="1">
        <f t="shared" si="18"/>
        <v>-12993.261474958352</v>
      </c>
      <c r="Y46" s="1"/>
      <c r="Z46" s="5">
        <f t="shared" si="19"/>
        <v>-0.21505036208052988</v>
      </c>
    </row>
    <row r="47" spans="1:26" s="24" customFormat="1" hidden="1" outlineLevel="2" x14ac:dyDescent="0.3">
      <c r="A47" s="29"/>
      <c r="B47" s="11" t="str">
        <f>CONCATENATE("          ", "6111", " - ", "F.I.C.A.")</f>
        <v xml:space="preserve">          6111 - F.I.C.A.</v>
      </c>
      <c r="C47" s="11"/>
      <c r="D47" s="8">
        <v>9628.01</v>
      </c>
      <c r="E47" s="3"/>
      <c r="F47" s="7">
        <f t="shared" si="12"/>
        <v>4.3664796931240528E-2</v>
      </c>
      <c r="G47" s="3"/>
      <c r="H47" s="8">
        <v>12954.7861977632</v>
      </c>
      <c r="I47" s="3"/>
      <c r="J47" s="7">
        <f t="shared" si="13"/>
        <v>3.9229229658341837E-2</v>
      </c>
      <c r="K47" s="3"/>
      <c r="L47" s="8">
        <f t="shared" si="14"/>
        <v>-3326.7761977631999</v>
      </c>
      <c r="M47" s="3"/>
      <c r="N47" s="7">
        <f t="shared" si="15"/>
        <v>-0.2567990043971245</v>
      </c>
      <c r="O47" s="11"/>
      <c r="P47" s="8">
        <v>9628.01</v>
      </c>
      <c r="Q47" s="3"/>
      <c r="R47" s="7">
        <f t="shared" si="16"/>
        <v>4.3664796931240528E-2</v>
      </c>
      <c r="S47" s="3"/>
      <c r="T47" s="8">
        <v>12954.7861977632</v>
      </c>
      <c r="U47" s="3"/>
      <c r="V47" s="7">
        <f t="shared" si="17"/>
        <v>3.9229229658341837E-2</v>
      </c>
      <c r="W47" s="3"/>
      <c r="X47" s="8">
        <f t="shared" si="18"/>
        <v>-3326.7761977631999</v>
      </c>
      <c r="Y47" s="3"/>
      <c r="Z47" s="7">
        <f t="shared" si="19"/>
        <v>-0.2567990043971245</v>
      </c>
    </row>
    <row r="48" spans="1:26" s="24" customFormat="1" hidden="1" outlineLevel="2" x14ac:dyDescent="0.3">
      <c r="A48" s="29"/>
      <c r="B48" s="11" t="str">
        <f>CONCATENATE("          ", "6112", " - ", "COMPENSATION INSURANCE")</f>
        <v xml:space="preserve">          6112 - COMPENSATION INSURANCE</v>
      </c>
      <c r="C48" s="11"/>
      <c r="D48" s="8">
        <v>1973.41</v>
      </c>
      <c r="E48" s="3"/>
      <c r="F48" s="7">
        <f t="shared" si="12"/>
        <v>8.9497774630561636E-3</v>
      </c>
      <c r="G48" s="3"/>
      <c r="H48" s="8">
        <v>3370.4605135807701</v>
      </c>
      <c r="I48" s="3"/>
      <c r="J48" s="7">
        <f t="shared" si="13"/>
        <v>1.0206310434089779E-2</v>
      </c>
      <c r="K48" s="3"/>
      <c r="L48" s="8">
        <f t="shared" si="14"/>
        <v>-1397.05051358077</v>
      </c>
      <c r="M48" s="3"/>
      <c r="N48" s="7">
        <f t="shared" si="15"/>
        <v>-0.41449840695405343</v>
      </c>
      <c r="O48" s="11"/>
      <c r="P48" s="8">
        <v>1973.41</v>
      </c>
      <c r="Q48" s="3"/>
      <c r="R48" s="7">
        <f t="shared" si="16"/>
        <v>8.9497774630561636E-3</v>
      </c>
      <c r="S48" s="3"/>
      <c r="T48" s="8">
        <v>3370.4605135807701</v>
      </c>
      <c r="U48" s="3"/>
      <c r="V48" s="7">
        <f t="shared" si="17"/>
        <v>1.0206310434089779E-2</v>
      </c>
      <c r="W48" s="3"/>
      <c r="X48" s="8">
        <f t="shared" si="18"/>
        <v>-1397.05051358077</v>
      </c>
      <c r="Y48" s="3"/>
      <c r="Z48" s="7">
        <f t="shared" si="19"/>
        <v>-0.41449840695405343</v>
      </c>
    </row>
    <row r="49" spans="1:26" s="24" customFormat="1" hidden="1" outlineLevel="2" x14ac:dyDescent="0.3">
      <c r="A49" s="29"/>
      <c r="B49" s="11" t="str">
        <f>CONCATENATE("          ", "6113", " - ", "GROUP INSURANCE")</f>
        <v xml:space="preserve">          6113 - GROUP INSURANCE</v>
      </c>
      <c r="C49" s="11"/>
      <c r="D49" s="8">
        <v>17896.5</v>
      </c>
      <c r="E49" s="3"/>
      <c r="F49" s="7">
        <f t="shared" si="12"/>
        <v>8.1163920506931969E-2</v>
      </c>
      <c r="G49" s="3"/>
      <c r="H49" s="8">
        <v>20738.1538461538</v>
      </c>
      <c r="I49" s="3"/>
      <c r="J49" s="7">
        <f t="shared" si="13"/>
        <v>6.2798550860010363E-2</v>
      </c>
      <c r="K49" s="3"/>
      <c r="L49" s="8">
        <f t="shared" si="14"/>
        <v>-2841.6538461538003</v>
      </c>
      <c r="M49" s="3"/>
      <c r="N49" s="7">
        <f t="shared" si="15"/>
        <v>-0.13702540097033888</v>
      </c>
      <c r="O49" s="11"/>
      <c r="P49" s="8">
        <v>17896.5</v>
      </c>
      <c r="Q49" s="3"/>
      <c r="R49" s="7">
        <f t="shared" si="16"/>
        <v>8.1163920506931969E-2</v>
      </c>
      <c r="S49" s="3"/>
      <c r="T49" s="8">
        <v>20738.1538461538</v>
      </c>
      <c r="U49" s="3"/>
      <c r="V49" s="7">
        <f t="shared" si="17"/>
        <v>6.2798550860010363E-2</v>
      </c>
      <c r="W49" s="3"/>
      <c r="X49" s="8">
        <f t="shared" si="18"/>
        <v>-2841.6538461538003</v>
      </c>
      <c r="Y49" s="3"/>
      <c r="Z49" s="7">
        <f t="shared" si="19"/>
        <v>-0.13702540097033888</v>
      </c>
    </row>
    <row r="50" spans="1:26" s="24" customFormat="1" hidden="1" outlineLevel="2" x14ac:dyDescent="0.3">
      <c r="A50" s="29"/>
      <c r="B50" s="11" t="str">
        <f>CONCATENATE("          ", "6114", " - ", "STATE UNEMPLOYMENT INSURANCE")</f>
        <v xml:space="preserve">          6114 - STATE UNEMPLOYMENT INSURANCE</v>
      </c>
      <c r="C50" s="11"/>
      <c r="D50" s="8">
        <v>357.53</v>
      </c>
      <c r="E50" s="3"/>
      <c r="F50" s="7">
        <f t="shared" si="12"/>
        <v>1.621464336537501E-3</v>
      </c>
      <c r="G50" s="3"/>
      <c r="H50" s="8">
        <v>436.35317712403798</v>
      </c>
      <c r="I50" s="3"/>
      <c r="J50" s="7">
        <f t="shared" si="13"/>
        <v>1.3213494021616192E-3</v>
      </c>
      <c r="K50" s="3"/>
      <c r="L50" s="8">
        <f t="shared" si="14"/>
        <v>-78.823177124038011</v>
      </c>
      <c r="M50" s="3"/>
      <c r="N50" s="7">
        <f t="shared" si="15"/>
        <v>-0.18064077737110573</v>
      </c>
      <c r="O50" s="11"/>
      <c r="P50" s="8">
        <v>357.53</v>
      </c>
      <c r="Q50" s="3"/>
      <c r="R50" s="7">
        <f t="shared" si="16"/>
        <v>1.621464336537501E-3</v>
      </c>
      <c r="S50" s="3"/>
      <c r="T50" s="8">
        <v>436.35317712403798</v>
      </c>
      <c r="U50" s="3"/>
      <c r="V50" s="7">
        <f t="shared" si="17"/>
        <v>1.3213494021616192E-3</v>
      </c>
      <c r="W50" s="3"/>
      <c r="X50" s="8">
        <f t="shared" si="18"/>
        <v>-78.823177124038011</v>
      </c>
      <c r="Y50" s="3"/>
      <c r="Z50" s="7">
        <f t="shared" si="19"/>
        <v>-0.18064077737110573</v>
      </c>
    </row>
    <row r="51" spans="1:26" s="24" customFormat="1" hidden="1" outlineLevel="2" x14ac:dyDescent="0.3">
      <c r="A51" s="29"/>
      <c r="B51" s="11" t="str">
        <f>CONCATENATE("          ", "6115", " - ", "P.E.R.S.")</f>
        <v xml:space="preserve">          6115 - P.E.R.S.</v>
      </c>
      <c r="C51" s="11"/>
      <c r="D51" s="8">
        <v>6296.23</v>
      </c>
      <c r="E51" s="3"/>
      <c r="F51" s="7">
        <f t="shared" si="12"/>
        <v>2.8554561574238552E-2</v>
      </c>
      <c r="G51" s="3"/>
      <c r="H51" s="8">
        <v>6593.0874193653799</v>
      </c>
      <c r="I51" s="3"/>
      <c r="J51" s="7">
        <f t="shared" si="13"/>
        <v>1.9964956316798683E-2</v>
      </c>
      <c r="K51" s="3"/>
      <c r="L51" s="8">
        <f t="shared" si="14"/>
        <v>-296.85741936538034</v>
      </c>
      <c r="M51" s="3"/>
      <c r="N51" s="7">
        <f t="shared" si="15"/>
        <v>-4.502555487030907E-2</v>
      </c>
      <c r="O51" s="11"/>
      <c r="P51" s="8">
        <v>6296.23</v>
      </c>
      <c r="Q51" s="3"/>
      <c r="R51" s="7">
        <f t="shared" si="16"/>
        <v>2.8554561574238552E-2</v>
      </c>
      <c r="S51" s="3"/>
      <c r="T51" s="8">
        <v>6593.0874193653799</v>
      </c>
      <c r="U51" s="3"/>
      <c r="V51" s="7">
        <f t="shared" si="17"/>
        <v>1.9964956316798683E-2</v>
      </c>
      <c r="W51" s="3"/>
      <c r="X51" s="8">
        <f t="shared" si="18"/>
        <v>-296.85741936538034</v>
      </c>
      <c r="Y51" s="3"/>
      <c r="Z51" s="7">
        <f t="shared" si="19"/>
        <v>-4.502555487030907E-2</v>
      </c>
    </row>
    <row r="52" spans="1:26" s="24" customFormat="1" hidden="1" outlineLevel="2" x14ac:dyDescent="0.3">
      <c r="A52" s="29"/>
      <c r="B52" s="11" t="str">
        <f>CONCATENATE("          ", "6116", " - ", "EDUCATIONAL BENEFITS")</f>
        <v xml:space="preserve">          6116 - EDUCATIONAL BENEFITS</v>
      </c>
      <c r="C52" s="11"/>
      <c r="D52" s="8"/>
      <c r="E52" s="3"/>
      <c r="F52" s="7">
        <f t="shared" si="12"/>
        <v>0</v>
      </c>
      <c r="G52" s="3"/>
      <c r="H52" s="8">
        <v>0</v>
      </c>
      <c r="I52" s="3"/>
      <c r="J52" s="7">
        <f t="shared" si="13"/>
        <v>0</v>
      </c>
      <c r="K52" s="3"/>
      <c r="L52" s="8">
        <f t="shared" si="14"/>
        <v>0</v>
      </c>
      <c r="M52" s="3"/>
      <c r="N52" s="7">
        <f t="shared" si="15"/>
        <v>0</v>
      </c>
      <c r="O52" s="11"/>
      <c r="P52" s="8"/>
      <c r="Q52" s="3"/>
      <c r="R52" s="7">
        <f t="shared" si="16"/>
        <v>0</v>
      </c>
      <c r="S52" s="3"/>
      <c r="T52" s="8">
        <v>0</v>
      </c>
      <c r="U52" s="3"/>
      <c r="V52" s="7">
        <f t="shared" si="17"/>
        <v>0</v>
      </c>
      <c r="W52" s="3"/>
      <c r="X52" s="8">
        <f t="shared" si="18"/>
        <v>0</v>
      </c>
      <c r="Y52" s="3"/>
      <c r="Z52" s="7">
        <f t="shared" si="19"/>
        <v>0</v>
      </c>
    </row>
    <row r="53" spans="1:26" s="24" customFormat="1" hidden="1" outlineLevel="2" x14ac:dyDescent="0.3">
      <c r="A53" s="29"/>
      <c r="B53" s="11" t="str">
        <f>CONCATENATE("          ", "6117", " - ", "RETIREMENT STAFF HOURLY")</f>
        <v xml:space="preserve">          6117 - RETIREMENT STAFF HOURLY</v>
      </c>
      <c r="C53" s="11"/>
      <c r="D53" s="8">
        <v>552.85</v>
      </c>
      <c r="E53" s="3"/>
      <c r="F53" s="7">
        <f t="shared" si="12"/>
        <v>2.5072764759733659E-3</v>
      </c>
      <c r="G53" s="3"/>
      <c r="H53" s="8"/>
      <c r="I53" s="3"/>
      <c r="J53" s="7">
        <f t="shared" si="13"/>
        <v>0</v>
      </c>
      <c r="K53" s="3"/>
      <c r="L53" s="8">
        <f t="shared" si="14"/>
        <v>552.85</v>
      </c>
      <c r="M53" s="3"/>
      <c r="N53" s="7">
        <f t="shared" si="15"/>
        <v>0</v>
      </c>
      <c r="O53" s="11"/>
      <c r="P53" s="8">
        <v>552.85</v>
      </c>
      <c r="Q53" s="3"/>
      <c r="R53" s="7">
        <f t="shared" si="16"/>
        <v>2.5072764759733659E-3</v>
      </c>
      <c r="S53" s="3"/>
      <c r="T53" s="8"/>
      <c r="U53" s="3"/>
      <c r="V53" s="7">
        <f t="shared" si="17"/>
        <v>0</v>
      </c>
      <c r="W53" s="3"/>
      <c r="X53" s="8">
        <f t="shared" si="18"/>
        <v>552.85</v>
      </c>
      <c r="Y53" s="3"/>
      <c r="Z53" s="7">
        <f t="shared" si="19"/>
        <v>0</v>
      </c>
    </row>
    <row r="54" spans="1:26" s="24" customFormat="1" hidden="1" outlineLevel="2" x14ac:dyDescent="0.3">
      <c r="A54" s="29"/>
      <c r="B54" s="11" t="str">
        <f>CONCATENATE("          ", "6118", " - ", "VACATION")</f>
        <v xml:space="preserve">          6118 - VACATION</v>
      </c>
      <c r="C54" s="11"/>
      <c r="D54" s="8">
        <v>5400.79</v>
      </c>
      <c r="E54" s="3"/>
      <c r="F54" s="7">
        <f t="shared" si="12"/>
        <v>2.4493576410730206E-2</v>
      </c>
      <c r="G54" s="3"/>
      <c r="H54" s="8">
        <v>5991.3451004519202</v>
      </c>
      <c r="I54" s="3"/>
      <c r="J54" s="7">
        <f t="shared" si="13"/>
        <v>1.8142781310323076E-2</v>
      </c>
      <c r="K54" s="3"/>
      <c r="L54" s="8">
        <f t="shared" si="14"/>
        <v>-590.55510045192023</v>
      </c>
      <c r="M54" s="3"/>
      <c r="N54" s="7">
        <f t="shared" si="15"/>
        <v>-9.8568032812427264E-2</v>
      </c>
      <c r="O54" s="11"/>
      <c r="P54" s="8">
        <v>5400.79</v>
      </c>
      <c r="Q54" s="3"/>
      <c r="R54" s="7">
        <f t="shared" si="16"/>
        <v>2.4493576410730206E-2</v>
      </c>
      <c r="S54" s="3"/>
      <c r="T54" s="8">
        <v>5991.3451004519202</v>
      </c>
      <c r="U54" s="3"/>
      <c r="V54" s="7">
        <f t="shared" si="17"/>
        <v>1.8142781310323076E-2</v>
      </c>
      <c r="W54" s="3"/>
      <c r="X54" s="8">
        <f t="shared" si="18"/>
        <v>-590.55510045192023</v>
      </c>
      <c r="Y54" s="3"/>
      <c r="Z54" s="7">
        <f t="shared" si="19"/>
        <v>-9.8568032812427264E-2</v>
      </c>
    </row>
    <row r="55" spans="1:26" s="24" customFormat="1" hidden="1" outlineLevel="2" x14ac:dyDescent="0.3">
      <c r="A55" s="29"/>
      <c r="B55" s="11" t="str">
        <f>CONCATENATE("          ", "6119", " - ", "SICK LEAVE")</f>
        <v xml:space="preserve">          6119 - SICK LEAVE</v>
      </c>
      <c r="C55" s="11"/>
      <c r="D55" s="8">
        <v>3886.05</v>
      </c>
      <c r="E55" s="3"/>
      <c r="F55" s="7">
        <f t="shared" si="12"/>
        <v>1.7623951794259379E-2</v>
      </c>
      <c r="G55" s="3"/>
      <c r="H55" s="8">
        <v>7885.4352205192299</v>
      </c>
      <c r="I55" s="3"/>
      <c r="J55" s="7">
        <f t="shared" si="13"/>
        <v>2.3878398647376942E-2</v>
      </c>
      <c r="K55" s="3"/>
      <c r="L55" s="8">
        <f t="shared" si="14"/>
        <v>-3999.3852205192297</v>
      </c>
      <c r="M55" s="3"/>
      <c r="N55" s="7">
        <f t="shared" si="15"/>
        <v>-0.5071863643127974</v>
      </c>
      <c r="O55" s="11"/>
      <c r="P55" s="8">
        <v>3886.05</v>
      </c>
      <c r="Q55" s="3"/>
      <c r="R55" s="7">
        <f t="shared" si="16"/>
        <v>1.7623951794259379E-2</v>
      </c>
      <c r="S55" s="3"/>
      <c r="T55" s="8">
        <v>7885.4352205192299</v>
      </c>
      <c r="U55" s="3"/>
      <c r="V55" s="7">
        <f t="shared" si="17"/>
        <v>2.3878398647376942E-2</v>
      </c>
      <c r="W55" s="3"/>
      <c r="X55" s="8">
        <f t="shared" si="18"/>
        <v>-3999.3852205192297</v>
      </c>
      <c r="Y55" s="3"/>
      <c r="Z55" s="7">
        <f t="shared" si="19"/>
        <v>-0.5071863643127974</v>
      </c>
    </row>
    <row r="56" spans="1:26" s="24" customFormat="1" hidden="1" outlineLevel="2" x14ac:dyDescent="0.3">
      <c r="A56" s="29"/>
      <c r="B56" s="11" t="str">
        <f>CONCATENATE("          ", "6156", " - ", "EMPLOYEE MEALS")</f>
        <v xml:space="preserve">          6156 - EMPLOYEE MEALS</v>
      </c>
      <c r="C56" s="11"/>
      <c r="D56" s="8">
        <v>1434.99</v>
      </c>
      <c r="E56" s="3"/>
      <c r="F56" s="7">
        <f t="shared" si="12"/>
        <v>6.5079436922438642E-3</v>
      </c>
      <c r="G56" s="3"/>
      <c r="H56" s="8">
        <v>2450</v>
      </c>
      <c r="I56" s="3"/>
      <c r="J56" s="7">
        <f t="shared" si="13"/>
        <v>7.4190041576704929E-3</v>
      </c>
      <c r="K56" s="3"/>
      <c r="L56" s="8">
        <f t="shared" si="14"/>
        <v>-1015.01</v>
      </c>
      <c r="M56" s="3"/>
      <c r="N56" s="7">
        <f t="shared" si="15"/>
        <v>-0.41428979591836734</v>
      </c>
      <c r="O56" s="11"/>
      <c r="P56" s="8">
        <v>1434.99</v>
      </c>
      <c r="Q56" s="3"/>
      <c r="R56" s="7">
        <f t="shared" si="16"/>
        <v>6.5079436922438642E-3</v>
      </c>
      <c r="S56" s="3"/>
      <c r="T56" s="8">
        <v>2450</v>
      </c>
      <c r="U56" s="3"/>
      <c r="V56" s="7">
        <f t="shared" si="17"/>
        <v>7.4190041576704929E-3</v>
      </c>
      <c r="W56" s="3"/>
      <c r="X56" s="8">
        <f t="shared" si="18"/>
        <v>-1015.01</v>
      </c>
      <c r="Y56" s="3"/>
      <c r="Z56" s="7">
        <f t="shared" si="19"/>
        <v>-0.41428979591836734</v>
      </c>
    </row>
    <row r="57" spans="1:26" s="27" customFormat="1" outlineLevel="1" collapsed="1" x14ac:dyDescent="0.3">
      <c r="A57" s="28"/>
      <c r="B57" s="14" t="str">
        <f>CONCATENATE("     ","*Payroll                                          ")</f>
        <v xml:space="preserve">     *Payroll                                          </v>
      </c>
      <c r="C57" s="14"/>
      <c r="D57" s="1">
        <f>SUM(OSRRefD22_1x_0)</f>
        <v>166272.59000000003</v>
      </c>
      <c r="E57" s="1"/>
      <c r="F57" s="5">
        <f t="shared" ref="F57:F67" si="20">IF(D$12=0,0,D57/D$12)</f>
        <v>0.75407679027975827</v>
      </c>
      <c r="G57" s="1"/>
      <c r="H57" s="1">
        <f>SUM(OSRRefH22_1x_0)</f>
        <v>197390.62904695203</v>
      </c>
      <c r="I57" s="1"/>
      <c r="J57" s="5">
        <f t="shared" ref="J57:J67" si="21">IF(H$12=0,0,H57/H$12)</f>
        <v>0.59773138676919635</v>
      </c>
      <c r="K57" s="1"/>
      <c r="L57" s="1">
        <f t="shared" ref="L57:L67" si="22">+D57-H57</f>
        <v>-31118.039046952006</v>
      </c>
      <c r="M57" s="1"/>
      <c r="N57" s="5">
        <f t="shared" ref="N57:N67" si="23">IF(H57=0,0,L57/H57)</f>
        <v>-0.15764699265206841</v>
      </c>
      <c r="O57" s="14"/>
      <c r="P57" s="1">
        <f>SUM(OSRRefP22_1x_0)</f>
        <v>166272.59000000003</v>
      </c>
      <c r="Q57" s="1"/>
      <c r="R57" s="5">
        <f t="shared" ref="R57:R67" si="24">IF(P$12=0,0,P57/P$12)</f>
        <v>0.75407679027975827</v>
      </c>
      <c r="S57" s="1"/>
      <c r="T57" s="1">
        <f>SUM(OSRRefT22_1x_0)</f>
        <v>197390.62904695203</v>
      </c>
      <c r="U57" s="1"/>
      <c r="V57" s="5">
        <f t="shared" ref="V57:V67" si="25">IF(T$12=0,0,T57/T$12)</f>
        <v>0.59773138676919635</v>
      </c>
      <c r="W57" s="1"/>
      <c r="X57" s="1">
        <f t="shared" ref="X57:X67" si="26">+P57-T57</f>
        <v>-31118.039046952006</v>
      </c>
      <c r="Y57" s="1"/>
      <c r="Z57" s="5">
        <f t="shared" ref="Z57:Z67" si="27">IF(T57=0,0,X57/T57)</f>
        <v>-0.15764699265206841</v>
      </c>
    </row>
    <row r="58" spans="1:26" s="24" customFormat="1" hidden="1" outlineLevel="2" x14ac:dyDescent="0.3">
      <c r="A58" s="29"/>
      <c r="B58" s="11" t="str">
        <f>CONCATENATE("          ", "6001", " - ", "ADMINISTRATIVE SALARIES")</f>
        <v xml:space="preserve">          6001 - ADMINISTRATIVE SALARIES</v>
      </c>
      <c r="C58" s="11"/>
      <c r="D58" s="8">
        <v>5599.1</v>
      </c>
      <c r="E58" s="3"/>
      <c r="F58" s="7">
        <f t="shared" si="20"/>
        <v>2.5392948750334581E-2</v>
      </c>
      <c r="G58" s="3"/>
      <c r="H58" s="8">
        <v>5174.7596153846198</v>
      </c>
      <c r="I58" s="3"/>
      <c r="J58" s="7">
        <f t="shared" si="21"/>
        <v>1.5670025755707695E-2</v>
      </c>
      <c r="K58" s="3"/>
      <c r="L58" s="8">
        <f t="shared" si="22"/>
        <v>424.34038461538057</v>
      </c>
      <c r="M58" s="3"/>
      <c r="N58" s="7">
        <f t="shared" si="23"/>
        <v>8.2001951038230214E-2</v>
      </c>
      <c r="O58" s="11"/>
      <c r="P58" s="8">
        <v>5599.1</v>
      </c>
      <c r="Q58" s="3"/>
      <c r="R58" s="7">
        <f t="shared" si="24"/>
        <v>2.5392948750334581E-2</v>
      </c>
      <c r="S58" s="3"/>
      <c r="T58" s="8">
        <v>5174.7596153846198</v>
      </c>
      <c r="U58" s="3"/>
      <c r="V58" s="7">
        <f t="shared" si="25"/>
        <v>1.5670025755707695E-2</v>
      </c>
      <c r="W58" s="3"/>
      <c r="X58" s="8">
        <f t="shared" si="26"/>
        <v>424.34038461538057</v>
      </c>
      <c r="Y58" s="3"/>
      <c r="Z58" s="7">
        <f t="shared" si="27"/>
        <v>8.2001951038230214E-2</v>
      </c>
    </row>
    <row r="59" spans="1:26" s="24" customFormat="1" hidden="1" outlineLevel="2" x14ac:dyDescent="0.3">
      <c r="A59" s="29"/>
      <c r="B59" s="11" t="str">
        <f>CONCATENATE("          ", "6002", " - ", "STAFF SALARIES")</f>
        <v xml:space="preserve">          6002 - STAFF SALARIES</v>
      </c>
      <c r="C59" s="11"/>
      <c r="D59" s="8">
        <v>68536.740000000005</v>
      </c>
      <c r="E59" s="3"/>
      <c r="F59" s="7">
        <f t="shared" si="20"/>
        <v>0.31082672685520996</v>
      </c>
      <c r="G59" s="3"/>
      <c r="H59" s="8">
        <v>63455.438471567402</v>
      </c>
      <c r="I59" s="3"/>
      <c r="J59" s="7">
        <f t="shared" si="21"/>
        <v>0.19215353544790315</v>
      </c>
      <c r="K59" s="3"/>
      <c r="L59" s="8">
        <f t="shared" si="22"/>
        <v>5081.3015284326029</v>
      </c>
      <c r="M59" s="3"/>
      <c r="N59" s="7">
        <f t="shared" si="23"/>
        <v>8.0076690837293504E-2</v>
      </c>
      <c r="O59" s="11"/>
      <c r="P59" s="8">
        <v>68536.740000000005</v>
      </c>
      <c r="Q59" s="3"/>
      <c r="R59" s="7">
        <f t="shared" si="24"/>
        <v>0.31082672685520996</v>
      </c>
      <c r="S59" s="3"/>
      <c r="T59" s="8">
        <v>63455.438471567402</v>
      </c>
      <c r="U59" s="3"/>
      <c r="V59" s="7">
        <f t="shared" si="25"/>
        <v>0.19215353544790315</v>
      </c>
      <c r="W59" s="3"/>
      <c r="X59" s="8">
        <f t="shared" si="26"/>
        <v>5081.3015284326029</v>
      </c>
      <c r="Y59" s="3"/>
      <c r="Z59" s="7">
        <f t="shared" si="27"/>
        <v>8.0076690837293504E-2</v>
      </c>
    </row>
    <row r="60" spans="1:26" s="24" customFormat="1" hidden="1" outlineLevel="2" x14ac:dyDescent="0.3">
      <c r="A60" s="29"/>
      <c r="B60" s="11" t="str">
        <f>CONCATENATE("          ", "6003", " - ", "STAFF HOURLY-9 MONTH")</f>
        <v xml:space="preserve">          6003 - STAFF HOURLY-9 MONTH</v>
      </c>
      <c r="C60" s="11"/>
      <c r="D60" s="8"/>
      <c r="E60" s="3"/>
      <c r="F60" s="7">
        <f t="shared" si="20"/>
        <v>0</v>
      </c>
      <c r="G60" s="3"/>
      <c r="H60" s="8">
        <v>0</v>
      </c>
      <c r="I60" s="3"/>
      <c r="J60" s="7">
        <f t="shared" si="21"/>
        <v>0</v>
      </c>
      <c r="K60" s="3"/>
      <c r="L60" s="8">
        <f t="shared" si="22"/>
        <v>0</v>
      </c>
      <c r="M60" s="3"/>
      <c r="N60" s="7">
        <f t="shared" si="23"/>
        <v>0</v>
      </c>
      <c r="O60" s="11"/>
      <c r="P60" s="8"/>
      <c r="Q60" s="3"/>
      <c r="R60" s="7">
        <f t="shared" si="24"/>
        <v>0</v>
      </c>
      <c r="S60" s="3"/>
      <c r="T60" s="8">
        <v>0</v>
      </c>
      <c r="U60" s="3"/>
      <c r="V60" s="7">
        <f t="shared" si="25"/>
        <v>0</v>
      </c>
      <c r="W60" s="3"/>
      <c r="X60" s="8">
        <f t="shared" si="26"/>
        <v>0</v>
      </c>
      <c r="Y60" s="3"/>
      <c r="Z60" s="7">
        <f t="shared" si="27"/>
        <v>0</v>
      </c>
    </row>
    <row r="61" spans="1:26" s="24" customFormat="1" hidden="1" outlineLevel="2" x14ac:dyDescent="0.3">
      <c r="A61" s="29"/>
      <c r="B61" s="11" t="str">
        <f>CONCATENATE("          ", "6004", " - ", "STAFF HOURLY")</f>
        <v xml:space="preserve">          6004 - STAFF HOURLY</v>
      </c>
      <c r="C61" s="11"/>
      <c r="D61" s="8">
        <v>18084.38</v>
      </c>
      <c r="E61" s="3"/>
      <c r="F61" s="7">
        <f t="shared" si="20"/>
        <v>8.2015990877386674E-2</v>
      </c>
      <c r="G61" s="3"/>
      <c r="H61" s="8">
        <v>41873.018459999999</v>
      </c>
      <c r="I61" s="3"/>
      <c r="J61" s="7">
        <f t="shared" si="21"/>
        <v>0.12679840736691972</v>
      </c>
      <c r="K61" s="3"/>
      <c r="L61" s="8">
        <f t="shared" si="22"/>
        <v>-23788.638459999998</v>
      </c>
      <c r="M61" s="3"/>
      <c r="N61" s="7">
        <f t="shared" si="23"/>
        <v>-0.56811377194420676</v>
      </c>
      <c r="O61" s="11"/>
      <c r="P61" s="8">
        <v>18084.38</v>
      </c>
      <c r="Q61" s="3"/>
      <c r="R61" s="7">
        <f t="shared" si="24"/>
        <v>8.2015990877386674E-2</v>
      </c>
      <c r="S61" s="3"/>
      <c r="T61" s="8">
        <v>41873.018459999999</v>
      </c>
      <c r="U61" s="3"/>
      <c r="V61" s="7">
        <f t="shared" si="25"/>
        <v>0.12679840736691972</v>
      </c>
      <c r="W61" s="3"/>
      <c r="X61" s="8">
        <f t="shared" si="26"/>
        <v>-23788.638459999998</v>
      </c>
      <c r="Y61" s="3"/>
      <c r="Z61" s="7">
        <f t="shared" si="27"/>
        <v>-0.56811377194420676</v>
      </c>
    </row>
    <row r="62" spans="1:26" s="24" customFormat="1" hidden="1" outlineLevel="2" x14ac:dyDescent="0.3">
      <c r="A62" s="29"/>
      <c r="B62" s="11" t="str">
        <f>CONCATENATE("          ", "6005", " - ", "TEMPORARY WAGES-HOURLY")</f>
        <v xml:space="preserve">          6005 - TEMPORARY WAGES-HOURLY</v>
      </c>
      <c r="C62" s="11"/>
      <c r="D62" s="8">
        <v>9447.7999999999993</v>
      </c>
      <c r="E62" s="3"/>
      <c r="F62" s="7">
        <f t="shared" si="20"/>
        <v>4.2847511422087661E-2</v>
      </c>
      <c r="G62" s="3"/>
      <c r="H62" s="8">
        <v>4010</v>
      </c>
      <c r="I62" s="3"/>
      <c r="J62" s="7">
        <f t="shared" si="21"/>
        <v>1.2142941498881094E-2</v>
      </c>
      <c r="K62" s="3"/>
      <c r="L62" s="8">
        <f t="shared" si="22"/>
        <v>5437.7999999999993</v>
      </c>
      <c r="M62" s="3"/>
      <c r="N62" s="7">
        <f t="shared" si="23"/>
        <v>1.3560598503740646</v>
      </c>
      <c r="O62" s="11"/>
      <c r="P62" s="8">
        <v>9447.7999999999993</v>
      </c>
      <c r="Q62" s="3"/>
      <c r="R62" s="7">
        <f t="shared" si="24"/>
        <v>4.2847511422087661E-2</v>
      </c>
      <c r="S62" s="3"/>
      <c r="T62" s="8">
        <v>4010</v>
      </c>
      <c r="U62" s="3"/>
      <c r="V62" s="7">
        <f t="shared" si="25"/>
        <v>1.2142941498881094E-2</v>
      </c>
      <c r="W62" s="3"/>
      <c r="X62" s="8">
        <f t="shared" si="26"/>
        <v>5437.7999999999993</v>
      </c>
      <c r="Y62" s="3"/>
      <c r="Z62" s="7">
        <f t="shared" si="27"/>
        <v>1.3560598503740646</v>
      </c>
    </row>
    <row r="63" spans="1:26" s="24" customFormat="1" hidden="1" outlineLevel="2" x14ac:dyDescent="0.3">
      <c r="A63" s="29"/>
      <c r="B63" s="11" t="str">
        <f>CONCATENATE("          ", "6006", " - ", "TEMPORARY PART TIME")</f>
        <v xml:space="preserve">          6006 - TEMPORARY PART TIME</v>
      </c>
      <c r="C63" s="11"/>
      <c r="D63" s="8">
        <v>2864.4</v>
      </c>
      <c r="E63" s="3"/>
      <c r="F63" s="7">
        <f t="shared" si="20"/>
        <v>1.2990581057751848E-2</v>
      </c>
      <c r="G63" s="3"/>
      <c r="H63" s="8">
        <v>0</v>
      </c>
      <c r="I63" s="3"/>
      <c r="J63" s="7">
        <f t="shared" si="21"/>
        <v>0</v>
      </c>
      <c r="K63" s="3"/>
      <c r="L63" s="8">
        <f t="shared" si="22"/>
        <v>2864.4</v>
      </c>
      <c r="M63" s="3"/>
      <c r="N63" s="7">
        <f t="shared" si="23"/>
        <v>0</v>
      </c>
      <c r="O63" s="11"/>
      <c r="P63" s="8">
        <v>2864.4</v>
      </c>
      <c r="Q63" s="3"/>
      <c r="R63" s="7">
        <f t="shared" si="24"/>
        <v>1.2990581057751848E-2</v>
      </c>
      <c r="S63" s="3"/>
      <c r="T63" s="8">
        <v>0</v>
      </c>
      <c r="U63" s="3"/>
      <c r="V63" s="7">
        <f t="shared" si="25"/>
        <v>0</v>
      </c>
      <c r="W63" s="3"/>
      <c r="X63" s="8">
        <f t="shared" si="26"/>
        <v>2864.4</v>
      </c>
      <c r="Y63" s="3"/>
      <c r="Z63" s="7">
        <f t="shared" si="27"/>
        <v>0</v>
      </c>
    </row>
    <row r="64" spans="1:26" s="24" customFormat="1" hidden="1" outlineLevel="2" x14ac:dyDescent="0.3">
      <c r="A64" s="29"/>
      <c r="B64" s="11" t="str">
        <f>CONCATENATE("          ", "6007", " - ", "STUDENT HOURLY")</f>
        <v xml:space="preserve">          6007 - STUDENT HOURLY</v>
      </c>
      <c r="C64" s="11"/>
      <c r="D64" s="8">
        <v>51955.82</v>
      </c>
      <c r="E64" s="3"/>
      <c r="F64" s="7">
        <f t="shared" si="20"/>
        <v>0.23562920371874199</v>
      </c>
      <c r="G64" s="3"/>
      <c r="H64" s="8">
        <v>48377.412499999999</v>
      </c>
      <c r="I64" s="3"/>
      <c r="J64" s="7">
        <f t="shared" si="21"/>
        <v>0.14649478549993489</v>
      </c>
      <c r="K64" s="3"/>
      <c r="L64" s="8">
        <f t="shared" si="22"/>
        <v>3578.4075000000012</v>
      </c>
      <c r="M64" s="3"/>
      <c r="N64" s="7">
        <f t="shared" si="23"/>
        <v>7.3968559190717389E-2</v>
      </c>
      <c r="O64" s="11"/>
      <c r="P64" s="8">
        <v>51955.82</v>
      </c>
      <c r="Q64" s="3"/>
      <c r="R64" s="7">
        <f t="shared" si="24"/>
        <v>0.23562920371874199</v>
      </c>
      <c r="S64" s="3"/>
      <c r="T64" s="8">
        <v>48377.412499999999</v>
      </c>
      <c r="U64" s="3"/>
      <c r="V64" s="7">
        <f t="shared" si="25"/>
        <v>0.14649478549993489</v>
      </c>
      <c r="W64" s="3"/>
      <c r="X64" s="8">
        <f t="shared" si="26"/>
        <v>3578.4075000000012</v>
      </c>
      <c r="Y64" s="3"/>
      <c r="Z64" s="7">
        <f t="shared" si="27"/>
        <v>7.3968559190717389E-2</v>
      </c>
    </row>
    <row r="65" spans="1:26" s="24" customFormat="1" hidden="1" outlineLevel="2" x14ac:dyDescent="0.3">
      <c r="A65" s="29"/>
      <c r="B65" s="11" t="str">
        <f>CONCATENATE("          ", "6008", " - ", "STUDENT HOURLY-FICA EXEMPT")</f>
        <v xml:space="preserve">          6008 - STUDENT HOURLY-FICA EXEMPT</v>
      </c>
      <c r="C65" s="11"/>
      <c r="D65" s="8">
        <v>9784.35</v>
      </c>
      <c r="E65" s="3"/>
      <c r="F65" s="7">
        <f t="shared" si="20"/>
        <v>4.4373827598245458E-2</v>
      </c>
      <c r="G65" s="3"/>
      <c r="H65" s="8">
        <v>34500</v>
      </c>
      <c r="I65" s="3"/>
      <c r="J65" s="7">
        <f t="shared" si="21"/>
        <v>0.10447169119984981</v>
      </c>
      <c r="K65" s="3"/>
      <c r="L65" s="8">
        <f t="shared" si="22"/>
        <v>-24715.65</v>
      </c>
      <c r="M65" s="3"/>
      <c r="N65" s="7">
        <f t="shared" si="23"/>
        <v>-0.7163956521739131</v>
      </c>
      <c r="O65" s="11"/>
      <c r="P65" s="8">
        <v>9784.35</v>
      </c>
      <c r="Q65" s="3"/>
      <c r="R65" s="7">
        <f t="shared" si="24"/>
        <v>4.4373827598245458E-2</v>
      </c>
      <c r="S65" s="3"/>
      <c r="T65" s="8">
        <v>34500</v>
      </c>
      <c r="U65" s="3"/>
      <c r="V65" s="7">
        <f t="shared" si="25"/>
        <v>0.10447169119984981</v>
      </c>
      <c r="W65" s="3"/>
      <c r="X65" s="8">
        <f t="shared" si="26"/>
        <v>-24715.65</v>
      </c>
      <c r="Y65" s="3"/>
      <c r="Z65" s="7">
        <f t="shared" si="27"/>
        <v>-0.7163956521739131</v>
      </c>
    </row>
    <row r="66" spans="1:26" s="24" customFormat="1" hidden="1" outlineLevel="2" x14ac:dyDescent="0.3">
      <c r="A66" s="29"/>
      <c r="B66" s="11" t="str">
        <f>CONCATENATE("          ", "6009", " - ", "TEMPORARY-SEASONAL")</f>
        <v xml:space="preserve">          6009 - TEMPORARY-SEASONAL</v>
      </c>
      <c r="C66" s="11"/>
      <c r="D66" s="8"/>
      <c r="E66" s="3"/>
      <c r="F66" s="7">
        <f t="shared" si="20"/>
        <v>0</v>
      </c>
      <c r="G66" s="3"/>
      <c r="H66" s="8">
        <v>0</v>
      </c>
      <c r="I66" s="3"/>
      <c r="J66" s="7">
        <f t="shared" si="21"/>
        <v>0</v>
      </c>
      <c r="K66" s="3"/>
      <c r="L66" s="8">
        <f t="shared" si="22"/>
        <v>0</v>
      </c>
      <c r="M66" s="3"/>
      <c r="N66" s="7">
        <f t="shared" si="23"/>
        <v>0</v>
      </c>
      <c r="O66" s="11"/>
      <c r="P66" s="8"/>
      <c r="Q66" s="3"/>
      <c r="R66" s="7">
        <f t="shared" si="24"/>
        <v>0</v>
      </c>
      <c r="S66" s="3"/>
      <c r="T66" s="8">
        <v>0</v>
      </c>
      <c r="U66" s="3"/>
      <c r="V66" s="7">
        <f t="shared" si="25"/>
        <v>0</v>
      </c>
      <c r="W66" s="3"/>
      <c r="X66" s="8">
        <f t="shared" si="26"/>
        <v>0</v>
      </c>
      <c r="Y66" s="3"/>
      <c r="Z66" s="7">
        <f t="shared" si="27"/>
        <v>0</v>
      </c>
    </row>
    <row r="67" spans="1:26" s="24" customFormat="1" hidden="1" outlineLevel="2" x14ac:dyDescent="0.3">
      <c r="A67" s="29"/>
      <c r="B67" s="11" t="str">
        <f>CONCATENATE("          ", "6010", " - ", "GRATUITY")</f>
        <v xml:space="preserve">          6010 - GRATUITY</v>
      </c>
      <c r="C67" s="11"/>
      <c r="D67" s="8"/>
      <c r="E67" s="3"/>
      <c r="F67" s="7">
        <f t="shared" si="20"/>
        <v>0</v>
      </c>
      <c r="G67" s="3"/>
      <c r="H67" s="8">
        <v>0</v>
      </c>
      <c r="I67" s="3"/>
      <c r="J67" s="7">
        <f t="shared" si="21"/>
        <v>0</v>
      </c>
      <c r="K67" s="3"/>
      <c r="L67" s="8">
        <f t="shared" si="22"/>
        <v>0</v>
      </c>
      <c r="M67" s="3"/>
      <c r="N67" s="7">
        <f t="shared" si="23"/>
        <v>0</v>
      </c>
      <c r="O67" s="11"/>
      <c r="P67" s="8"/>
      <c r="Q67" s="3"/>
      <c r="R67" s="7">
        <f t="shared" si="24"/>
        <v>0</v>
      </c>
      <c r="S67" s="3"/>
      <c r="T67" s="8">
        <v>0</v>
      </c>
      <c r="U67" s="3"/>
      <c r="V67" s="7">
        <f t="shared" si="25"/>
        <v>0</v>
      </c>
      <c r="W67" s="3"/>
      <c r="X67" s="8">
        <f t="shared" si="26"/>
        <v>0</v>
      </c>
      <c r="Y67" s="3"/>
      <c r="Z67" s="7">
        <f t="shared" si="27"/>
        <v>0</v>
      </c>
    </row>
    <row r="68" spans="1:26" s="27" customFormat="1" outlineLevel="1" collapsed="1" x14ac:dyDescent="0.3">
      <c r="A68" s="28"/>
      <c r="B68" s="14" t="str">
        <f>CONCATENATE("     ","Advertising/Promo                                 ")</f>
        <v xml:space="preserve">     Advertising/Promo                                 </v>
      </c>
      <c r="C68" s="14"/>
      <c r="D68" s="1">
        <f>SUM(OSRRefD22_2x_0)</f>
        <v>493.63</v>
      </c>
      <c r="E68" s="1"/>
      <c r="F68" s="5">
        <f t="shared" ref="F68:F76" si="28">IF(D$12=0,0,D68/D$12)</f>
        <v>2.2387028793248304E-3</v>
      </c>
      <c r="G68" s="1"/>
      <c r="H68" s="1">
        <f>SUM(OSRRefH22_2x_0)</f>
        <v>3000</v>
      </c>
      <c r="I68" s="1"/>
      <c r="J68" s="5">
        <f t="shared" ref="J68:J76" si="29">IF(H$12=0,0,H68/H$12)</f>
        <v>9.0844948869434616E-3</v>
      </c>
      <c r="K68" s="1"/>
      <c r="L68" s="1">
        <f t="shared" ref="L68:L76" si="30">+D68-H68</f>
        <v>-2506.37</v>
      </c>
      <c r="M68" s="1"/>
      <c r="N68" s="5">
        <f t="shared" ref="N68:N76" si="31">IF(H68=0,0,L68/H68)</f>
        <v>-0.83545666666666663</v>
      </c>
      <c r="O68" s="14"/>
      <c r="P68" s="1">
        <f>SUM(OSRRefP22_2x_0)</f>
        <v>493.63</v>
      </c>
      <c r="Q68" s="1"/>
      <c r="R68" s="5">
        <f t="shared" ref="R68:R76" si="32">IF(P$12=0,0,P68/P$12)</f>
        <v>2.2387028793248304E-3</v>
      </c>
      <c r="S68" s="1"/>
      <c r="T68" s="1">
        <f>SUM(OSRRefT22_2x_0)</f>
        <v>3000</v>
      </c>
      <c r="U68" s="1"/>
      <c r="V68" s="5">
        <f t="shared" ref="V68:V76" si="33">IF(T$12=0,0,T68/T$12)</f>
        <v>9.0844948869434616E-3</v>
      </c>
      <c r="W68" s="1"/>
      <c r="X68" s="1">
        <f t="shared" ref="X68:X76" si="34">+P68-T68</f>
        <v>-2506.37</v>
      </c>
      <c r="Y68" s="1"/>
      <c r="Z68" s="5">
        <f t="shared" ref="Z68:Z76" si="35">IF(T68=0,0,X68/T68)</f>
        <v>-0.83545666666666663</v>
      </c>
    </row>
    <row r="69" spans="1:26" s="24" customFormat="1" hidden="1" outlineLevel="2" x14ac:dyDescent="0.3">
      <c r="A69" s="29"/>
      <c r="B69" s="11" t="str">
        <f>CONCATENATE("          ", "6362", " - ", "ADVERTISING EXPENSE")</f>
        <v xml:space="preserve">          6362 - ADVERTISING EXPENSE</v>
      </c>
      <c r="C69" s="11"/>
      <c r="D69" s="8">
        <v>493.63</v>
      </c>
      <c r="E69" s="3"/>
      <c r="F69" s="7">
        <f t="shared" si="28"/>
        <v>2.2387028793248304E-3</v>
      </c>
      <c r="G69" s="3"/>
      <c r="H69" s="8">
        <v>3000</v>
      </c>
      <c r="I69" s="3"/>
      <c r="J69" s="7">
        <f t="shared" si="29"/>
        <v>9.0844948869434616E-3</v>
      </c>
      <c r="K69" s="3"/>
      <c r="L69" s="8">
        <f t="shared" si="30"/>
        <v>-2506.37</v>
      </c>
      <c r="M69" s="3"/>
      <c r="N69" s="7">
        <f t="shared" si="31"/>
        <v>-0.83545666666666663</v>
      </c>
      <c r="O69" s="11"/>
      <c r="P69" s="8">
        <v>493.63</v>
      </c>
      <c r="Q69" s="3"/>
      <c r="R69" s="7">
        <f t="shared" si="32"/>
        <v>2.2387028793248304E-3</v>
      </c>
      <c r="S69" s="3"/>
      <c r="T69" s="8">
        <v>3000</v>
      </c>
      <c r="U69" s="3"/>
      <c r="V69" s="7">
        <f t="shared" si="33"/>
        <v>9.0844948869434616E-3</v>
      </c>
      <c r="W69" s="3"/>
      <c r="X69" s="8">
        <f t="shared" si="34"/>
        <v>-2506.37</v>
      </c>
      <c r="Y69" s="3"/>
      <c r="Z69" s="7">
        <f t="shared" si="35"/>
        <v>-0.83545666666666663</v>
      </c>
    </row>
    <row r="70" spans="1:26" s="27" customFormat="1" outlineLevel="1" collapsed="1" x14ac:dyDescent="0.3">
      <c r="A70" s="28"/>
      <c r="B70" s="14" t="str">
        <f>CONCATENATE("     ","Bad Debts/Over/Short                              ")</f>
        <v xml:space="preserve">     Bad Debts/Over/Short                              </v>
      </c>
      <c r="C70" s="14"/>
      <c r="D70" s="1">
        <f>SUM(OSRRefD22_3x_0)</f>
        <v>1.27</v>
      </c>
      <c r="E70" s="1"/>
      <c r="F70" s="5">
        <f t="shared" si="28"/>
        <v>5.759683683614316E-6</v>
      </c>
      <c r="G70" s="1"/>
      <c r="H70" s="1">
        <f>SUM(OSRRefH22_3x_0)</f>
        <v>235</v>
      </c>
      <c r="I70" s="1"/>
      <c r="J70" s="5">
        <f t="shared" si="29"/>
        <v>7.1161876614390441E-4</v>
      </c>
      <c r="K70" s="1"/>
      <c r="L70" s="1">
        <f t="shared" si="30"/>
        <v>-233.73</v>
      </c>
      <c r="M70" s="1"/>
      <c r="N70" s="5">
        <f t="shared" si="31"/>
        <v>-0.99459574468085099</v>
      </c>
      <c r="O70" s="14"/>
      <c r="P70" s="1">
        <f>SUM(OSRRefP22_3x_0)</f>
        <v>1.27</v>
      </c>
      <c r="Q70" s="1"/>
      <c r="R70" s="5">
        <f t="shared" si="32"/>
        <v>5.759683683614316E-6</v>
      </c>
      <c r="S70" s="1"/>
      <c r="T70" s="1">
        <f>SUM(OSRRefT22_3x_0)</f>
        <v>235</v>
      </c>
      <c r="U70" s="1"/>
      <c r="V70" s="5">
        <f t="shared" si="33"/>
        <v>7.1161876614390441E-4</v>
      </c>
      <c r="W70" s="1"/>
      <c r="X70" s="1">
        <f t="shared" si="34"/>
        <v>-233.73</v>
      </c>
      <c r="Y70" s="1"/>
      <c r="Z70" s="5">
        <f t="shared" si="35"/>
        <v>-0.99459574468085099</v>
      </c>
    </row>
    <row r="71" spans="1:26" s="24" customFormat="1" hidden="1" outlineLevel="2" x14ac:dyDescent="0.3">
      <c r="A71" s="29"/>
      <c r="B71" s="11" t="str">
        <f>CONCATENATE("          ", "6272", " - ", "CASH (OVER/SHORT)")</f>
        <v xml:space="preserve">          6272 - CASH (OVER/SHORT)</v>
      </c>
      <c r="C71" s="11"/>
      <c r="D71" s="8">
        <v>1.27</v>
      </c>
      <c r="E71" s="3"/>
      <c r="F71" s="7">
        <f t="shared" si="28"/>
        <v>5.759683683614316E-6</v>
      </c>
      <c r="G71" s="3"/>
      <c r="H71" s="8">
        <v>235</v>
      </c>
      <c r="I71" s="3"/>
      <c r="J71" s="7">
        <f t="shared" si="29"/>
        <v>7.1161876614390441E-4</v>
      </c>
      <c r="K71" s="3"/>
      <c r="L71" s="8">
        <f t="shared" si="30"/>
        <v>-233.73</v>
      </c>
      <c r="M71" s="3"/>
      <c r="N71" s="7">
        <f t="shared" si="31"/>
        <v>-0.99459574468085099</v>
      </c>
      <c r="O71" s="11"/>
      <c r="P71" s="8">
        <v>1.27</v>
      </c>
      <c r="Q71" s="3"/>
      <c r="R71" s="7">
        <f t="shared" si="32"/>
        <v>5.759683683614316E-6</v>
      </c>
      <c r="S71" s="3"/>
      <c r="T71" s="8">
        <v>235</v>
      </c>
      <c r="U71" s="3"/>
      <c r="V71" s="7">
        <f t="shared" si="33"/>
        <v>7.1161876614390441E-4</v>
      </c>
      <c r="W71" s="3"/>
      <c r="X71" s="8">
        <f t="shared" si="34"/>
        <v>-233.73</v>
      </c>
      <c r="Y71" s="3"/>
      <c r="Z71" s="7">
        <f t="shared" si="35"/>
        <v>-0.99459574468085099</v>
      </c>
    </row>
    <row r="72" spans="1:26" s="27" customFormat="1" outlineLevel="1" collapsed="1" x14ac:dyDescent="0.3">
      <c r="A72" s="28"/>
      <c r="B72" s="14" t="str">
        <f>CONCATENATE("     ","Bank/card Fees                                    ")</f>
        <v xml:space="preserve">     Bank/card Fees                                    </v>
      </c>
      <c r="C72" s="14"/>
      <c r="D72" s="1">
        <f>SUM(OSRRefD22_4x_0)</f>
        <v>4037.34</v>
      </c>
      <c r="E72" s="1"/>
      <c r="F72" s="5">
        <f t="shared" si="28"/>
        <v>1.8310079782049939E-2</v>
      </c>
      <c r="G72" s="1"/>
      <c r="H72" s="1">
        <f>SUM(OSRRefH22_4x_0)</f>
        <v>11242</v>
      </c>
      <c r="I72" s="1"/>
      <c r="J72" s="5">
        <f t="shared" si="29"/>
        <v>3.4042630506339461E-2</v>
      </c>
      <c r="K72" s="1"/>
      <c r="L72" s="1">
        <f t="shared" si="30"/>
        <v>-7204.66</v>
      </c>
      <c r="M72" s="1"/>
      <c r="N72" s="5">
        <f t="shared" si="31"/>
        <v>-0.6408699519658424</v>
      </c>
      <c r="O72" s="14"/>
      <c r="P72" s="1">
        <f>SUM(OSRRefP22_4x_0)</f>
        <v>4037.34</v>
      </c>
      <c r="Q72" s="1"/>
      <c r="R72" s="5">
        <f t="shared" si="32"/>
        <v>1.8310079782049939E-2</v>
      </c>
      <c r="S72" s="1"/>
      <c r="T72" s="1">
        <f>SUM(OSRRefT22_4x_0)</f>
        <v>11242</v>
      </c>
      <c r="U72" s="1"/>
      <c r="V72" s="5">
        <f t="shared" si="33"/>
        <v>3.4042630506339461E-2</v>
      </c>
      <c r="W72" s="1"/>
      <c r="X72" s="1">
        <f t="shared" si="34"/>
        <v>-7204.66</v>
      </c>
      <c r="Y72" s="1"/>
      <c r="Z72" s="5">
        <f t="shared" si="35"/>
        <v>-0.6408699519658424</v>
      </c>
    </row>
    <row r="73" spans="1:26" s="24" customFormat="1" hidden="1" outlineLevel="2" x14ac:dyDescent="0.3">
      <c r="A73" s="29"/>
      <c r="B73" s="11" t="str">
        <f>CONCATENATE("          ", "6381", " - ", "BANK/CREDIT CARD FEES")</f>
        <v xml:space="preserve">          6381 - BANK/CREDIT CARD FEES</v>
      </c>
      <c r="C73" s="11"/>
      <c r="D73" s="8">
        <v>4037.34</v>
      </c>
      <c r="E73" s="3"/>
      <c r="F73" s="7">
        <f t="shared" si="28"/>
        <v>1.8310079782049939E-2</v>
      </c>
      <c r="G73" s="3"/>
      <c r="H73" s="8">
        <v>11242</v>
      </c>
      <c r="I73" s="3"/>
      <c r="J73" s="7">
        <f t="shared" si="29"/>
        <v>3.4042630506339461E-2</v>
      </c>
      <c r="K73" s="3"/>
      <c r="L73" s="8">
        <f t="shared" si="30"/>
        <v>-7204.66</v>
      </c>
      <c r="M73" s="3"/>
      <c r="N73" s="7">
        <f t="shared" si="31"/>
        <v>-0.6408699519658424</v>
      </c>
      <c r="O73" s="11"/>
      <c r="P73" s="8">
        <v>4037.34</v>
      </c>
      <c r="Q73" s="3"/>
      <c r="R73" s="7">
        <f t="shared" si="32"/>
        <v>1.8310079782049939E-2</v>
      </c>
      <c r="S73" s="3"/>
      <c r="T73" s="8">
        <v>11242</v>
      </c>
      <c r="U73" s="3"/>
      <c r="V73" s="7">
        <f t="shared" si="33"/>
        <v>3.4042630506339461E-2</v>
      </c>
      <c r="W73" s="3"/>
      <c r="X73" s="8">
        <f t="shared" si="34"/>
        <v>-7204.66</v>
      </c>
      <c r="Y73" s="3"/>
      <c r="Z73" s="7">
        <f t="shared" si="35"/>
        <v>-0.6408699519658424</v>
      </c>
    </row>
    <row r="74" spans="1:26" s="27" customFormat="1" outlineLevel="1" collapsed="1" x14ac:dyDescent="0.3">
      <c r="A74" s="28"/>
      <c r="B74" s="14" t="str">
        <f>CONCATENATE("     ","Depreciation                                      ")</f>
        <v xml:space="preserve">     Depreciation                                      </v>
      </c>
      <c r="C74" s="14"/>
      <c r="D74" s="1">
        <f>SUM(OSRRefD22_5x_0)</f>
        <v>37856.22</v>
      </c>
      <c r="E74" s="1"/>
      <c r="F74" s="5">
        <f t="shared" si="28"/>
        <v>0.17168492335221572</v>
      </c>
      <c r="G74" s="1"/>
      <c r="H74" s="1">
        <f>SUM(OSRRefH22_5x_0)</f>
        <v>37734</v>
      </c>
      <c r="I74" s="1"/>
      <c r="J74" s="5">
        <f t="shared" si="29"/>
        <v>0.11426477668797486</v>
      </c>
      <c r="K74" s="1"/>
      <c r="L74" s="1">
        <f t="shared" si="30"/>
        <v>122.22000000000116</v>
      </c>
      <c r="M74" s="1"/>
      <c r="N74" s="5">
        <f t="shared" si="31"/>
        <v>3.2389887104468428E-3</v>
      </c>
      <c r="O74" s="14"/>
      <c r="P74" s="1">
        <f>SUM(OSRRefP22_5x_0)</f>
        <v>37856.22</v>
      </c>
      <c r="Q74" s="1"/>
      <c r="R74" s="5">
        <f t="shared" si="32"/>
        <v>0.17168492335221572</v>
      </c>
      <c r="S74" s="1"/>
      <c r="T74" s="1">
        <f>SUM(OSRRefT22_5x_0)</f>
        <v>37734</v>
      </c>
      <c r="U74" s="1"/>
      <c r="V74" s="5">
        <f t="shared" si="33"/>
        <v>0.11426477668797486</v>
      </c>
      <c r="W74" s="1"/>
      <c r="X74" s="1">
        <f t="shared" si="34"/>
        <v>122.22000000000116</v>
      </c>
      <c r="Y74" s="1"/>
      <c r="Z74" s="5">
        <f t="shared" si="35"/>
        <v>3.2389887104468428E-3</v>
      </c>
    </row>
    <row r="75" spans="1:26" s="24" customFormat="1" hidden="1" outlineLevel="2" x14ac:dyDescent="0.3">
      <c r="A75" s="29"/>
      <c r="B75" s="11" t="str">
        <f>CONCATENATE("          ", "6321", " - ", "BUILDING DEPRECIATION")</f>
        <v xml:space="preserve">          6321 - BUILDING DEPRECIATION</v>
      </c>
      <c r="C75" s="11"/>
      <c r="D75" s="8">
        <v>21477.03</v>
      </c>
      <c r="E75" s="3"/>
      <c r="F75" s="7">
        <f t="shared" si="28"/>
        <v>9.7402282884641866E-2</v>
      </c>
      <c r="G75" s="3"/>
      <c r="H75" s="8"/>
      <c r="I75" s="3"/>
      <c r="J75" s="7">
        <f t="shared" si="29"/>
        <v>0</v>
      </c>
      <c r="K75" s="3"/>
      <c r="L75" s="8">
        <f t="shared" si="30"/>
        <v>21477.03</v>
      </c>
      <c r="M75" s="3"/>
      <c r="N75" s="7">
        <f t="shared" si="31"/>
        <v>0</v>
      </c>
      <c r="O75" s="11"/>
      <c r="P75" s="8">
        <v>21477.03</v>
      </c>
      <c r="Q75" s="3"/>
      <c r="R75" s="7">
        <f t="shared" si="32"/>
        <v>9.7402282884641866E-2</v>
      </c>
      <c r="S75" s="3"/>
      <c r="T75" s="8"/>
      <c r="U75" s="3"/>
      <c r="V75" s="7">
        <f t="shared" si="33"/>
        <v>0</v>
      </c>
      <c r="W75" s="3"/>
      <c r="X75" s="8">
        <f t="shared" si="34"/>
        <v>21477.03</v>
      </c>
      <c r="Y75" s="3"/>
      <c r="Z75" s="7">
        <f t="shared" si="35"/>
        <v>0</v>
      </c>
    </row>
    <row r="76" spans="1:26" s="24" customFormat="1" hidden="1" outlineLevel="2" x14ac:dyDescent="0.3">
      <c r="A76" s="29"/>
      <c r="B76" s="11" t="str">
        <f>CONCATENATE("          ", "6322", " - ", "EQUIPMENT DEPRECIATION EXPENSE")</f>
        <v xml:space="preserve">          6322 - EQUIPMENT DEPRECIATION EXPENSE</v>
      </c>
      <c r="C76" s="11"/>
      <c r="D76" s="8">
        <v>16379.19</v>
      </c>
      <c r="E76" s="3"/>
      <c r="F76" s="7">
        <f t="shared" si="28"/>
        <v>7.4282640467573838E-2</v>
      </c>
      <c r="G76" s="3"/>
      <c r="H76" s="8">
        <v>37734</v>
      </c>
      <c r="I76" s="3"/>
      <c r="J76" s="7">
        <f t="shared" si="29"/>
        <v>0.11426477668797486</v>
      </c>
      <c r="K76" s="3"/>
      <c r="L76" s="8">
        <f t="shared" si="30"/>
        <v>-21354.809999999998</v>
      </c>
      <c r="M76" s="3"/>
      <c r="N76" s="7">
        <f t="shared" si="31"/>
        <v>-0.56593019557958335</v>
      </c>
      <c r="O76" s="11"/>
      <c r="P76" s="8">
        <v>16379.19</v>
      </c>
      <c r="Q76" s="3"/>
      <c r="R76" s="7">
        <f t="shared" si="32"/>
        <v>7.4282640467573838E-2</v>
      </c>
      <c r="S76" s="3"/>
      <c r="T76" s="8">
        <v>37734</v>
      </c>
      <c r="U76" s="3"/>
      <c r="V76" s="7">
        <f t="shared" si="33"/>
        <v>0.11426477668797486</v>
      </c>
      <c r="W76" s="3"/>
      <c r="X76" s="8">
        <f t="shared" si="34"/>
        <v>-21354.809999999998</v>
      </c>
      <c r="Y76" s="3"/>
      <c r="Z76" s="7">
        <f t="shared" si="35"/>
        <v>-0.56593019557958335</v>
      </c>
    </row>
    <row r="77" spans="1:26" s="27" customFormat="1" outlineLevel="1" collapsed="1" x14ac:dyDescent="0.3">
      <c r="A77" s="28"/>
      <c r="B77" s="14" t="str">
        <f>CONCATENATE("     ","Discounts and Markdowns                           ")</f>
        <v xml:space="preserve">     Discounts and Markdowns                           </v>
      </c>
      <c r="C77" s="14"/>
      <c r="D77" s="1">
        <f>SUM(OSRRefD22_6x_0)</f>
        <v>-0.68</v>
      </c>
      <c r="E77" s="1"/>
      <c r="F77" s="5">
        <f t="shared" ref="F77:F79" si="36">IF(D$12=0,0,D77/D$12)</f>
        <v>-3.0839251219352245E-6</v>
      </c>
      <c r="G77" s="1"/>
      <c r="H77" s="1">
        <f>SUM(OSRRefH22_6x_0)</f>
        <v>0</v>
      </c>
      <c r="I77" s="1"/>
      <c r="J77" s="5">
        <f t="shared" ref="J77:J79" si="37">IF(H$12=0,0,H77/H$12)</f>
        <v>0</v>
      </c>
      <c r="K77" s="1"/>
      <c r="L77" s="1">
        <f t="shared" ref="L77:L79" si="38">+D77-H77</f>
        <v>-0.68</v>
      </c>
      <c r="M77" s="1"/>
      <c r="N77" s="5">
        <f t="shared" ref="N77:N79" si="39">IF(H77=0,0,L77/H77)</f>
        <v>0</v>
      </c>
      <c r="O77" s="14"/>
      <c r="P77" s="1">
        <f>SUM(OSRRefP22_6x_0)</f>
        <v>-0.68</v>
      </c>
      <c r="Q77" s="1"/>
      <c r="R77" s="5">
        <f t="shared" ref="R77:R79" si="40">IF(P$12=0,0,P77/P$12)</f>
        <v>-3.0839251219352245E-6</v>
      </c>
      <c r="S77" s="1"/>
      <c r="T77" s="1">
        <f>SUM(OSRRefT22_6x_0)</f>
        <v>0</v>
      </c>
      <c r="U77" s="1"/>
      <c r="V77" s="5">
        <f t="shared" ref="V77:V79" si="41">IF(T$12=0,0,T77/T$12)</f>
        <v>0</v>
      </c>
      <c r="W77" s="1"/>
      <c r="X77" s="1">
        <f t="shared" ref="X77:X79" si="42">+P77-T77</f>
        <v>-0.68</v>
      </c>
      <c r="Y77" s="1"/>
      <c r="Z77" s="5">
        <f t="shared" ref="Z77:Z79" si="43">IF(T77=0,0,X77/T77)</f>
        <v>0</v>
      </c>
    </row>
    <row r="78" spans="1:26" s="24" customFormat="1" hidden="1" outlineLevel="2" x14ac:dyDescent="0.3">
      <c r="A78" s="29"/>
      <c r="B78" s="11" t="str">
        <f>CONCATENATE("          ", "6382", " - ", "DISCOUNTS/MARK DOWNS")</f>
        <v xml:space="preserve">          6382 - DISCOUNTS/MARK DOWNS</v>
      </c>
      <c r="C78" s="11"/>
      <c r="D78" s="8"/>
      <c r="E78" s="3"/>
      <c r="F78" s="7">
        <f t="shared" si="36"/>
        <v>0</v>
      </c>
      <c r="G78" s="3"/>
      <c r="H78" s="8">
        <v>0</v>
      </c>
      <c r="I78" s="3"/>
      <c r="J78" s="7">
        <f t="shared" si="37"/>
        <v>0</v>
      </c>
      <c r="K78" s="3"/>
      <c r="L78" s="8">
        <f t="shared" si="38"/>
        <v>0</v>
      </c>
      <c r="M78" s="3"/>
      <c r="N78" s="7">
        <f t="shared" si="39"/>
        <v>0</v>
      </c>
      <c r="O78" s="11"/>
      <c r="P78" s="8"/>
      <c r="Q78" s="3"/>
      <c r="R78" s="7">
        <f t="shared" si="40"/>
        <v>0</v>
      </c>
      <c r="S78" s="3"/>
      <c r="T78" s="8">
        <v>0</v>
      </c>
      <c r="U78" s="3"/>
      <c r="V78" s="7">
        <f t="shared" si="41"/>
        <v>0</v>
      </c>
      <c r="W78" s="3"/>
      <c r="X78" s="8">
        <f t="shared" si="42"/>
        <v>0</v>
      </c>
      <c r="Y78" s="3"/>
      <c r="Z78" s="7">
        <f t="shared" si="43"/>
        <v>0</v>
      </c>
    </row>
    <row r="79" spans="1:26" s="24" customFormat="1" hidden="1" outlineLevel="2" x14ac:dyDescent="0.3">
      <c r="A79" s="29"/>
      <c r="B79" s="11" t="str">
        <f>CONCATENATE("          ", "9175", " - ", "EARNED DISCOUNTS")</f>
        <v xml:space="preserve">          9175 - EARNED DISCOUNTS</v>
      </c>
      <c r="C79" s="11"/>
      <c r="D79" s="8">
        <v>-0.68</v>
      </c>
      <c r="E79" s="3"/>
      <c r="F79" s="7">
        <f t="shared" si="36"/>
        <v>-3.0839251219352245E-6</v>
      </c>
      <c r="G79" s="3"/>
      <c r="H79" s="8"/>
      <c r="I79" s="3"/>
      <c r="J79" s="7">
        <f t="shared" si="37"/>
        <v>0</v>
      </c>
      <c r="K79" s="3"/>
      <c r="L79" s="8">
        <f t="shared" si="38"/>
        <v>-0.68</v>
      </c>
      <c r="M79" s="3"/>
      <c r="N79" s="7">
        <f t="shared" si="39"/>
        <v>0</v>
      </c>
      <c r="O79" s="11"/>
      <c r="P79" s="8">
        <v>-0.68</v>
      </c>
      <c r="Q79" s="3"/>
      <c r="R79" s="7">
        <f t="shared" si="40"/>
        <v>-3.0839251219352245E-6</v>
      </c>
      <c r="S79" s="3"/>
      <c r="T79" s="8"/>
      <c r="U79" s="3"/>
      <c r="V79" s="7">
        <f t="shared" si="41"/>
        <v>0</v>
      </c>
      <c r="W79" s="3"/>
      <c r="X79" s="8">
        <f t="shared" si="42"/>
        <v>-0.68</v>
      </c>
      <c r="Y79" s="3"/>
      <c r="Z79" s="7">
        <f t="shared" si="43"/>
        <v>0</v>
      </c>
    </row>
    <row r="80" spans="1:26" s="27" customFormat="1" outlineLevel="1" collapsed="1" x14ac:dyDescent="0.3">
      <c r="A80" s="28"/>
      <c r="B80" s="14" t="str">
        <f>CONCATENATE("     ","Donations                                         ")</f>
        <v xml:space="preserve">     Donations                                         </v>
      </c>
      <c r="C80" s="14"/>
      <c r="D80" s="1">
        <f>SUM(OSRRefD22_7x_0)</f>
        <v>0</v>
      </c>
      <c r="E80" s="1"/>
      <c r="F80" s="5">
        <f t="shared" ref="F80:F88" si="44">IF(D$12=0,0,D80/D$12)</f>
        <v>0</v>
      </c>
      <c r="G80" s="1"/>
      <c r="H80" s="1">
        <f>SUM(OSRRefH22_7x_0)</f>
        <v>1250</v>
      </c>
      <c r="I80" s="1"/>
      <c r="J80" s="5">
        <f t="shared" ref="J80:J88" si="45">IF(H$12=0,0,H80/H$12)</f>
        <v>3.7852062028931087E-3</v>
      </c>
      <c r="K80" s="1"/>
      <c r="L80" s="1">
        <f t="shared" ref="L80:L88" si="46">+D80-H80</f>
        <v>-1250</v>
      </c>
      <c r="M80" s="1"/>
      <c r="N80" s="5">
        <f t="shared" ref="N80:N88" si="47">IF(H80=0,0,L80/H80)</f>
        <v>-1</v>
      </c>
      <c r="O80" s="14"/>
      <c r="P80" s="1">
        <f>SUM(OSRRefP22_7x_0)</f>
        <v>0</v>
      </c>
      <c r="Q80" s="1"/>
      <c r="R80" s="5">
        <f t="shared" ref="R80:R88" si="48">IF(P$12=0,0,P80/P$12)</f>
        <v>0</v>
      </c>
      <c r="S80" s="1"/>
      <c r="T80" s="1">
        <f>SUM(OSRRefT22_7x_0)</f>
        <v>1250</v>
      </c>
      <c r="U80" s="1"/>
      <c r="V80" s="5">
        <f t="shared" ref="V80:V88" si="49">IF(T$12=0,0,T80/T$12)</f>
        <v>3.7852062028931087E-3</v>
      </c>
      <c r="W80" s="1"/>
      <c r="X80" s="1">
        <f t="shared" ref="X80:X88" si="50">+P80-T80</f>
        <v>-1250</v>
      </c>
      <c r="Y80" s="1"/>
      <c r="Z80" s="5">
        <f t="shared" ref="Z80:Z88" si="51">IF(T80=0,0,X80/T80)</f>
        <v>-1</v>
      </c>
    </row>
    <row r="81" spans="1:26" s="24" customFormat="1" hidden="1" outlineLevel="2" x14ac:dyDescent="0.3">
      <c r="A81" s="29"/>
      <c r="B81" s="11" t="str">
        <f>CONCATENATE("          ", "6399", " - ", "DONATION-ON CAMPUS")</f>
        <v xml:space="preserve">          6399 - DONATION-ON CAMPUS</v>
      </c>
      <c r="C81" s="11"/>
      <c r="D81" s="8"/>
      <c r="E81" s="3"/>
      <c r="F81" s="7">
        <f t="shared" si="44"/>
        <v>0</v>
      </c>
      <c r="G81" s="3"/>
      <c r="H81" s="8">
        <v>1250</v>
      </c>
      <c r="I81" s="3"/>
      <c r="J81" s="7">
        <f t="shared" si="45"/>
        <v>3.7852062028931087E-3</v>
      </c>
      <c r="K81" s="3"/>
      <c r="L81" s="8">
        <f t="shared" si="46"/>
        <v>-1250</v>
      </c>
      <c r="M81" s="3"/>
      <c r="N81" s="7">
        <f t="shared" si="47"/>
        <v>-1</v>
      </c>
      <c r="O81" s="11"/>
      <c r="P81" s="8"/>
      <c r="Q81" s="3"/>
      <c r="R81" s="7">
        <f t="shared" si="48"/>
        <v>0</v>
      </c>
      <c r="S81" s="3"/>
      <c r="T81" s="8">
        <v>1250</v>
      </c>
      <c r="U81" s="3"/>
      <c r="V81" s="7">
        <f t="shared" si="49"/>
        <v>3.7852062028931087E-3</v>
      </c>
      <c r="W81" s="3"/>
      <c r="X81" s="8">
        <f t="shared" si="50"/>
        <v>-1250</v>
      </c>
      <c r="Y81" s="3"/>
      <c r="Z81" s="7">
        <f t="shared" si="51"/>
        <v>-1</v>
      </c>
    </row>
    <row r="82" spans="1:26" s="27" customFormat="1" outlineLevel="1" collapsed="1" x14ac:dyDescent="0.3">
      <c r="A82" s="28"/>
      <c r="B82" s="14" t="str">
        <f>CONCATENATE("     ","Employees' Appreciation                           ")</f>
        <v xml:space="preserve">     Employees' Appreciation                           </v>
      </c>
      <c r="C82" s="14"/>
      <c r="D82" s="1">
        <f>SUM(OSRRefD22_8x_0)</f>
        <v>537.36</v>
      </c>
      <c r="E82" s="1"/>
      <c r="F82" s="5">
        <f t="shared" si="44"/>
        <v>2.4370264757692826E-3</v>
      </c>
      <c r="G82" s="1"/>
      <c r="H82" s="1">
        <f>SUM(OSRRefH22_8x_0)</f>
        <v>225</v>
      </c>
      <c r="I82" s="1"/>
      <c r="J82" s="5">
        <f t="shared" si="45"/>
        <v>6.8133711652075958E-4</v>
      </c>
      <c r="K82" s="1"/>
      <c r="L82" s="1">
        <f t="shared" si="46"/>
        <v>312.36</v>
      </c>
      <c r="M82" s="1"/>
      <c r="N82" s="5">
        <f t="shared" si="47"/>
        <v>1.3882666666666668</v>
      </c>
      <c r="O82" s="14"/>
      <c r="P82" s="1">
        <f>SUM(OSRRefP22_8x_0)</f>
        <v>537.36</v>
      </c>
      <c r="Q82" s="1"/>
      <c r="R82" s="5">
        <f t="shared" si="48"/>
        <v>2.4370264757692826E-3</v>
      </c>
      <c r="S82" s="1"/>
      <c r="T82" s="1">
        <f>SUM(OSRRefT22_8x_0)</f>
        <v>225</v>
      </c>
      <c r="U82" s="1"/>
      <c r="V82" s="5">
        <f t="shared" si="49"/>
        <v>6.8133711652075958E-4</v>
      </c>
      <c r="W82" s="1"/>
      <c r="X82" s="1">
        <f t="shared" si="50"/>
        <v>312.36</v>
      </c>
      <c r="Y82" s="1"/>
      <c r="Z82" s="5">
        <f t="shared" si="51"/>
        <v>1.3882666666666668</v>
      </c>
    </row>
    <row r="83" spans="1:26" s="24" customFormat="1" hidden="1" outlineLevel="2" x14ac:dyDescent="0.3">
      <c r="A83" s="29"/>
      <c r="B83" s="11" t="str">
        <f>CONCATENATE("          ", "6277", " - ", "EMPLOYEE APPRECIATION")</f>
        <v xml:space="preserve">          6277 - EMPLOYEE APPRECIATION</v>
      </c>
      <c r="C83" s="11"/>
      <c r="D83" s="8">
        <v>537.36</v>
      </c>
      <c r="E83" s="3"/>
      <c r="F83" s="7">
        <f t="shared" si="44"/>
        <v>2.4370264757692826E-3</v>
      </c>
      <c r="G83" s="3"/>
      <c r="H83" s="8">
        <v>225</v>
      </c>
      <c r="I83" s="3"/>
      <c r="J83" s="7">
        <f t="shared" si="45"/>
        <v>6.8133711652075958E-4</v>
      </c>
      <c r="K83" s="3"/>
      <c r="L83" s="8">
        <f t="shared" si="46"/>
        <v>312.36</v>
      </c>
      <c r="M83" s="3"/>
      <c r="N83" s="7">
        <f t="shared" si="47"/>
        <v>1.3882666666666668</v>
      </c>
      <c r="O83" s="11"/>
      <c r="P83" s="8">
        <v>537.36</v>
      </c>
      <c r="Q83" s="3"/>
      <c r="R83" s="7">
        <f t="shared" si="48"/>
        <v>2.4370264757692826E-3</v>
      </c>
      <c r="S83" s="3"/>
      <c r="T83" s="8">
        <v>225</v>
      </c>
      <c r="U83" s="3"/>
      <c r="V83" s="7">
        <f t="shared" si="49"/>
        <v>6.8133711652075958E-4</v>
      </c>
      <c r="W83" s="3"/>
      <c r="X83" s="8">
        <f t="shared" si="50"/>
        <v>312.36</v>
      </c>
      <c r="Y83" s="3"/>
      <c r="Z83" s="7">
        <f t="shared" si="51"/>
        <v>1.3882666666666668</v>
      </c>
    </row>
    <row r="84" spans="1:26" s="27" customFormat="1" outlineLevel="1" collapsed="1" x14ac:dyDescent="0.3">
      <c r="A84" s="28"/>
      <c r="B84" s="14" t="str">
        <f>CONCATENATE("     ","Equipment Rental                                  ")</f>
        <v xml:space="preserve">     Equipment Rental                                  </v>
      </c>
      <c r="C84" s="14"/>
      <c r="D84" s="1">
        <f>SUM(OSRRefD22_9x_0)</f>
        <v>1388.16</v>
      </c>
      <c r="E84" s="1"/>
      <c r="F84" s="5">
        <f t="shared" si="44"/>
        <v>6.2955610253905897E-3</v>
      </c>
      <c r="G84" s="1"/>
      <c r="H84" s="1">
        <f>SUM(OSRRefH22_9x_0)</f>
        <v>1776</v>
      </c>
      <c r="I84" s="1"/>
      <c r="J84" s="5">
        <f t="shared" si="45"/>
        <v>5.3780209730705294E-3</v>
      </c>
      <c r="K84" s="1"/>
      <c r="L84" s="1">
        <f t="shared" si="46"/>
        <v>-387.83999999999992</v>
      </c>
      <c r="M84" s="1"/>
      <c r="N84" s="5">
        <f t="shared" si="47"/>
        <v>-0.21837837837837834</v>
      </c>
      <c r="O84" s="14"/>
      <c r="P84" s="1">
        <f>SUM(OSRRefP22_9x_0)</f>
        <v>1388.16</v>
      </c>
      <c r="Q84" s="1"/>
      <c r="R84" s="5">
        <f t="shared" si="48"/>
        <v>6.2955610253905897E-3</v>
      </c>
      <c r="S84" s="1"/>
      <c r="T84" s="1">
        <f>SUM(OSRRefT22_9x_0)</f>
        <v>1776</v>
      </c>
      <c r="U84" s="1"/>
      <c r="V84" s="5">
        <f t="shared" si="49"/>
        <v>5.3780209730705294E-3</v>
      </c>
      <c r="W84" s="1"/>
      <c r="X84" s="1">
        <f t="shared" si="50"/>
        <v>-387.83999999999992</v>
      </c>
      <c r="Y84" s="1"/>
      <c r="Z84" s="5">
        <f t="shared" si="51"/>
        <v>-0.21837837837837834</v>
      </c>
    </row>
    <row r="85" spans="1:26" s="24" customFormat="1" hidden="1" outlineLevel="2" x14ac:dyDescent="0.3">
      <c r="A85" s="29"/>
      <c r="B85" s="11" t="str">
        <f>CONCATENATE("          ", "6351", " - ", "EQUIPMENT RENTAL")</f>
        <v xml:space="preserve">          6351 - EQUIPMENT RENTAL</v>
      </c>
      <c r="C85" s="11"/>
      <c r="D85" s="8">
        <v>1388.16</v>
      </c>
      <c r="E85" s="3"/>
      <c r="F85" s="7">
        <f t="shared" si="44"/>
        <v>6.2955610253905897E-3</v>
      </c>
      <c r="G85" s="3"/>
      <c r="H85" s="8">
        <v>1776</v>
      </c>
      <c r="I85" s="3"/>
      <c r="J85" s="7">
        <f t="shared" si="45"/>
        <v>5.3780209730705294E-3</v>
      </c>
      <c r="K85" s="3"/>
      <c r="L85" s="8">
        <f t="shared" si="46"/>
        <v>-387.83999999999992</v>
      </c>
      <c r="M85" s="3"/>
      <c r="N85" s="7">
        <f t="shared" si="47"/>
        <v>-0.21837837837837834</v>
      </c>
      <c r="O85" s="11"/>
      <c r="P85" s="8">
        <v>1388.16</v>
      </c>
      <c r="Q85" s="3"/>
      <c r="R85" s="7">
        <f t="shared" si="48"/>
        <v>6.2955610253905897E-3</v>
      </c>
      <c r="S85" s="3"/>
      <c r="T85" s="8">
        <v>1776</v>
      </c>
      <c r="U85" s="3"/>
      <c r="V85" s="7">
        <f t="shared" si="49"/>
        <v>5.3780209730705294E-3</v>
      </c>
      <c r="W85" s="3"/>
      <c r="X85" s="8">
        <f t="shared" si="50"/>
        <v>-387.83999999999992</v>
      </c>
      <c r="Y85" s="3"/>
      <c r="Z85" s="7">
        <f t="shared" si="51"/>
        <v>-0.21837837837837834</v>
      </c>
    </row>
    <row r="86" spans="1:26" s="27" customFormat="1" outlineLevel="1" collapsed="1" x14ac:dyDescent="0.3">
      <c r="A86" s="28"/>
      <c r="B86" s="14" t="str">
        <f>CONCATENATE("     ","Freight out/Postage                               ")</f>
        <v xml:space="preserve">     Freight out/Postage                               </v>
      </c>
      <c r="C86" s="14"/>
      <c r="D86" s="1">
        <f>SUM(OSRRefD22_10x_0)</f>
        <v>3589.6099999999997</v>
      </c>
      <c r="E86" s="1"/>
      <c r="F86" s="5">
        <f t="shared" si="44"/>
        <v>1.6279541848455734E-2</v>
      </c>
      <c r="G86" s="1"/>
      <c r="H86" s="1">
        <f>SUM(OSRRefH22_10x_0)</f>
        <v>5450</v>
      </c>
      <c r="I86" s="1"/>
      <c r="J86" s="5">
        <f t="shared" si="45"/>
        <v>1.6503499044613953E-2</v>
      </c>
      <c r="K86" s="1"/>
      <c r="L86" s="1">
        <f t="shared" si="46"/>
        <v>-1860.3900000000003</v>
      </c>
      <c r="M86" s="1"/>
      <c r="N86" s="5">
        <f t="shared" si="47"/>
        <v>-0.34135596330275236</v>
      </c>
      <c r="O86" s="14"/>
      <c r="P86" s="1">
        <f>SUM(OSRRefP22_10x_0)</f>
        <v>3589.6099999999997</v>
      </c>
      <c r="Q86" s="1"/>
      <c r="R86" s="5">
        <f t="shared" si="48"/>
        <v>1.6279541848455734E-2</v>
      </c>
      <c r="S86" s="1"/>
      <c r="T86" s="1">
        <f>SUM(OSRRefT22_10x_0)</f>
        <v>5450</v>
      </c>
      <c r="U86" s="1"/>
      <c r="V86" s="5">
        <f t="shared" si="49"/>
        <v>1.6503499044613953E-2</v>
      </c>
      <c r="W86" s="1"/>
      <c r="X86" s="1">
        <f t="shared" si="50"/>
        <v>-1860.3900000000003</v>
      </c>
      <c r="Y86" s="1"/>
      <c r="Z86" s="5">
        <f t="shared" si="51"/>
        <v>-0.34135596330275236</v>
      </c>
    </row>
    <row r="87" spans="1:26" s="24" customFormat="1" hidden="1" outlineLevel="2" x14ac:dyDescent="0.3">
      <c r="A87" s="29"/>
      <c r="B87" s="11" t="str">
        <f>CONCATENATE("          ", "6305", " - ", "FREIGHT OUT")</f>
        <v xml:space="preserve">          6305 - FREIGHT OUT</v>
      </c>
      <c r="C87" s="11"/>
      <c r="D87" s="8">
        <v>10889.5</v>
      </c>
      <c r="E87" s="3"/>
      <c r="F87" s="7">
        <f t="shared" si="44"/>
        <v>4.9385886198990626E-2</v>
      </c>
      <c r="G87" s="3"/>
      <c r="H87" s="8">
        <v>9350</v>
      </c>
      <c r="I87" s="3"/>
      <c r="J87" s="7">
        <f t="shared" si="45"/>
        <v>2.8313342397640454E-2</v>
      </c>
      <c r="K87" s="3"/>
      <c r="L87" s="8">
        <f t="shared" si="46"/>
        <v>1539.5</v>
      </c>
      <c r="M87" s="3"/>
      <c r="N87" s="7">
        <f t="shared" si="47"/>
        <v>0.16465240641711229</v>
      </c>
      <c r="O87" s="11"/>
      <c r="P87" s="8">
        <v>10889.5</v>
      </c>
      <c r="Q87" s="3"/>
      <c r="R87" s="7">
        <f t="shared" si="48"/>
        <v>4.9385886198990626E-2</v>
      </c>
      <c r="S87" s="3"/>
      <c r="T87" s="8">
        <v>9350</v>
      </c>
      <c r="U87" s="3"/>
      <c r="V87" s="7">
        <f t="shared" si="49"/>
        <v>2.8313342397640454E-2</v>
      </c>
      <c r="W87" s="3"/>
      <c r="X87" s="8">
        <f t="shared" si="50"/>
        <v>1539.5</v>
      </c>
      <c r="Y87" s="3"/>
      <c r="Z87" s="7">
        <f t="shared" si="51"/>
        <v>0.16465240641711229</v>
      </c>
    </row>
    <row r="88" spans="1:26" s="24" customFormat="1" hidden="1" outlineLevel="2" x14ac:dyDescent="0.3">
      <c r="A88" s="29"/>
      <c r="B88" s="11" t="str">
        <f>CONCATENATE("          ", "6307", " - ", "POSTAGE")</f>
        <v xml:space="preserve">          6307 - POSTAGE</v>
      </c>
      <c r="C88" s="11"/>
      <c r="D88" s="8">
        <v>-7299.89</v>
      </c>
      <c r="E88" s="3"/>
      <c r="F88" s="7">
        <f t="shared" si="44"/>
        <v>-3.3106344350534889E-2</v>
      </c>
      <c r="G88" s="3"/>
      <c r="H88" s="8">
        <v>-3900</v>
      </c>
      <c r="I88" s="3"/>
      <c r="J88" s="7">
        <f t="shared" si="45"/>
        <v>-1.1809843353026499E-2</v>
      </c>
      <c r="K88" s="3"/>
      <c r="L88" s="8">
        <f t="shared" si="46"/>
        <v>-3399.8900000000003</v>
      </c>
      <c r="M88" s="3"/>
      <c r="N88" s="7">
        <f t="shared" si="47"/>
        <v>0.8717666666666668</v>
      </c>
      <c r="O88" s="11"/>
      <c r="P88" s="8">
        <v>-7299.89</v>
      </c>
      <c r="Q88" s="3"/>
      <c r="R88" s="7">
        <f t="shared" si="48"/>
        <v>-3.3106344350534889E-2</v>
      </c>
      <c r="S88" s="3"/>
      <c r="T88" s="8">
        <v>-3900</v>
      </c>
      <c r="U88" s="3"/>
      <c r="V88" s="7">
        <f t="shared" si="49"/>
        <v>-1.1809843353026499E-2</v>
      </c>
      <c r="W88" s="3"/>
      <c r="X88" s="8">
        <f t="shared" si="50"/>
        <v>-3399.8900000000003</v>
      </c>
      <c r="Y88" s="3"/>
      <c r="Z88" s="7">
        <f t="shared" si="51"/>
        <v>0.8717666666666668</v>
      </c>
    </row>
    <row r="89" spans="1:26" s="27" customFormat="1" outlineLevel="1" collapsed="1" x14ac:dyDescent="0.3">
      <c r="A89" s="28"/>
      <c r="B89" s="14" t="str">
        <f>CONCATENATE("     ","General                                           ")</f>
        <v xml:space="preserve">     General                                           </v>
      </c>
      <c r="C89" s="14"/>
      <c r="D89" s="1">
        <f>SUM(OSRRefD22_11x_0)</f>
        <v>778</v>
      </c>
      <c r="E89" s="1"/>
      <c r="F89" s="5">
        <f t="shared" ref="F89:F91" si="52">IF(D$12=0,0,D89/D$12)</f>
        <v>3.5283731542141241E-3</v>
      </c>
      <c r="G89" s="1"/>
      <c r="H89" s="1">
        <f>SUM(OSRRefH22_11x_0)</f>
        <v>325</v>
      </c>
      <c r="I89" s="1"/>
      <c r="J89" s="5">
        <f t="shared" ref="J89:J91" si="53">IF(H$12=0,0,H89/H$12)</f>
        <v>9.8415361275220833E-4</v>
      </c>
      <c r="K89" s="1"/>
      <c r="L89" s="1">
        <f t="shared" ref="L89:L91" si="54">+D89-H89</f>
        <v>453</v>
      </c>
      <c r="M89" s="1"/>
      <c r="N89" s="5">
        <f t="shared" ref="N89:N91" si="55">IF(H89=0,0,L89/H89)</f>
        <v>1.393846153846154</v>
      </c>
      <c r="O89" s="14"/>
      <c r="P89" s="1">
        <f>SUM(OSRRefP22_11x_0)</f>
        <v>778</v>
      </c>
      <c r="Q89" s="1"/>
      <c r="R89" s="5">
        <f t="shared" ref="R89:R91" si="56">IF(P$12=0,0,P89/P$12)</f>
        <v>3.5283731542141241E-3</v>
      </c>
      <c r="S89" s="1"/>
      <c r="T89" s="1">
        <f>SUM(OSRRefT22_11x_0)</f>
        <v>325</v>
      </c>
      <c r="U89" s="1"/>
      <c r="V89" s="5">
        <f t="shared" ref="V89:V91" si="57">IF(T$12=0,0,T89/T$12)</f>
        <v>9.8415361275220833E-4</v>
      </c>
      <c r="W89" s="1"/>
      <c r="X89" s="1">
        <f t="shared" ref="X89:X91" si="58">+P89-T89</f>
        <v>453</v>
      </c>
      <c r="Y89" s="1"/>
      <c r="Z89" s="5">
        <f t="shared" ref="Z89:Z91" si="59">IF(T89=0,0,X89/T89)</f>
        <v>1.393846153846154</v>
      </c>
    </row>
    <row r="90" spans="1:26" s="24" customFormat="1" hidden="1" outlineLevel="2" x14ac:dyDescent="0.3">
      <c r="A90" s="29"/>
      <c r="B90" s="11" t="str">
        <f>CONCATENATE("          ", "6276", " - ", "PROPERTY TAX")</f>
        <v xml:space="preserve">          6276 - PROPERTY TAX</v>
      </c>
      <c r="C90" s="11"/>
      <c r="D90" s="8"/>
      <c r="E90" s="3"/>
      <c r="F90" s="7">
        <f t="shared" si="52"/>
        <v>0</v>
      </c>
      <c r="G90" s="3"/>
      <c r="H90" s="8">
        <v>125</v>
      </c>
      <c r="I90" s="3"/>
      <c r="J90" s="7">
        <f t="shared" si="53"/>
        <v>3.7852062028931088E-4</v>
      </c>
      <c r="K90" s="3"/>
      <c r="L90" s="8">
        <f t="shared" si="54"/>
        <v>-125</v>
      </c>
      <c r="M90" s="3"/>
      <c r="N90" s="7">
        <f t="shared" si="55"/>
        <v>-1</v>
      </c>
      <c r="O90" s="11"/>
      <c r="P90" s="8"/>
      <c r="Q90" s="3"/>
      <c r="R90" s="7">
        <f t="shared" si="56"/>
        <v>0</v>
      </c>
      <c r="S90" s="3"/>
      <c r="T90" s="8">
        <v>125</v>
      </c>
      <c r="U90" s="3"/>
      <c r="V90" s="7">
        <f t="shared" si="57"/>
        <v>3.7852062028931088E-4</v>
      </c>
      <c r="W90" s="3"/>
      <c r="X90" s="8">
        <f t="shared" si="58"/>
        <v>-125</v>
      </c>
      <c r="Y90" s="3"/>
      <c r="Z90" s="7">
        <f t="shared" si="59"/>
        <v>-1</v>
      </c>
    </row>
    <row r="91" spans="1:26" s="24" customFormat="1" hidden="1" outlineLevel="2" x14ac:dyDescent="0.3">
      <c r="A91" s="29"/>
      <c r="B91" s="11" t="str">
        <f>CONCATENATE("          ", "6279", " - ", "GENERAL EXPENSE")</f>
        <v xml:space="preserve">          6279 - GENERAL EXPENSE</v>
      </c>
      <c r="C91" s="11"/>
      <c r="D91" s="8">
        <v>778</v>
      </c>
      <c r="E91" s="3"/>
      <c r="F91" s="7">
        <f t="shared" si="52"/>
        <v>3.5283731542141241E-3</v>
      </c>
      <c r="G91" s="3"/>
      <c r="H91" s="8">
        <v>200</v>
      </c>
      <c r="I91" s="3"/>
      <c r="J91" s="7">
        <f t="shared" si="53"/>
        <v>6.0563299246289739E-4</v>
      </c>
      <c r="K91" s="3"/>
      <c r="L91" s="8">
        <f t="shared" si="54"/>
        <v>578</v>
      </c>
      <c r="M91" s="3"/>
      <c r="N91" s="7">
        <f t="shared" si="55"/>
        <v>2.89</v>
      </c>
      <c r="O91" s="11"/>
      <c r="P91" s="8">
        <v>778</v>
      </c>
      <c r="Q91" s="3"/>
      <c r="R91" s="7">
        <f t="shared" si="56"/>
        <v>3.5283731542141241E-3</v>
      </c>
      <c r="S91" s="3"/>
      <c r="T91" s="8">
        <v>200</v>
      </c>
      <c r="U91" s="3"/>
      <c r="V91" s="7">
        <f t="shared" si="57"/>
        <v>6.0563299246289739E-4</v>
      </c>
      <c r="W91" s="3"/>
      <c r="X91" s="8">
        <f t="shared" si="58"/>
        <v>578</v>
      </c>
      <c r="Y91" s="3"/>
      <c r="Z91" s="7">
        <f t="shared" si="59"/>
        <v>2.89</v>
      </c>
    </row>
    <row r="92" spans="1:26" s="27" customFormat="1" outlineLevel="1" collapsed="1" x14ac:dyDescent="0.3">
      <c r="A92" s="28"/>
      <c r="B92" s="14" t="str">
        <f>CONCATENATE("     ","Insurance                                         ")</f>
        <v xml:space="preserve">     Insurance                                         </v>
      </c>
      <c r="C92" s="14"/>
      <c r="D92" s="1">
        <f>SUM(OSRRefD22_12x_0)</f>
        <v>5825.58</v>
      </c>
      <c r="E92" s="1"/>
      <c r="F92" s="5">
        <f t="shared" ref="F92:F106" si="60">IF(D$12=0,0,D92/D$12)</f>
        <v>2.6420077223299122E-2</v>
      </c>
      <c r="G92" s="1"/>
      <c r="H92" s="1">
        <f>SUM(OSRRefH22_12x_0)</f>
        <v>5705</v>
      </c>
      <c r="I92" s="1"/>
      <c r="J92" s="5">
        <f t="shared" ref="J92:J106" si="61">IF(H$12=0,0,H92/H$12)</f>
        <v>1.7275681110004149E-2</v>
      </c>
      <c r="K92" s="1"/>
      <c r="L92" s="1">
        <f t="shared" ref="L92:L106" si="62">+D92-H92</f>
        <v>120.57999999999993</v>
      </c>
      <c r="M92" s="1"/>
      <c r="N92" s="5">
        <f t="shared" ref="N92:N106" si="63">IF(H92=0,0,L92/H92)</f>
        <v>2.1135845749342668E-2</v>
      </c>
      <c r="O92" s="14"/>
      <c r="P92" s="1">
        <f>SUM(OSRRefP22_12x_0)</f>
        <v>5825.58</v>
      </c>
      <c r="Q92" s="1"/>
      <c r="R92" s="5">
        <f t="shared" ref="R92:R106" si="64">IF(P$12=0,0,P92/P$12)</f>
        <v>2.6420077223299122E-2</v>
      </c>
      <c r="S92" s="1"/>
      <c r="T92" s="1">
        <f>SUM(OSRRefT22_12x_0)</f>
        <v>5705</v>
      </c>
      <c r="U92" s="1"/>
      <c r="V92" s="5">
        <f t="shared" ref="V92:V106" si="65">IF(T$12=0,0,T92/T$12)</f>
        <v>1.7275681110004149E-2</v>
      </c>
      <c r="W92" s="1"/>
      <c r="X92" s="1">
        <f t="shared" ref="X92:X106" si="66">+P92-T92</f>
        <v>120.57999999999993</v>
      </c>
      <c r="Y92" s="1"/>
      <c r="Z92" s="5">
        <f t="shared" ref="Z92:Z106" si="67">IF(T92=0,0,X92/T92)</f>
        <v>2.1135845749342668E-2</v>
      </c>
    </row>
    <row r="93" spans="1:26" s="24" customFormat="1" hidden="1" outlineLevel="2" x14ac:dyDescent="0.3">
      <c r="A93" s="29"/>
      <c r="B93" s="11" t="str">
        <f>CONCATENATE("          ", "6314", " - ", "LIABILITY INSURANCE")</f>
        <v xml:space="preserve">          6314 - LIABILITY INSURANCE</v>
      </c>
      <c r="C93" s="11"/>
      <c r="D93" s="8">
        <v>5825.58</v>
      </c>
      <c r="E93" s="3"/>
      <c r="F93" s="7">
        <f t="shared" si="60"/>
        <v>2.6420077223299122E-2</v>
      </c>
      <c r="G93" s="3"/>
      <c r="H93" s="8">
        <v>5705</v>
      </c>
      <c r="I93" s="3"/>
      <c r="J93" s="7">
        <f t="shared" si="61"/>
        <v>1.7275681110004149E-2</v>
      </c>
      <c r="K93" s="3"/>
      <c r="L93" s="8">
        <f t="shared" si="62"/>
        <v>120.57999999999993</v>
      </c>
      <c r="M93" s="3"/>
      <c r="N93" s="7">
        <f t="shared" si="63"/>
        <v>2.1135845749342668E-2</v>
      </c>
      <c r="O93" s="11"/>
      <c r="P93" s="8">
        <v>5825.58</v>
      </c>
      <c r="Q93" s="3"/>
      <c r="R93" s="7">
        <f t="shared" si="64"/>
        <v>2.6420077223299122E-2</v>
      </c>
      <c r="S93" s="3"/>
      <c r="T93" s="8">
        <v>5705</v>
      </c>
      <c r="U93" s="3"/>
      <c r="V93" s="7">
        <f t="shared" si="65"/>
        <v>1.7275681110004149E-2</v>
      </c>
      <c r="W93" s="3"/>
      <c r="X93" s="8">
        <f t="shared" si="66"/>
        <v>120.57999999999993</v>
      </c>
      <c r="Y93" s="3"/>
      <c r="Z93" s="7">
        <f t="shared" si="67"/>
        <v>2.1135845749342668E-2</v>
      </c>
    </row>
    <row r="94" spans="1:26" s="27" customFormat="1" outlineLevel="1" collapsed="1" x14ac:dyDescent="0.3">
      <c r="A94" s="28"/>
      <c r="B94" s="14" t="str">
        <f>CONCATENATE("     ","Interest                                          ")</f>
        <v xml:space="preserve">     Interest                                          </v>
      </c>
      <c r="C94" s="14"/>
      <c r="D94" s="1">
        <f>SUM(OSRRefD22_13x_0)</f>
        <v>3905</v>
      </c>
      <c r="E94" s="1"/>
      <c r="F94" s="5">
        <f t="shared" si="60"/>
        <v>1.770989353111331E-2</v>
      </c>
      <c r="G94" s="1"/>
      <c r="H94" s="1">
        <f>SUM(OSRRefH22_13x_0)</f>
        <v>3905</v>
      </c>
      <c r="I94" s="1"/>
      <c r="J94" s="5">
        <f t="shared" si="61"/>
        <v>1.1824984177838073E-2</v>
      </c>
      <c r="K94" s="1"/>
      <c r="L94" s="1">
        <f t="shared" si="62"/>
        <v>0</v>
      </c>
      <c r="M94" s="1"/>
      <c r="N94" s="5">
        <f t="shared" si="63"/>
        <v>0</v>
      </c>
      <c r="O94" s="14"/>
      <c r="P94" s="1">
        <f>SUM(OSRRefP22_13x_0)</f>
        <v>3905</v>
      </c>
      <c r="Q94" s="1"/>
      <c r="R94" s="5">
        <f t="shared" si="64"/>
        <v>1.770989353111331E-2</v>
      </c>
      <c r="S94" s="1"/>
      <c r="T94" s="1">
        <f>SUM(OSRRefT22_13x_0)</f>
        <v>3905</v>
      </c>
      <c r="U94" s="1"/>
      <c r="V94" s="5">
        <f t="shared" si="65"/>
        <v>1.1824984177838073E-2</v>
      </c>
      <c r="W94" s="1"/>
      <c r="X94" s="1">
        <f t="shared" si="66"/>
        <v>0</v>
      </c>
      <c r="Y94" s="1"/>
      <c r="Z94" s="5">
        <f t="shared" si="67"/>
        <v>0</v>
      </c>
    </row>
    <row r="95" spans="1:26" s="24" customFormat="1" hidden="1" outlineLevel="2" x14ac:dyDescent="0.3">
      <c r="A95" s="29"/>
      <c r="B95" s="11" t="str">
        <f>CONCATENATE("          ", "6401", " - ", "INTEREST EXPENSE")</f>
        <v xml:space="preserve">          6401 - INTEREST EXPENSE</v>
      </c>
      <c r="C95" s="11"/>
      <c r="D95" s="8">
        <v>3905</v>
      </c>
      <c r="E95" s="3"/>
      <c r="F95" s="7">
        <f t="shared" si="60"/>
        <v>1.770989353111331E-2</v>
      </c>
      <c r="G95" s="3"/>
      <c r="H95" s="8">
        <v>3905</v>
      </c>
      <c r="I95" s="3"/>
      <c r="J95" s="7">
        <f t="shared" si="61"/>
        <v>1.1824984177838073E-2</v>
      </c>
      <c r="K95" s="3"/>
      <c r="L95" s="8">
        <f t="shared" si="62"/>
        <v>0</v>
      </c>
      <c r="M95" s="3"/>
      <c r="N95" s="7">
        <f t="shared" si="63"/>
        <v>0</v>
      </c>
      <c r="O95" s="11"/>
      <c r="P95" s="8">
        <v>3905</v>
      </c>
      <c r="Q95" s="3"/>
      <c r="R95" s="7">
        <f t="shared" si="64"/>
        <v>1.770989353111331E-2</v>
      </c>
      <c r="S95" s="3"/>
      <c r="T95" s="8">
        <v>3905</v>
      </c>
      <c r="U95" s="3"/>
      <c r="V95" s="7">
        <f t="shared" si="65"/>
        <v>1.1824984177838073E-2</v>
      </c>
      <c r="W95" s="3"/>
      <c r="X95" s="8">
        <f t="shared" si="66"/>
        <v>0</v>
      </c>
      <c r="Y95" s="3"/>
      <c r="Z95" s="7">
        <f t="shared" si="67"/>
        <v>0</v>
      </c>
    </row>
    <row r="96" spans="1:26" s="27" customFormat="1" outlineLevel="1" collapsed="1" x14ac:dyDescent="0.3">
      <c r="A96" s="28"/>
      <c r="B96" s="14" t="str">
        <f>CONCATENATE("     ","Inventory Adjustment                              ")</f>
        <v xml:space="preserve">     Inventory Adjustment                              </v>
      </c>
      <c r="C96" s="14"/>
      <c r="D96" s="1">
        <f>SUM(OSRRefD22_14x_0)</f>
        <v>5100</v>
      </c>
      <c r="E96" s="1"/>
      <c r="F96" s="5">
        <f t="shared" si="60"/>
        <v>2.3129438414514182E-2</v>
      </c>
      <c r="G96" s="1"/>
      <c r="H96" s="1">
        <f>SUM(OSRRefH22_14x_0)</f>
        <v>5100</v>
      </c>
      <c r="I96" s="1"/>
      <c r="J96" s="5">
        <f t="shared" si="61"/>
        <v>1.5443641307803884E-2</v>
      </c>
      <c r="K96" s="1"/>
      <c r="L96" s="1">
        <f t="shared" si="62"/>
        <v>0</v>
      </c>
      <c r="M96" s="1"/>
      <c r="N96" s="5">
        <f t="shared" si="63"/>
        <v>0</v>
      </c>
      <c r="O96" s="14"/>
      <c r="P96" s="1">
        <f>SUM(OSRRefP22_14x_0)</f>
        <v>5100</v>
      </c>
      <c r="Q96" s="1"/>
      <c r="R96" s="5">
        <f t="shared" si="64"/>
        <v>2.3129438414514182E-2</v>
      </c>
      <c r="S96" s="1"/>
      <c r="T96" s="1">
        <f>SUM(OSRRefT22_14x_0)</f>
        <v>5100</v>
      </c>
      <c r="U96" s="1"/>
      <c r="V96" s="5">
        <f t="shared" si="65"/>
        <v>1.5443641307803884E-2</v>
      </c>
      <c r="W96" s="1"/>
      <c r="X96" s="1">
        <f t="shared" si="66"/>
        <v>0</v>
      </c>
      <c r="Y96" s="1"/>
      <c r="Z96" s="5">
        <f t="shared" si="67"/>
        <v>0</v>
      </c>
    </row>
    <row r="97" spans="1:26" s="24" customFormat="1" hidden="1" outlineLevel="2" x14ac:dyDescent="0.3">
      <c r="A97" s="29"/>
      <c r="B97" s="11" t="str">
        <f>CONCATENATE("          ", "6408", " - ", "INVENTORY ADJUSTMENT")</f>
        <v xml:space="preserve">          6408 - INVENTORY ADJUSTMENT</v>
      </c>
      <c r="C97" s="11"/>
      <c r="D97" s="8">
        <v>5100</v>
      </c>
      <c r="E97" s="3"/>
      <c r="F97" s="7">
        <f t="shared" si="60"/>
        <v>2.3129438414514182E-2</v>
      </c>
      <c r="G97" s="3"/>
      <c r="H97" s="8">
        <v>5100</v>
      </c>
      <c r="I97" s="3"/>
      <c r="J97" s="7">
        <f t="shared" si="61"/>
        <v>1.5443641307803884E-2</v>
      </c>
      <c r="K97" s="3"/>
      <c r="L97" s="8">
        <f t="shared" si="62"/>
        <v>0</v>
      </c>
      <c r="M97" s="3"/>
      <c r="N97" s="7">
        <f t="shared" si="63"/>
        <v>0</v>
      </c>
      <c r="O97" s="11"/>
      <c r="P97" s="8">
        <v>5100</v>
      </c>
      <c r="Q97" s="3"/>
      <c r="R97" s="7">
        <f t="shared" si="64"/>
        <v>2.3129438414514182E-2</v>
      </c>
      <c r="S97" s="3"/>
      <c r="T97" s="8">
        <v>5100</v>
      </c>
      <c r="U97" s="3"/>
      <c r="V97" s="7">
        <f t="shared" si="65"/>
        <v>1.5443641307803884E-2</v>
      </c>
      <c r="W97" s="3"/>
      <c r="X97" s="8">
        <f t="shared" si="66"/>
        <v>0</v>
      </c>
      <c r="Y97" s="3"/>
      <c r="Z97" s="7">
        <f t="shared" si="67"/>
        <v>0</v>
      </c>
    </row>
    <row r="98" spans="1:26" s="27" customFormat="1" outlineLevel="1" collapsed="1" x14ac:dyDescent="0.3">
      <c r="A98" s="28"/>
      <c r="B98" s="14" t="str">
        <f>CONCATENATE("     ","Professional Services                             ")</f>
        <v xml:space="preserve">     Professional Services                             </v>
      </c>
      <c r="C98" s="14"/>
      <c r="D98" s="1">
        <f>SUM(OSRRefD22_15x_0)</f>
        <v>0</v>
      </c>
      <c r="E98" s="1"/>
      <c r="F98" s="5">
        <f t="shared" si="60"/>
        <v>0</v>
      </c>
      <c r="G98" s="1"/>
      <c r="H98" s="1">
        <f>SUM(OSRRefH22_15x_0)</f>
        <v>1000</v>
      </c>
      <c r="I98" s="1"/>
      <c r="J98" s="5">
        <f t="shared" si="61"/>
        <v>3.0281649623144871E-3</v>
      </c>
      <c r="K98" s="1"/>
      <c r="L98" s="1">
        <f t="shared" si="62"/>
        <v>-1000</v>
      </c>
      <c r="M98" s="1"/>
      <c r="N98" s="5">
        <f t="shared" si="63"/>
        <v>-1</v>
      </c>
      <c r="O98" s="14"/>
      <c r="P98" s="1">
        <f>SUM(OSRRefP22_15x_0)</f>
        <v>0</v>
      </c>
      <c r="Q98" s="1"/>
      <c r="R98" s="5">
        <f t="shared" si="64"/>
        <v>0</v>
      </c>
      <c r="S98" s="1"/>
      <c r="T98" s="1">
        <f>SUM(OSRRefT22_15x_0)</f>
        <v>1000</v>
      </c>
      <c r="U98" s="1"/>
      <c r="V98" s="5">
        <f t="shared" si="65"/>
        <v>3.0281649623144871E-3</v>
      </c>
      <c r="W98" s="1"/>
      <c r="X98" s="1">
        <f t="shared" si="66"/>
        <v>-1000</v>
      </c>
      <c r="Y98" s="1"/>
      <c r="Z98" s="5">
        <f t="shared" si="67"/>
        <v>-1</v>
      </c>
    </row>
    <row r="99" spans="1:26" s="24" customFormat="1" hidden="1" outlineLevel="2" x14ac:dyDescent="0.3">
      <c r="A99" s="29"/>
      <c r="B99" s="11" t="str">
        <f>CONCATENATE("          ", "6336", " - ", "PROFESSIONAL SERVICES")</f>
        <v xml:space="preserve">          6336 - PROFESSIONAL SERVICES</v>
      </c>
      <c r="C99" s="11"/>
      <c r="D99" s="8"/>
      <c r="E99" s="3"/>
      <c r="F99" s="7">
        <f t="shared" si="60"/>
        <v>0</v>
      </c>
      <c r="G99" s="3"/>
      <c r="H99" s="8">
        <v>1000</v>
      </c>
      <c r="I99" s="3"/>
      <c r="J99" s="7">
        <f t="shared" si="61"/>
        <v>3.0281649623144871E-3</v>
      </c>
      <c r="K99" s="3"/>
      <c r="L99" s="8">
        <f t="shared" si="62"/>
        <v>-1000</v>
      </c>
      <c r="M99" s="3"/>
      <c r="N99" s="7">
        <f t="shared" si="63"/>
        <v>-1</v>
      </c>
      <c r="O99" s="11"/>
      <c r="P99" s="8"/>
      <c r="Q99" s="3"/>
      <c r="R99" s="7">
        <f t="shared" si="64"/>
        <v>0</v>
      </c>
      <c r="S99" s="3"/>
      <c r="T99" s="8">
        <v>1000</v>
      </c>
      <c r="U99" s="3"/>
      <c r="V99" s="7">
        <f t="shared" si="65"/>
        <v>3.0281649623144871E-3</v>
      </c>
      <c r="W99" s="3"/>
      <c r="X99" s="8">
        <f t="shared" si="66"/>
        <v>-1000</v>
      </c>
      <c r="Y99" s="3"/>
      <c r="Z99" s="7">
        <f t="shared" si="67"/>
        <v>-1</v>
      </c>
    </row>
    <row r="100" spans="1:26" s="27" customFormat="1" outlineLevel="1" collapsed="1" x14ac:dyDescent="0.3">
      <c r="A100" s="28"/>
      <c r="B100" s="14" t="str">
        <f>CONCATENATE("     ","Rent                                              ")</f>
        <v xml:space="preserve">     Rent                                              </v>
      </c>
      <c r="C100" s="14"/>
      <c r="D100" s="1">
        <f>SUM(OSRRefD22_16x_0)</f>
        <v>6100</v>
      </c>
      <c r="E100" s="1"/>
      <c r="F100" s="5">
        <f t="shared" si="60"/>
        <v>2.7664622417360101E-2</v>
      </c>
      <c r="G100" s="1"/>
      <c r="H100" s="1">
        <f>SUM(OSRRefH22_16x_0)</f>
        <v>6100</v>
      </c>
      <c r="I100" s="1"/>
      <c r="J100" s="5">
        <f t="shared" si="61"/>
        <v>1.8471806270118372E-2</v>
      </c>
      <c r="K100" s="1"/>
      <c r="L100" s="1">
        <f t="shared" si="62"/>
        <v>0</v>
      </c>
      <c r="M100" s="1"/>
      <c r="N100" s="5">
        <f t="shared" si="63"/>
        <v>0</v>
      </c>
      <c r="O100" s="14"/>
      <c r="P100" s="1">
        <f>SUM(OSRRefP22_16x_0)</f>
        <v>6100</v>
      </c>
      <c r="Q100" s="1"/>
      <c r="R100" s="5">
        <f t="shared" si="64"/>
        <v>2.7664622417360101E-2</v>
      </c>
      <c r="S100" s="1"/>
      <c r="T100" s="1">
        <f>SUM(OSRRefT22_16x_0)</f>
        <v>6100</v>
      </c>
      <c r="U100" s="1"/>
      <c r="V100" s="5">
        <f t="shared" si="65"/>
        <v>1.8471806270118372E-2</v>
      </c>
      <c r="W100" s="1"/>
      <c r="X100" s="1">
        <f t="shared" si="66"/>
        <v>0</v>
      </c>
      <c r="Y100" s="1"/>
      <c r="Z100" s="5">
        <f t="shared" si="67"/>
        <v>0</v>
      </c>
    </row>
    <row r="101" spans="1:26" s="24" customFormat="1" hidden="1" outlineLevel="2" x14ac:dyDescent="0.3">
      <c r="A101" s="29"/>
      <c r="B101" s="11" t="str">
        <f>CONCATENATE("          ", "6273", " - ", "RENT")</f>
        <v xml:space="preserve">          6273 - RENT</v>
      </c>
      <c r="C101" s="11"/>
      <c r="D101" s="8">
        <v>6100</v>
      </c>
      <c r="E101" s="3"/>
      <c r="F101" s="7">
        <f t="shared" si="60"/>
        <v>2.7664622417360101E-2</v>
      </c>
      <c r="G101" s="3"/>
      <c r="H101" s="8">
        <v>6100</v>
      </c>
      <c r="I101" s="3"/>
      <c r="J101" s="7">
        <f t="shared" si="61"/>
        <v>1.8471806270118372E-2</v>
      </c>
      <c r="K101" s="3"/>
      <c r="L101" s="8">
        <f t="shared" si="62"/>
        <v>0</v>
      </c>
      <c r="M101" s="3"/>
      <c r="N101" s="7">
        <f t="shared" si="63"/>
        <v>0</v>
      </c>
      <c r="O101" s="11"/>
      <c r="P101" s="8">
        <v>6100</v>
      </c>
      <c r="Q101" s="3"/>
      <c r="R101" s="7">
        <f t="shared" si="64"/>
        <v>2.7664622417360101E-2</v>
      </c>
      <c r="S101" s="3"/>
      <c r="T101" s="8">
        <v>6100</v>
      </c>
      <c r="U101" s="3"/>
      <c r="V101" s="7">
        <f t="shared" si="65"/>
        <v>1.8471806270118372E-2</v>
      </c>
      <c r="W101" s="3"/>
      <c r="X101" s="8">
        <f t="shared" si="66"/>
        <v>0</v>
      </c>
      <c r="Y101" s="3"/>
      <c r="Z101" s="7">
        <f t="shared" si="67"/>
        <v>0</v>
      </c>
    </row>
    <row r="102" spans="1:26" s="27" customFormat="1" outlineLevel="1" collapsed="1" x14ac:dyDescent="0.3">
      <c r="A102" s="28"/>
      <c r="B102" s="14" t="str">
        <f>CONCATENATE("     ","Repair and Maintenance                            ")</f>
        <v xml:space="preserve">     Repair and Maintenance                            </v>
      </c>
      <c r="C102" s="14"/>
      <c r="D102" s="1">
        <f>SUM(OSRRefD22_17x_0)</f>
        <v>64762.729999999996</v>
      </c>
      <c r="E102" s="1"/>
      <c r="F102" s="5">
        <f t="shared" si="60"/>
        <v>0.2937108970766294</v>
      </c>
      <c r="G102" s="1"/>
      <c r="H102" s="1">
        <f>SUM(OSRRefH22_17x_0)</f>
        <v>48227</v>
      </c>
      <c r="I102" s="1"/>
      <c r="J102" s="5">
        <f t="shared" si="61"/>
        <v>0.14603931163754078</v>
      </c>
      <c r="K102" s="1"/>
      <c r="L102" s="1">
        <f t="shared" si="62"/>
        <v>16535.729999999996</v>
      </c>
      <c r="M102" s="1"/>
      <c r="N102" s="5">
        <f t="shared" si="63"/>
        <v>0.34287287204263162</v>
      </c>
      <c r="O102" s="14"/>
      <c r="P102" s="1">
        <f>SUM(OSRRefP22_17x_0)</f>
        <v>64762.729999999996</v>
      </c>
      <c r="Q102" s="1"/>
      <c r="R102" s="5">
        <f t="shared" si="64"/>
        <v>0.2937108970766294</v>
      </c>
      <c r="S102" s="1"/>
      <c r="T102" s="1">
        <f>SUM(OSRRefT22_17x_0)</f>
        <v>48227</v>
      </c>
      <c r="U102" s="1"/>
      <c r="V102" s="5">
        <f t="shared" si="65"/>
        <v>0.14603931163754078</v>
      </c>
      <c r="W102" s="1"/>
      <c r="X102" s="1">
        <f t="shared" si="66"/>
        <v>16535.729999999996</v>
      </c>
      <c r="Y102" s="1"/>
      <c r="Z102" s="5">
        <f t="shared" si="67"/>
        <v>0.34287287204263162</v>
      </c>
    </row>
    <row r="103" spans="1:26" s="24" customFormat="1" hidden="1" outlineLevel="2" x14ac:dyDescent="0.3">
      <c r="A103" s="29"/>
      <c r="B103" s="11" t="str">
        <f>CONCATENATE("          ", "6371", " - ", "COMPUTER SOFTWARE MAINTENANCE")</f>
        <v xml:space="preserve">          6371 - COMPUTER SOFTWARE MAINTENANCE</v>
      </c>
      <c r="C103" s="11"/>
      <c r="D103" s="8">
        <v>59623.5</v>
      </c>
      <c r="E103" s="3"/>
      <c r="F103" s="7">
        <f t="shared" si="60"/>
        <v>0.27040354339368361</v>
      </c>
      <c r="G103" s="3"/>
      <c r="H103" s="8">
        <v>40000</v>
      </c>
      <c r="I103" s="3"/>
      <c r="J103" s="7">
        <f t="shared" si="61"/>
        <v>0.12112659849257948</v>
      </c>
      <c r="K103" s="3"/>
      <c r="L103" s="8">
        <f t="shared" si="62"/>
        <v>19623.5</v>
      </c>
      <c r="M103" s="3"/>
      <c r="N103" s="7">
        <f t="shared" si="63"/>
        <v>0.49058750000000001</v>
      </c>
      <c r="O103" s="11"/>
      <c r="P103" s="8">
        <v>59623.5</v>
      </c>
      <c r="Q103" s="3"/>
      <c r="R103" s="7">
        <f t="shared" si="64"/>
        <v>0.27040354339368361</v>
      </c>
      <c r="S103" s="3"/>
      <c r="T103" s="8">
        <v>40000</v>
      </c>
      <c r="U103" s="3"/>
      <c r="V103" s="7">
        <f t="shared" si="65"/>
        <v>0.12112659849257948</v>
      </c>
      <c r="W103" s="3"/>
      <c r="X103" s="8">
        <f t="shared" si="66"/>
        <v>19623.5</v>
      </c>
      <c r="Y103" s="3"/>
      <c r="Z103" s="7">
        <f t="shared" si="67"/>
        <v>0.49058750000000001</v>
      </c>
    </row>
    <row r="104" spans="1:26" s="24" customFormat="1" hidden="1" outlineLevel="2" x14ac:dyDescent="0.3">
      <c r="A104" s="29"/>
      <c r="B104" s="11" t="str">
        <f>CONCATENATE("          ", "6372", " - ", "COMPUTER HARDWARE MAINTENANCE")</f>
        <v xml:space="preserve">          6372 - COMPUTER HARDWARE MAINTENANCE</v>
      </c>
      <c r="C104" s="11"/>
      <c r="D104" s="8"/>
      <c r="E104" s="3"/>
      <c r="F104" s="7">
        <f t="shared" si="60"/>
        <v>0</v>
      </c>
      <c r="G104" s="3"/>
      <c r="H104" s="8">
        <v>370</v>
      </c>
      <c r="I104" s="3"/>
      <c r="J104" s="7">
        <f t="shared" si="61"/>
        <v>1.1204210360563603E-3</v>
      </c>
      <c r="K104" s="3"/>
      <c r="L104" s="8">
        <f t="shared" si="62"/>
        <v>-370</v>
      </c>
      <c r="M104" s="3"/>
      <c r="N104" s="7">
        <f t="shared" si="63"/>
        <v>-1</v>
      </c>
      <c r="O104" s="11"/>
      <c r="P104" s="8"/>
      <c r="Q104" s="3"/>
      <c r="R104" s="7">
        <f t="shared" si="64"/>
        <v>0</v>
      </c>
      <c r="S104" s="3"/>
      <c r="T104" s="8">
        <v>370</v>
      </c>
      <c r="U104" s="3"/>
      <c r="V104" s="7">
        <f t="shared" si="65"/>
        <v>1.1204210360563603E-3</v>
      </c>
      <c r="W104" s="3"/>
      <c r="X104" s="8">
        <f t="shared" si="66"/>
        <v>-370</v>
      </c>
      <c r="Y104" s="3"/>
      <c r="Z104" s="7">
        <f t="shared" si="67"/>
        <v>-1</v>
      </c>
    </row>
    <row r="105" spans="1:26" s="24" customFormat="1" hidden="1" outlineLevel="2" x14ac:dyDescent="0.3">
      <c r="A105" s="29"/>
      <c r="B105" s="11" t="str">
        <f>CONCATENATE("          ", "6373", " - ", "MAINTENANCE CONTRACTS")</f>
        <v xml:space="preserve">          6373 - MAINTENANCE CONTRACTS</v>
      </c>
      <c r="C105" s="11"/>
      <c r="D105" s="8">
        <v>654.63</v>
      </c>
      <c r="E105" s="3"/>
      <c r="F105" s="7">
        <f t="shared" si="60"/>
        <v>2.9688675037830231E-3</v>
      </c>
      <c r="G105" s="3"/>
      <c r="H105" s="8">
        <v>6765</v>
      </c>
      <c r="I105" s="3"/>
      <c r="J105" s="7">
        <f t="shared" si="61"/>
        <v>2.0485535970057506E-2</v>
      </c>
      <c r="K105" s="3"/>
      <c r="L105" s="8">
        <f t="shared" si="62"/>
        <v>-6110.37</v>
      </c>
      <c r="M105" s="3"/>
      <c r="N105" s="7">
        <f t="shared" si="63"/>
        <v>-0.90323281596452332</v>
      </c>
      <c r="O105" s="11"/>
      <c r="P105" s="8">
        <v>654.63</v>
      </c>
      <c r="Q105" s="3"/>
      <c r="R105" s="7">
        <f t="shared" si="64"/>
        <v>2.9688675037830231E-3</v>
      </c>
      <c r="S105" s="3"/>
      <c r="T105" s="8">
        <v>6765</v>
      </c>
      <c r="U105" s="3"/>
      <c r="V105" s="7">
        <f t="shared" si="65"/>
        <v>2.0485535970057506E-2</v>
      </c>
      <c r="W105" s="3"/>
      <c r="X105" s="8">
        <f t="shared" si="66"/>
        <v>-6110.37</v>
      </c>
      <c r="Y105" s="3"/>
      <c r="Z105" s="7">
        <f t="shared" si="67"/>
        <v>-0.90323281596452332</v>
      </c>
    </row>
    <row r="106" spans="1:26" s="24" customFormat="1" hidden="1" outlineLevel="2" x14ac:dyDescent="0.3">
      <c r="A106" s="29"/>
      <c r="B106" s="11" t="str">
        <f>CONCATENATE("          ", "6375", " - ", "OUTSIDE REPAIRS &amp; MAINTENANCE")</f>
        <v xml:space="preserve">          6375 - OUTSIDE REPAIRS &amp; MAINTENANCE</v>
      </c>
      <c r="C106" s="11"/>
      <c r="D106" s="8">
        <v>4484.6000000000004</v>
      </c>
      <c r="E106" s="3"/>
      <c r="F106" s="7">
        <f t="shared" si="60"/>
        <v>2.0338486179162805E-2</v>
      </c>
      <c r="G106" s="3"/>
      <c r="H106" s="8">
        <v>1092</v>
      </c>
      <c r="I106" s="3"/>
      <c r="J106" s="7">
        <f t="shared" si="61"/>
        <v>3.3067561388474198E-3</v>
      </c>
      <c r="K106" s="3"/>
      <c r="L106" s="8">
        <f t="shared" si="62"/>
        <v>3392.6000000000004</v>
      </c>
      <c r="M106" s="3"/>
      <c r="N106" s="7">
        <f t="shared" si="63"/>
        <v>3.1067765567765573</v>
      </c>
      <c r="O106" s="11"/>
      <c r="P106" s="8">
        <v>4484.6000000000004</v>
      </c>
      <c r="Q106" s="3"/>
      <c r="R106" s="7">
        <f t="shared" si="64"/>
        <v>2.0338486179162805E-2</v>
      </c>
      <c r="S106" s="3"/>
      <c r="T106" s="8">
        <v>1092</v>
      </c>
      <c r="U106" s="3"/>
      <c r="V106" s="7">
        <f t="shared" si="65"/>
        <v>3.3067561388474198E-3</v>
      </c>
      <c r="W106" s="3"/>
      <c r="X106" s="8">
        <f t="shared" si="66"/>
        <v>3392.6000000000004</v>
      </c>
      <c r="Y106" s="3"/>
      <c r="Z106" s="7">
        <f t="shared" si="67"/>
        <v>3.1067765567765573</v>
      </c>
    </row>
    <row r="107" spans="1:26" s="27" customFormat="1" outlineLevel="1" collapsed="1" x14ac:dyDescent="0.3">
      <c r="A107" s="28"/>
      <c r="B107" s="14" t="str">
        <f>CONCATENATE("     ","Royalty &amp; Commissions                             ")</f>
        <v xml:space="preserve">     Royalty &amp; Commissions                             </v>
      </c>
      <c r="C107" s="14"/>
      <c r="D107" s="1">
        <f>SUM(OSRRefD22_18x_0)</f>
        <v>7355.1000000000013</v>
      </c>
      <c r="E107" s="1"/>
      <c r="F107" s="5">
        <f t="shared" ref="F107:F111" si="68">IF(D$12=0,0,D107/D$12)</f>
        <v>3.3356731859332016E-2</v>
      </c>
      <c r="G107" s="1"/>
      <c r="H107" s="1">
        <f>SUM(OSRRefH22_18x_0)</f>
        <v>12514</v>
      </c>
      <c r="I107" s="1"/>
      <c r="J107" s="5">
        <f t="shared" ref="J107:J111" si="69">IF(H$12=0,0,H107/H$12)</f>
        <v>3.7894456338403493E-2</v>
      </c>
      <c r="K107" s="1"/>
      <c r="L107" s="1">
        <f t="shared" ref="L107:L111" si="70">+D107-H107</f>
        <v>-5158.8999999999987</v>
      </c>
      <c r="M107" s="1"/>
      <c r="N107" s="5">
        <f t="shared" ref="N107:N111" si="71">IF(H107=0,0,L107/H107)</f>
        <v>-0.41225027968675076</v>
      </c>
      <c r="O107" s="14"/>
      <c r="P107" s="1">
        <f>SUM(OSRRefP22_18x_0)</f>
        <v>7355.1000000000013</v>
      </c>
      <c r="Q107" s="1"/>
      <c r="R107" s="5">
        <f t="shared" ref="R107:R111" si="72">IF(P$12=0,0,P107/P$12)</f>
        <v>3.3356731859332016E-2</v>
      </c>
      <c r="S107" s="1"/>
      <c r="T107" s="1">
        <f>SUM(OSRRefT22_18x_0)</f>
        <v>12514</v>
      </c>
      <c r="U107" s="1"/>
      <c r="V107" s="5">
        <f t="shared" ref="V107:V111" si="73">IF(T$12=0,0,T107/T$12)</f>
        <v>3.7894456338403493E-2</v>
      </c>
      <c r="W107" s="1"/>
      <c r="X107" s="1">
        <f t="shared" ref="X107:X111" si="74">+P107-T107</f>
        <v>-5158.8999999999987</v>
      </c>
      <c r="Y107" s="1"/>
      <c r="Z107" s="5">
        <f t="shared" ref="Z107:Z111" si="75">IF(T107=0,0,X107/T107)</f>
        <v>-0.41225027968675076</v>
      </c>
    </row>
    <row r="108" spans="1:26" s="24" customFormat="1" hidden="1" outlineLevel="2" x14ac:dyDescent="0.3">
      <c r="A108" s="29"/>
      <c r="B108" s="11" t="str">
        <f>CONCATENATE("          ", "6252", " - ", "ROYALTY DUE CSTV")</f>
        <v xml:space="preserve">          6252 - ROYALTY DUE CSTV</v>
      </c>
      <c r="C108" s="11"/>
      <c r="D108" s="8"/>
      <c r="E108" s="3"/>
      <c r="F108" s="7">
        <f t="shared" si="68"/>
        <v>0</v>
      </c>
      <c r="G108" s="3"/>
      <c r="H108" s="8">
        <v>842</v>
      </c>
      <c r="I108" s="3"/>
      <c r="J108" s="7">
        <f t="shared" si="69"/>
        <v>2.5497148982687981E-3</v>
      </c>
      <c r="K108" s="3"/>
      <c r="L108" s="8">
        <f t="shared" si="70"/>
        <v>-842</v>
      </c>
      <c r="M108" s="3"/>
      <c r="N108" s="7">
        <f t="shared" si="71"/>
        <v>-1</v>
      </c>
      <c r="O108" s="11"/>
      <c r="P108" s="8"/>
      <c r="Q108" s="3"/>
      <c r="R108" s="7">
        <f t="shared" si="72"/>
        <v>0</v>
      </c>
      <c r="S108" s="3"/>
      <c r="T108" s="8">
        <v>842</v>
      </c>
      <c r="U108" s="3"/>
      <c r="V108" s="7">
        <f t="shared" si="73"/>
        <v>2.5497148982687981E-3</v>
      </c>
      <c r="W108" s="3"/>
      <c r="X108" s="8">
        <f t="shared" si="74"/>
        <v>-842</v>
      </c>
      <c r="Y108" s="3"/>
      <c r="Z108" s="7">
        <f t="shared" si="75"/>
        <v>-1</v>
      </c>
    </row>
    <row r="109" spans="1:26" s="24" customFormat="1" hidden="1" outlineLevel="2" x14ac:dyDescent="0.3">
      <c r="A109" s="29"/>
      <c r="B109" s="11" t="str">
        <f>CONCATENATE("          ", "6253", " - ", "ROYALTY DUE ATHLETICS-LRG")</f>
        <v xml:space="preserve">          6253 - ROYALTY DUE ATHLETICS-LRG</v>
      </c>
      <c r="C109" s="11"/>
      <c r="D109" s="8">
        <v>14376.54</v>
      </c>
      <c r="E109" s="3"/>
      <c r="F109" s="7">
        <f t="shared" si="68"/>
        <v>6.5200254224274459E-2</v>
      </c>
      <c r="G109" s="3"/>
      <c r="H109" s="8">
        <v>5672</v>
      </c>
      <c r="I109" s="3"/>
      <c r="J109" s="7">
        <f t="shared" si="69"/>
        <v>1.7175751666247772E-2</v>
      </c>
      <c r="K109" s="3"/>
      <c r="L109" s="8">
        <f t="shared" si="70"/>
        <v>8704.5400000000009</v>
      </c>
      <c r="M109" s="3"/>
      <c r="N109" s="7">
        <f t="shared" si="71"/>
        <v>1.5346509167842033</v>
      </c>
      <c r="O109" s="11"/>
      <c r="P109" s="8">
        <v>14376.54</v>
      </c>
      <c r="Q109" s="3"/>
      <c r="R109" s="7">
        <f t="shared" si="72"/>
        <v>6.5200254224274459E-2</v>
      </c>
      <c r="S109" s="3"/>
      <c r="T109" s="8">
        <v>5672</v>
      </c>
      <c r="U109" s="3"/>
      <c r="V109" s="7">
        <f t="shared" si="73"/>
        <v>1.7175751666247772E-2</v>
      </c>
      <c r="W109" s="3"/>
      <c r="X109" s="8">
        <f t="shared" si="74"/>
        <v>8704.5400000000009</v>
      </c>
      <c r="Y109" s="3"/>
      <c r="Z109" s="7">
        <f t="shared" si="75"/>
        <v>1.5346509167842033</v>
      </c>
    </row>
    <row r="110" spans="1:26" s="24" customFormat="1" hidden="1" outlineLevel="2" x14ac:dyDescent="0.3">
      <c r="A110" s="29"/>
      <c r="B110" s="11" t="str">
        <f>CONCATENATE("          ", "6254", " - ", "ROYALTY &amp; COMMISSIONS")</f>
        <v xml:space="preserve">          6254 - ROYALTY &amp; COMMISSIONS</v>
      </c>
      <c r="C110" s="11"/>
      <c r="D110" s="8">
        <v>-7027.5</v>
      </c>
      <c r="E110" s="3"/>
      <c r="F110" s="7">
        <f t="shared" si="68"/>
        <v>-3.1871005579999688E-2</v>
      </c>
      <c r="G110" s="3"/>
      <c r="H110" s="8">
        <v>0</v>
      </c>
      <c r="I110" s="3"/>
      <c r="J110" s="7">
        <f t="shared" si="69"/>
        <v>0</v>
      </c>
      <c r="K110" s="3"/>
      <c r="L110" s="8">
        <f t="shared" si="70"/>
        <v>-7027.5</v>
      </c>
      <c r="M110" s="3"/>
      <c r="N110" s="7">
        <f t="shared" si="71"/>
        <v>0</v>
      </c>
      <c r="O110" s="11"/>
      <c r="P110" s="8">
        <v>-7027.5</v>
      </c>
      <c r="Q110" s="3"/>
      <c r="R110" s="7">
        <f t="shared" si="72"/>
        <v>-3.1871005579999688E-2</v>
      </c>
      <c r="S110" s="3"/>
      <c r="T110" s="8">
        <v>0</v>
      </c>
      <c r="U110" s="3"/>
      <c r="V110" s="7">
        <f t="shared" si="73"/>
        <v>0</v>
      </c>
      <c r="W110" s="3"/>
      <c r="X110" s="8">
        <f t="shared" si="74"/>
        <v>-7027.5</v>
      </c>
      <c r="Y110" s="3"/>
      <c r="Z110" s="7">
        <f t="shared" si="75"/>
        <v>0</v>
      </c>
    </row>
    <row r="111" spans="1:26" s="24" customFormat="1" hidden="1" outlineLevel="2" x14ac:dyDescent="0.3">
      <c r="A111" s="29"/>
      <c r="B111" s="11" t="str">
        <f>CONCATENATE("          ", "6259", " - ", "ROYALTY &amp; COMMISSIONS")</f>
        <v xml:space="preserve">          6259 - ROYALTY &amp; COMMISSIONS</v>
      </c>
      <c r="C111" s="11"/>
      <c r="D111" s="8">
        <v>6.06</v>
      </c>
      <c r="E111" s="3"/>
      <c r="F111" s="7">
        <f t="shared" si="68"/>
        <v>2.748321505724626E-5</v>
      </c>
      <c r="G111" s="3"/>
      <c r="H111" s="8">
        <v>6000</v>
      </c>
      <c r="I111" s="3"/>
      <c r="J111" s="7">
        <f t="shared" si="69"/>
        <v>1.8168989773886923E-2</v>
      </c>
      <c r="K111" s="3"/>
      <c r="L111" s="8">
        <f t="shared" si="70"/>
        <v>-5993.94</v>
      </c>
      <c r="M111" s="3"/>
      <c r="N111" s="7">
        <f t="shared" si="71"/>
        <v>-0.99898999999999993</v>
      </c>
      <c r="O111" s="11"/>
      <c r="P111" s="8">
        <v>6.06</v>
      </c>
      <c r="Q111" s="3"/>
      <c r="R111" s="7">
        <f t="shared" si="72"/>
        <v>2.748321505724626E-5</v>
      </c>
      <c r="S111" s="3"/>
      <c r="T111" s="8">
        <v>6000</v>
      </c>
      <c r="U111" s="3"/>
      <c r="V111" s="7">
        <f t="shared" si="73"/>
        <v>1.8168989773886923E-2</v>
      </c>
      <c r="W111" s="3"/>
      <c r="X111" s="8">
        <f t="shared" si="74"/>
        <v>-5993.94</v>
      </c>
      <c r="Y111" s="3"/>
      <c r="Z111" s="7">
        <f t="shared" si="75"/>
        <v>-0.99898999999999993</v>
      </c>
    </row>
    <row r="112" spans="1:26" s="27" customFormat="1" outlineLevel="1" collapsed="1" x14ac:dyDescent="0.3">
      <c r="A112" s="28"/>
      <c r="B112" s="14" t="str">
        <f>CONCATENATE("     ","Services                                          ")</f>
        <v xml:space="preserve">     Services                                          </v>
      </c>
      <c r="C112" s="14"/>
      <c r="D112" s="1">
        <f>SUM(OSRRefD22_19x_0)</f>
        <v>4158.17</v>
      </c>
      <c r="E112" s="1"/>
      <c r="F112" s="5">
        <f t="shared" ref="F112:F115" si="76">IF(D$12=0,0,D112/D$12)</f>
        <v>1.885806606511381E-2</v>
      </c>
      <c r="G112" s="1"/>
      <c r="H112" s="1">
        <f>SUM(OSRRefH22_19x_0)</f>
        <v>4360</v>
      </c>
      <c r="I112" s="1"/>
      <c r="J112" s="5">
        <f t="shared" ref="J112:J115" si="77">IF(H$12=0,0,H112/H$12)</f>
        <v>1.3202799235691164E-2</v>
      </c>
      <c r="K112" s="1"/>
      <c r="L112" s="1">
        <f t="shared" ref="L112:L115" si="78">+D112-H112</f>
        <v>-201.82999999999993</v>
      </c>
      <c r="M112" s="1"/>
      <c r="N112" s="5">
        <f t="shared" ref="N112:N115" si="79">IF(H112=0,0,L112/H112)</f>
        <v>-4.6291284403669711E-2</v>
      </c>
      <c r="O112" s="14"/>
      <c r="P112" s="1">
        <f>SUM(OSRRefP22_19x_0)</f>
        <v>4158.17</v>
      </c>
      <c r="Q112" s="1"/>
      <c r="R112" s="5">
        <f t="shared" ref="R112:R115" si="80">IF(P$12=0,0,P112/P$12)</f>
        <v>1.885806606511381E-2</v>
      </c>
      <c r="S112" s="1"/>
      <c r="T112" s="1">
        <f>SUM(OSRRefT22_19x_0)</f>
        <v>4360</v>
      </c>
      <c r="U112" s="1"/>
      <c r="V112" s="5">
        <f t="shared" ref="V112:V115" si="81">IF(T$12=0,0,T112/T$12)</f>
        <v>1.3202799235691164E-2</v>
      </c>
      <c r="W112" s="1"/>
      <c r="X112" s="1">
        <f t="shared" ref="X112:X115" si="82">+P112-T112</f>
        <v>-201.82999999999993</v>
      </c>
      <c r="Y112" s="1"/>
      <c r="Z112" s="5">
        <f t="shared" ref="Z112:Z115" si="83">IF(T112=0,0,X112/T112)</f>
        <v>-4.6291284403669711E-2</v>
      </c>
    </row>
    <row r="113" spans="1:26" s="24" customFormat="1" hidden="1" outlineLevel="2" x14ac:dyDescent="0.3">
      <c r="A113" s="29"/>
      <c r="B113" s="11" t="str">
        <f>CONCATENATE("          ", "6282", " - ", "JANITORIAL/EXTERMINATOR EXPENS")</f>
        <v xml:space="preserve">          6282 - JANITORIAL/EXTERMINATOR EXPENS</v>
      </c>
      <c r="C113" s="11"/>
      <c r="D113" s="8">
        <v>151.85</v>
      </c>
      <c r="E113" s="3"/>
      <c r="F113" s="7">
        <f t="shared" si="76"/>
        <v>6.8866769083215267E-4</v>
      </c>
      <c r="G113" s="3"/>
      <c r="H113" s="8">
        <v>4300</v>
      </c>
      <c r="I113" s="3"/>
      <c r="J113" s="7">
        <f t="shared" si="77"/>
        <v>1.3021109337952294E-2</v>
      </c>
      <c r="K113" s="3"/>
      <c r="L113" s="8">
        <f t="shared" si="78"/>
        <v>-4148.1499999999996</v>
      </c>
      <c r="M113" s="3"/>
      <c r="N113" s="7">
        <f t="shared" si="79"/>
        <v>-0.96468604651162781</v>
      </c>
      <c r="O113" s="11"/>
      <c r="P113" s="8">
        <v>151.85</v>
      </c>
      <c r="Q113" s="3"/>
      <c r="R113" s="7">
        <f t="shared" si="80"/>
        <v>6.8866769083215267E-4</v>
      </c>
      <c r="S113" s="3"/>
      <c r="T113" s="8">
        <v>4300</v>
      </c>
      <c r="U113" s="3"/>
      <c r="V113" s="7">
        <f t="shared" si="81"/>
        <v>1.3021109337952294E-2</v>
      </c>
      <c r="W113" s="3"/>
      <c r="X113" s="8">
        <f t="shared" si="82"/>
        <v>-4148.1499999999996</v>
      </c>
      <c r="Y113" s="3"/>
      <c r="Z113" s="7">
        <f t="shared" si="83"/>
        <v>-0.96468604651162781</v>
      </c>
    </row>
    <row r="114" spans="1:26" s="24" customFormat="1" hidden="1" outlineLevel="2" x14ac:dyDescent="0.3">
      <c r="A114" s="29"/>
      <c r="B114" s="11" t="str">
        <f>CONCATENATE("          ", "6284", " - ", "TRASH REMOVAL EXPENSE")</f>
        <v xml:space="preserve">          6284 - TRASH REMOVAL EXPENSE</v>
      </c>
      <c r="C114" s="11"/>
      <c r="D114" s="8">
        <v>142.57</v>
      </c>
      <c r="E114" s="3"/>
      <c r="F114" s="7">
        <f t="shared" si="76"/>
        <v>6.4658118328574251E-4</v>
      </c>
      <c r="G114" s="3"/>
      <c r="H114" s="8">
        <v>60</v>
      </c>
      <c r="I114" s="3"/>
      <c r="J114" s="7">
        <f t="shared" si="77"/>
        <v>1.8168989773886923E-4</v>
      </c>
      <c r="K114" s="3"/>
      <c r="L114" s="8">
        <f t="shared" si="78"/>
        <v>82.57</v>
      </c>
      <c r="M114" s="3"/>
      <c r="N114" s="7">
        <f t="shared" si="79"/>
        <v>1.3761666666666665</v>
      </c>
      <c r="O114" s="11"/>
      <c r="P114" s="8">
        <v>142.57</v>
      </c>
      <c r="Q114" s="3"/>
      <c r="R114" s="7">
        <f t="shared" si="80"/>
        <v>6.4658118328574251E-4</v>
      </c>
      <c r="S114" s="3"/>
      <c r="T114" s="8">
        <v>60</v>
      </c>
      <c r="U114" s="3"/>
      <c r="V114" s="7">
        <f t="shared" si="81"/>
        <v>1.8168989773886923E-4</v>
      </c>
      <c r="W114" s="3"/>
      <c r="X114" s="8">
        <f t="shared" si="82"/>
        <v>82.57</v>
      </c>
      <c r="Y114" s="3"/>
      <c r="Z114" s="7">
        <f t="shared" si="83"/>
        <v>1.3761666666666665</v>
      </c>
    </row>
    <row r="115" spans="1:26" s="24" customFormat="1" hidden="1" outlineLevel="2" x14ac:dyDescent="0.3">
      <c r="A115" s="29"/>
      <c r="B115" s="11" t="str">
        <f>CONCATENATE("          ", "6285", " - ", "JANITORIAL SERVICES")</f>
        <v xml:space="preserve">          6285 - JANITORIAL SERVICES</v>
      </c>
      <c r="C115" s="11"/>
      <c r="D115" s="8">
        <v>3863.75</v>
      </c>
      <c r="E115" s="3"/>
      <c r="F115" s="7">
        <f t="shared" si="76"/>
        <v>1.7522817190995917E-2</v>
      </c>
      <c r="G115" s="3"/>
      <c r="H115" s="8"/>
      <c r="I115" s="3"/>
      <c r="J115" s="7">
        <f t="shared" si="77"/>
        <v>0</v>
      </c>
      <c r="K115" s="3"/>
      <c r="L115" s="8">
        <f t="shared" si="78"/>
        <v>3863.75</v>
      </c>
      <c r="M115" s="3"/>
      <c r="N115" s="7">
        <f t="shared" si="79"/>
        <v>0</v>
      </c>
      <c r="O115" s="11"/>
      <c r="P115" s="8">
        <v>3863.75</v>
      </c>
      <c r="Q115" s="3"/>
      <c r="R115" s="7">
        <f t="shared" si="80"/>
        <v>1.7522817190995917E-2</v>
      </c>
      <c r="S115" s="3"/>
      <c r="T115" s="8"/>
      <c r="U115" s="3"/>
      <c r="V115" s="7">
        <f t="shared" si="81"/>
        <v>0</v>
      </c>
      <c r="W115" s="3"/>
      <c r="X115" s="8">
        <f t="shared" si="82"/>
        <v>3863.75</v>
      </c>
      <c r="Y115" s="3"/>
      <c r="Z115" s="7">
        <f t="shared" si="83"/>
        <v>0</v>
      </c>
    </row>
    <row r="116" spans="1:26" s="27" customFormat="1" outlineLevel="1" collapsed="1" x14ac:dyDescent="0.3">
      <c r="A116" s="28"/>
      <c r="B116" s="14" t="str">
        <f>CONCATENATE("     ","Subscriptions &amp; Dues                              ")</f>
        <v xml:space="preserve">     Subscriptions &amp; Dues                              </v>
      </c>
      <c r="C116" s="14"/>
      <c r="D116" s="1">
        <f>SUM(OSRRefD22_20x_0)</f>
        <v>68.319999999999993</v>
      </c>
      <c r="E116" s="1"/>
      <c r="F116" s="5">
        <f t="shared" ref="F116:F118" si="84">IF(D$12=0,0,D116/D$12)</f>
        <v>3.0984377107443311E-4</v>
      </c>
      <c r="G116" s="1"/>
      <c r="H116" s="1">
        <f>SUM(OSRRefH22_20x_0)</f>
        <v>1776</v>
      </c>
      <c r="I116" s="1"/>
      <c r="J116" s="5">
        <f t="shared" ref="J116:J118" si="85">IF(H$12=0,0,H116/H$12)</f>
        <v>5.3780209730705294E-3</v>
      </c>
      <c r="K116" s="1"/>
      <c r="L116" s="1">
        <f t="shared" ref="L116:L118" si="86">+D116-H116</f>
        <v>-1707.68</v>
      </c>
      <c r="M116" s="1"/>
      <c r="N116" s="5">
        <f t="shared" ref="N116:N118" si="87">IF(H116=0,0,L116/H116)</f>
        <v>-0.96153153153153159</v>
      </c>
      <c r="O116" s="14"/>
      <c r="P116" s="1">
        <f>SUM(OSRRefP22_20x_0)</f>
        <v>68.319999999999993</v>
      </c>
      <c r="Q116" s="1"/>
      <c r="R116" s="5">
        <f t="shared" ref="R116:R118" si="88">IF(P$12=0,0,P116/P$12)</f>
        <v>3.0984377107443311E-4</v>
      </c>
      <c r="S116" s="1"/>
      <c r="T116" s="1">
        <f>SUM(OSRRefT22_20x_0)</f>
        <v>1776</v>
      </c>
      <c r="U116" s="1"/>
      <c r="V116" s="5">
        <f t="shared" ref="V116:V118" si="89">IF(T$12=0,0,T116/T$12)</f>
        <v>5.3780209730705294E-3</v>
      </c>
      <c r="W116" s="1"/>
      <c r="X116" s="1">
        <f t="shared" ref="X116:X118" si="90">+P116-T116</f>
        <v>-1707.68</v>
      </c>
      <c r="Y116" s="1"/>
      <c r="Z116" s="5">
        <f t="shared" ref="Z116:Z118" si="91">IF(T116=0,0,X116/T116)</f>
        <v>-0.96153153153153159</v>
      </c>
    </row>
    <row r="117" spans="1:26" s="24" customFormat="1" hidden="1" outlineLevel="2" x14ac:dyDescent="0.3">
      <c r="A117" s="29"/>
      <c r="B117" s="11" t="str">
        <f>CONCATENATE("          ", "6258", " - ", "MEMBERSHIP DUES")</f>
        <v xml:space="preserve">          6258 - MEMBERSHIP DUES</v>
      </c>
      <c r="C117" s="11"/>
      <c r="D117" s="8">
        <v>68.319999999999993</v>
      </c>
      <c r="E117" s="3"/>
      <c r="F117" s="7">
        <f t="shared" si="84"/>
        <v>3.0984377107443311E-4</v>
      </c>
      <c r="G117" s="3"/>
      <c r="H117" s="8">
        <v>1695</v>
      </c>
      <c r="I117" s="3"/>
      <c r="J117" s="7">
        <f t="shared" si="85"/>
        <v>5.1327396111230557E-3</v>
      </c>
      <c r="K117" s="3"/>
      <c r="L117" s="8">
        <f t="shared" si="86"/>
        <v>-1626.68</v>
      </c>
      <c r="M117" s="3"/>
      <c r="N117" s="7">
        <f t="shared" si="87"/>
        <v>-0.95969321533923313</v>
      </c>
      <c r="O117" s="11"/>
      <c r="P117" s="8">
        <v>68.319999999999993</v>
      </c>
      <c r="Q117" s="3"/>
      <c r="R117" s="7">
        <f t="shared" si="88"/>
        <v>3.0984377107443311E-4</v>
      </c>
      <c r="S117" s="3"/>
      <c r="T117" s="8">
        <v>1695</v>
      </c>
      <c r="U117" s="3"/>
      <c r="V117" s="7">
        <f t="shared" si="89"/>
        <v>5.1327396111230557E-3</v>
      </c>
      <c r="W117" s="3"/>
      <c r="X117" s="8">
        <f t="shared" si="90"/>
        <v>-1626.68</v>
      </c>
      <c r="Y117" s="3"/>
      <c r="Z117" s="7">
        <f t="shared" si="91"/>
        <v>-0.95969321533923313</v>
      </c>
    </row>
    <row r="118" spans="1:26" s="24" customFormat="1" hidden="1" outlineLevel="2" x14ac:dyDescent="0.3">
      <c r="A118" s="29"/>
      <c r="B118" s="11" t="str">
        <f>CONCATENATE("          ", "6275", " - ", "SUBSCRIPTIONS")</f>
        <v xml:space="preserve">          6275 - SUBSCRIPTIONS</v>
      </c>
      <c r="C118" s="11"/>
      <c r="D118" s="8"/>
      <c r="E118" s="3"/>
      <c r="F118" s="7">
        <f t="shared" si="84"/>
        <v>0</v>
      </c>
      <c r="G118" s="3"/>
      <c r="H118" s="8">
        <v>81</v>
      </c>
      <c r="I118" s="3"/>
      <c r="J118" s="7">
        <f t="shared" si="85"/>
        <v>2.4528136194747343E-4</v>
      </c>
      <c r="K118" s="3"/>
      <c r="L118" s="8">
        <f t="shared" si="86"/>
        <v>-81</v>
      </c>
      <c r="M118" s="3"/>
      <c r="N118" s="7">
        <f t="shared" si="87"/>
        <v>-1</v>
      </c>
      <c r="O118" s="11"/>
      <c r="P118" s="8"/>
      <c r="Q118" s="3"/>
      <c r="R118" s="7">
        <f t="shared" si="88"/>
        <v>0</v>
      </c>
      <c r="S118" s="3"/>
      <c r="T118" s="8">
        <v>81</v>
      </c>
      <c r="U118" s="3"/>
      <c r="V118" s="7">
        <f t="shared" si="89"/>
        <v>2.4528136194747343E-4</v>
      </c>
      <c r="W118" s="3"/>
      <c r="X118" s="8">
        <f t="shared" si="90"/>
        <v>-81</v>
      </c>
      <c r="Y118" s="3"/>
      <c r="Z118" s="7">
        <f t="shared" si="91"/>
        <v>-1</v>
      </c>
    </row>
    <row r="119" spans="1:26" s="27" customFormat="1" outlineLevel="1" collapsed="1" x14ac:dyDescent="0.3">
      <c r="A119" s="28"/>
      <c r="B119" s="14" t="str">
        <f>CONCATENATE("     ","Supplies                                          ")</f>
        <v xml:space="preserve">     Supplies                                          </v>
      </c>
      <c r="C119" s="14"/>
      <c r="D119" s="1">
        <f>SUM(OSRRefD22_21x_0)</f>
        <v>7198.6</v>
      </c>
      <c r="E119" s="1"/>
      <c r="F119" s="5">
        <f t="shared" ref="F119:F126" si="92">IF(D$12=0,0,D119/D$12)</f>
        <v>3.2646975562886628E-2</v>
      </c>
      <c r="G119" s="1"/>
      <c r="H119" s="1">
        <f>SUM(OSRRefH22_21x_0)</f>
        <v>10550</v>
      </c>
      <c r="I119" s="1"/>
      <c r="J119" s="5">
        <f t="shared" ref="J119:J126" si="93">IF(H$12=0,0,H119/H$12)</f>
        <v>3.1947140352417837E-2</v>
      </c>
      <c r="K119" s="1"/>
      <c r="L119" s="1">
        <f t="shared" ref="L119:L126" si="94">+D119-H119</f>
        <v>-3351.3999999999996</v>
      </c>
      <c r="M119" s="1"/>
      <c r="N119" s="5">
        <f t="shared" ref="N119:N126" si="95">IF(H119=0,0,L119/H119)</f>
        <v>-0.31766824644549757</v>
      </c>
      <c r="O119" s="14"/>
      <c r="P119" s="1">
        <f>SUM(OSRRefP22_21x_0)</f>
        <v>7198.6</v>
      </c>
      <c r="Q119" s="1"/>
      <c r="R119" s="5">
        <f t="shared" ref="R119:R126" si="96">IF(P$12=0,0,P119/P$12)</f>
        <v>3.2646975562886628E-2</v>
      </c>
      <c r="S119" s="1"/>
      <c r="T119" s="1">
        <f>SUM(OSRRefT22_21x_0)</f>
        <v>10550</v>
      </c>
      <c r="U119" s="1"/>
      <c r="V119" s="5">
        <f t="shared" ref="V119:V126" si="97">IF(T$12=0,0,T119/T$12)</f>
        <v>3.1947140352417837E-2</v>
      </c>
      <c r="W119" s="1"/>
      <c r="X119" s="1">
        <f t="shared" ref="X119:X126" si="98">+P119-T119</f>
        <v>-3351.3999999999996</v>
      </c>
      <c r="Y119" s="1"/>
      <c r="Z119" s="5">
        <f t="shared" ref="Z119:Z126" si="99">IF(T119=0,0,X119/T119)</f>
        <v>-0.31766824644549757</v>
      </c>
    </row>
    <row r="120" spans="1:26" s="24" customFormat="1" hidden="1" outlineLevel="2" x14ac:dyDescent="0.3">
      <c r="A120" s="29"/>
      <c r="B120" s="11" t="str">
        <f>CONCATENATE("          ", "6234", " - ", "EXPENDABLE SUPPLIES &amp; EQUIPMEN")</f>
        <v xml:space="preserve">          6234 - EXPENDABLE SUPPLIES &amp; EQUIPMEN</v>
      </c>
      <c r="C120" s="11"/>
      <c r="D120" s="8"/>
      <c r="E120" s="3"/>
      <c r="F120" s="7">
        <f t="shared" si="92"/>
        <v>0</v>
      </c>
      <c r="G120" s="3"/>
      <c r="H120" s="8">
        <v>0</v>
      </c>
      <c r="I120" s="3"/>
      <c r="J120" s="7">
        <f t="shared" si="93"/>
        <v>0</v>
      </c>
      <c r="K120" s="3"/>
      <c r="L120" s="8">
        <f t="shared" si="94"/>
        <v>0</v>
      </c>
      <c r="M120" s="3"/>
      <c r="N120" s="7">
        <f t="shared" si="95"/>
        <v>0</v>
      </c>
      <c r="O120" s="11"/>
      <c r="P120" s="8"/>
      <c r="Q120" s="3"/>
      <c r="R120" s="7">
        <f t="shared" si="96"/>
        <v>0</v>
      </c>
      <c r="S120" s="3"/>
      <c r="T120" s="8">
        <v>0</v>
      </c>
      <c r="U120" s="3"/>
      <c r="V120" s="7">
        <f t="shared" si="97"/>
        <v>0</v>
      </c>
      <c r="W120" s="3"/>
      <c r="X120" s="8">
        <f t="shared" si="98"/>
        <v>0</v>
      </c>
      <c r="Y120" s="3"/>
      <c r="Z120" s="7">
        <f t="shared" si="99"/>
        <v>0</v>
      </c>
    </row>
    <row r="121" spans="1:26" s="24" customFormat="1" hidden="1" outlineLevel="2" x14ac:dyDescent="0.3">
      <c r="A121" s="29"/>
      <c r="B121" s="11" t="str">
        <f>CONCATENATE("          ", "6235", " - ", "COVID-19 EXPENSES")</f>
        <v xml:space="preserve">          6235 - COVID-19 EXPENSES</v>
      </c>
      <c r="C121" s="11"/>
      <c r="D121" s="8">
        <v>272.22000000000003</v>
      </c>
      <c r="E121" s="3"/>
      <c r="F121" s="7">
        <f t="shared" si="92"/>
        <v>1.2345677892547158E-3</v>
      </c>
      <c r="G121" s="3"/>
      <c r="H121" s="8">
        <v>125</v>
      </c>
      <c r="I121" s="3"/>
      <c r="J121" s="7">
        <f t="shared" si="93"/>
        <v>3.7852062028931088E-4</v>
      </c>
      <c r="K121" s="3"/>
      <c r="L121" s="8">
        <f t="shared" si="94"/>
        <v>147.22000000000003</v>
      </c>
      <c r="M121" s="3"/>
      <c r="N121" s="7">
        <f t="shared" si="95"/>
        <v>1.1777600000000001</v>
      </c>
      <c r="O121" s="11"/>
      <c r="P121" s="8">
        <v>272.22000000000003</v>
      </c>
      <c r="Q121" s="3"/>
      <c r="R121" s="7">
        <f t="shared" si="96"/>
        <v>1.2345677892547158E-3</v>
      </c>
      <c r="S121" s="3"/>
      <c r="T121" s="8">
        <v>125</v>
      </c>
      <c r="U121" s="3"/>
      <c r="V121" s="7">
        <f t="shared" si="97"/>
        <v>3.7852062028931088E-4</v>
      </c>
      <c r="W121" s="3"/>
      <c r="X121" s="8">
        <f t="shared" si="98"/>
        <v>147.22000000000003</v>
      </c>
      <c r="Y121" s="3"/>
      <c r="Z121" s="7">
        <f t="shared" si="99"/>
        <v>1.1777600000000001</v>
      </c>
    </row>
    <row r="122" spans="1:26" s="24" customFormat="1" hidden="1" outlineLevel="2" x14ac:dyDescent="0.3">
      <c r="A122" s="29"/>
      <c r="B122" s="11" t="str">
        <f>CONCATENATE("          ", "6237", " - ", "JANITORIAL SUPPLIES")</f>
        <v xml:space="preserve">          6237 - JANITORIAL SUPPLIES</v>
      </c>
      <c r="C122" s="11"/>
      <c r="D122" s="8">
        <v>655.97</v>
      </c>
      <c r="E122" s="3"/>
      <c r="F122" s="7">
        <f t="shared" si="92"/>
        <v>2.9749446503468369E-3</v>
      </c>
      <c r="G122" s="3"/>
      <c r="H122" s="8">
        <v>50</v>
      </c>
      <c r="I122" s="3"/>
      <c r="J122" s="7">
        <f t="shared" si="93"/>
        <v>1.5140824811572435E-4</v>
      </c>
      <c r="K122" s="3"/>
      <c r="L122" s="8">
        <f t="shared" si="94"/>
        <v>605.97</v>
      </c>
      <c r="M122" s="3"/>
      <c r="N122" s="7">
        <f t="shared" si="95"/>
        <v>12.119400000000001</v>
      </c>
      <c r="O122" s="11"/>
      <c r="P122" s="8">
        <v>655.97</v>
      </c>
      <c r="Q122" s="3"/>
      <c r="R122" s="7">
        <f t="shared" si="96"/>
        <v>2.9749446503468369E-3</v>
      </c>
      <c r="S122" s="3"/>
      <c r="T122" s="8">
        <v>50</v>
      </c>
      <c r="U122" s="3"/>
      <c r="V122" s="7">
        <f t="shared" si="97"/>
        <v>1.5140824811572435E-4</v>
      </c>
      <c r="W122" s="3"/>
      <c r="X122" s="8">
        <f t="shared" si="98"/>
        <v>605.97</v>
      </c>
      <c r="Y122" s="3"/>
      <c r="Z122" s="7">
        <f t="shared" si="99"/>
        <v>12.119400000000001</v>
      </c>
    </row>
    <row r="123" spans="1:26" s="24" customFormat="1" hidden="1" outlineLevel="2" x14ac:dyDescent="0.3">
      <c r="A123" s="29"/>
      <c r="B123" s="11" t="str">
        <f>CONCATENATE("          ", "6241", " - ", "OFFICE EXPENSE")</f>
        <v xml:space="preserve">          6241 - OFFICE EXPENSE</v>
      </c>
      <c r="C123" s="11"/>
      <c r="D123" s="8">
        <v>518.65</v>
      </c>
      <c r="E123" s="3"/>
      <c r="F123" s="7">
        <f t="shared" si="92"/>
        <v>2.3521731830760352E-3</v>
      </c>
      <c r="G123" s="3"/>
      <c r="H123" s="8">
        <v>470</v>
      </c>
      <c r="I123" s="3"/>
      <c r="J123" s="7">
        <f t="shared" si="93"/>
        <v>1.4232375322878088E-3</v>
      </c>
      <c r="K123" s="3"/>
      <c r="L123" s="8">
        <f t="shared" si="94"/>
        <v>48.649999999999977</v>
      </c>
      <c r="M123" s="3"/>
      <c r="N123" s="7">
        <f t="shared" si="95"/>
        <v>0.1035106382978723</v>
      </c>
      <c r="O123" s="11"/>
      <c r="P123" s="8">
        <v>518.65</v>
      </c>
      <c r="Q123" s="3"/>
      <c r="R123" s="7">
        <f t="shared" si="96"/>
        <v>2.3521731830760352E-3</v>
      </c>
      <c r="S123" s="3"/>
      <c r="T123" s="8">
        <v>470</v>
      </c>
      <c r="U123" s="3"/>
      <c r="V123" s="7">
        <f t="shared" si="97"/>
        <v>1.4232375322878088E-3</v>
      </c>
      <c r="W123" s="3"/>
      <c r="X123" s="8">
        <f t="shared" si="98"/>
        <v>48.649999999999977</v>
      </c>
      <c r="Y123" s="3"/>
      <c r="Z123" s="7">
        <f t="shared" si="99"/>
        <v>0.1035106382978723</v>
      </c>
    </row>
    <row r="124" spans="1:26" s="24" customFormat="1" hidden="1" outlineLevel="2" x14ac:dyDescent="0.3">
      <c r="A124" s="29"/>
      <c r="B124" s="11" t="str">
        <f>CONCATENATE("          ", "6243", " - ", "PAPER SUPPLIES")</f>
        <v xml:space="preserve">          6243 - PAPER SUPPLIES</v>
      </c>
      <c r="C124" s="11"/>
      <c r="D124" s="8">
        <v>1649.24</v>
      </c>
      <c r="E124" s="3"/>
      <c r="F124" s="7">
        <f t="shared" si="92"/>
        <v>7.4796068648536017E-3</v>
      </c>
      <c r="G124" s="3"/>
      <c r="H124" s="8">
        <v>4200</v>
      </c>
      <c r="I124" s="3"/>
      <c r="J124" s="7">
        <f t="shared" si="93"/>
        <v>1.2718292841720845E-2</v>
      </c>
      <c r="K124" s="3"/>
      <c r="L124" s="8">
        <f t="shared" si="94"/>
        <v>-2550.7600000000002</v>
      </c>
      <c r="M124" s="3"/>
      <c r="N124" s="7">
        <f t="shared" si="95"/>
        <v>-0.6073238095238096</v>
      </c>
      <c r="O124" s="11"/>
      <c r="P124" s="8">
        <v>1649.24</v>
      </c>
      <c r="Q124" s="3"/>
      <c r="R124" s="7">
        <f t="shared" si="96"/>
        <v>7.4796068648536017E-3</v>
      </c>
      <c r="S124" s="3"/>
      <c r="T124" s="8">
        <v>4200</v>
      </c>
      <c r="U124" s="3"/>
      <c r="V124" s="7">
        <f t="shared" si="97"/>
        <v>1.2718292841720845E-2</v>
      </c>
      <c r="W124" s="3"/>
      <c r="X124" s="8">
        <f t="shared" si="98"/>
        <v>-2550.7600000000002</v>
      </c>
      <c r="Y124" s="3"/>
      <c r="Z124" s="7">
        <f t="shared" si="99"/>
        <v>-0.6073238095238096</v>
      </c>
    </row>
    <row r="125" spans="1:26" s="24" customFormat="1" hidden="1" outlineLevel="2" x14ac:dyDescent="0.3">
      <c r="A125" s="29"/>
      <c r="B125" s="11" t="str">
        <f>CONCATENATE("          ", "6245", " - ", "PRINTING")</f>
        <v xml:space="preserve">          6245 - PRINTING</v>
      </c>
      <c r="C125" s="11"/>
      <c r="D125" s="8">
        <v>251.64</v>
      </c>
      <c r="E125" s="3"/>
      <c r="F125" s="7">
        <f t="shared" si="92"/>
        <v>1.1412337024761467E-3</v>
      </c>
      <c r="G125" s="3"/>
      <c r="H125" s="8">
        <v>25</v>
      </c>
      <c r="I125" s="3"/>
      <c r="J125" s="7">
        <f t="shared" si="93"/>
        <v>7.5704124057862174E-5</v>
      </c>
      <c r="K125" s="3"/>
      <c r="L125" s="8">
        <f t="shared" si="94"/>
        <v>226.64</v>
      </c>
      <c r="M125" s="3"/>
      <c r="N125" s="7">
        <f t="shared" si="95"/>
        <v>9.0655999999999999</v>
      </c>
      <c r="O125" s="11"/>
      <c r="P125" s="8">
        <v>251.64</v>
      </c>
      <c r="Q125" s="3"/>
      <c r="R125" s="7">
        <f t="shared" si="96"/>
        <v>1.1412337024761467E-3</v>
      </c>
      <c r="S125" s="3"/>
      <c r="T125" s="8">
        <v>25</v>
      </c>
      <c r="U125" s="3"/>
      <c r="V125" s="7">
        <f t="shared" si="97"/>
        <v>7.5704124057862174E-5</v>
      </c>
      <c r="W125" s="3"/>
      <c r="X125" s="8">
        <f t="shared" si="98"/>
        <v>226.64</v>
      </c>
      <c r="Y125" s="3"/>
      <c r="Z125" s="7">
        <f t="shared" si="99"/>
        <v>9.0655999999999999</v>
      </c>
    </row>
    <row r="126" spans="1:26" s="24" customFormat="1" hidden="1" outlineLevel="2" x14ac:dyDescent="0.3">
      <c r="A126" s="29"/>
      <c r="B126" s="11" t="str">
        <f>CONCATENATE("          ", "6247", " - ", "STORE SUPPLIES")</f>
        <v xml:space="preserve">          6247 - STORE SUPPLIES</v>
      </c>
      <c r="C126" s="11"/>
      <c r="D126" s="8">
        <v>3850.88</v>
      </c>
      <c r="E126" s="3"/>
      <c r="F126" s="7">
        <f t="shared" si="92"/>
        <v>1.746444937287929E-2</v>
      </c>
      <c r="G126" s="3"/>
      <c r="H126" s="8">
        <v>5680</v>
      </c>
      <c r="I126" s="3"/>
      <c r="J126" s="7">
        <f t="shared" si="93"/>
        <v>1.7199976985946285E-2</v>
      </c>
      <c r="K126" s="3"/>
      <c r="L126" s="8">
        <f t="shared" si="94"/>
        <v>-1829.12</v>
      </c>
      <c r="M126" s="3"/>
      <c r="N126" s="7">
        <f t="shared" si="95"/>
        <v>-0.32202816901408449</v>
      </c>
      <c r="O126" s="11"/>
      <c r="P126" s="8">
        <v>3850.88</v>
      </c>
      <c r="Q126" s="3"/>
      <c r="R126" s="7">
        <f t="shared" si="96"/>
        <v>1.746444937287929E-2</v>
      </c>
      <c r="S126" s="3"/>
      <c r="T126" s="8">
        <v>5680</v>
      </c>
      <c r="U126" s="3"/>
      <c r="V126" s="7">
        <f t="shared" si="97"/>
        <v>1.7199976985946285E-2</v>
      </c>
      <c r="W126" s="3"/>
      <c r="X126" s="8">
        <f t="shared" si="98"/>
        <v>-1829.12</v>
      </c>
      <c r="Y126" s="3"/>
      <c r="Z126" s="7">
        <f t="shared" si="99"/>
        <v>-0.32202816901408449</v>
      </c>
    </row>
    <row r="127" spans="1:26" s="27" customFormat="1" outlineLevel="1" collapsed="1" x14ac:dyDescent="0.3">
      <c r="A127" s="28"/>
      <c r="B127" s="14" t="str">
        <f>CONCATENATE("     ","Telephone/Data Lines                              ")</f>
        <v xml:space="preserve">     Telephone/Data Lines                              </v>
      </c>
      <c r="C127" s="14"/>
      <c r="D127" s="1">
        <f>SUM(OSRRefD22_22x_0)</f>
        <v>1687.24</v>
      </c>
      <c r="E127" s="1"/>
      <c r="F127" s="5">
        <f t="shared" ref="F127:F129" si="100">IF(D$12=0,0,D127/D$12)</f>
        <v>7.6519438569617468E-3</v>
      </c>
      <c r="G127" s="1"/>
      <c r="H127" s="1">
        <f>SUM(OSRRefH22_22x_0)</f>
        <v>1913</v>
      </c>
      <c r="I127" s="1"/>
      <c r="J127" s="5">
        <f t="shared" ref="J127:J129" si="101">IF(H$12=0,0,H127/H$12)</f>
        <v>5.7928795729076136E-3</v>
      </c>
      <c r="K127" s="1"/>
      <c r="L127" s="1">
        <f t="shared" ref="L127:L129" si="102">+D127-H127</f>
        <v>-225.76</v>
      </c>
      <c r="M127" s="1"/>
      <c r="N127" s="5">
        <f t="shared" ref="N127:N129" si="103">IF(H127=0,0,L127/H127)</f>
        <v>-0.11801359121798222</v>
      </c>
      <c r="O127" s="14"/>
      <c r="P127" s="1">
        <f>SUM(OSRRefP22_22x_0)</f>
        <v>1687.24</v>
      </c>
      <c r="Q127" s="1"/>
      <c r="R127" s="5">
        <f t="shared" ref="R127:R129" si="104">IF(P$12=0,0,P127/P$12)</f>
        <v>7.6519438569617468E-3</v>
      </c>
      <c r="S127" s="1"/>
      <c r="T127" s="1">
        <f>SUM(OSRRefT22_22x_0)</f>
        <v>1913</v>
      </c>
      <c r="U127" s="1"/>
      <c r="V127" s="5">
        <f t="shared" ref="V127:V129" si="105">IF(T$12=0,0,T127/T$12)</f>
        <v>5.7928795729076136E-3</v>
      </c>
      <c r="W127" s="1"/>
      <c r="X127" s="1">
        <f t="shared" ref="X127:X129" si="106">+P127-T127</f>
        <v>-225.76</v>
      </c>
      <c r="Y127" s="1"/>
      <c r="Z127" s="5">
        <f t="shared" ref="Z127:Z129" si="107">IF(T127=0,0,X127/T127)</f>
        <v>-0.11801359121798222</v>
      </c>
    </row>
    <row r="128" spans="1:26" s="24" customFormat="1" hidden="1" outlineLevel="2" x14ac:dyDescent="0.3">
      <c r="A128" s="29"/>
      <c r="B128" s="11" t="str">
        <f>CONCATENATE("          ", "6303", " - ", "DATA PHONE LINES")</f>
        <v xml:space="preserve">          6303 - DATA PHONE LINES</v>
      </c>
      <c r="C128" s="11"/>
      <c r="D128" s="8">
        <v>295</v>
      </c>
      <c r="E128" s="3"/>
      <c r="F128" s="7">
        <f t="shared" si="100"/>
        <v>1.3378792808395458E-3</v>
      </c>
      <c r="G128" s="3"/>
      <c r="H128" s="8">
        <v>50</v>
      </c>
      <c r="I128" s="3"/>
      <c r="J128" s="7">
        <f t="shared" si="101"/>
        <v>1.5140824811572435E-4</v>
      </c>
      <c r="K128" s="3"/>
      <c r="L128" s="8">
        <f t="shared" si="102"/>
        <v>245</v>
      </c>
      <c r="M128" s="3"/>
      <c r="N128" s="7">
        <f t="shared" si="103"/>
        <v>4.9000000000000004</v>
      </c>
      <c r="O128" s="11"/>
      <c r="P128" s="8">
        <v>295</v>
      </c>
      <c r="Q128" s="3"/>
      <c r="R128" s="7">
        <f t="shared" si="104"/>
        <v>1.3378792808395458E-3</v>
      </c>
      <c r="S128" s="3"/>
      <c r="T128" s="8">
        <v>50</v>
      </c>
      <c r="U128" s="3"/>
      <c r="V128" s="7">
        <f t="shared" si="105"/>
        <v>1.5140824811572435E-4</v>
      </c>
      <c r="W128" s="3"/>
      <c r="X128" s="8">
        <f t="shared" si="106"/>
        <v>245</v>
      </c>
      <c r="Y128" s="3"/>
      <c r="Z128" s="7">
        <f t="shared" si="107"/>
        <v>4.9000000000000004</v>
      </c>
    </row>
    <row r="129" spans="1:26" s="24" customFormat="1" hidden="1" outlineLevel="2" x14ac:dyDescent="0.3">
      <c r="A129" s="29"/>
      <c r="B129" s="11" t="str">
        <f>CONCATENATE("          ", "6309", " - ", "TELEPHONE")</f>
        <v xml:space="preserve">          6309 - TELEPHONE</v>
      </c>
      <c r="C129" s="11"/>
      <c r="D129" s="8">
        <v>1392.24</v>
      </c>
      <c r="E129" s="3"/>
      <c r="F129" s="7">
        <f t="shared" si="100"/>
        <v>6.3140645761222006E-3</v>
      </c>
      <c r="G129" s="3"/>
      <c r="H129" s="8">
        <v>1863</v>
      </c>
      <c r="I129" s="3"/>
      <c r="J129" s="7">
        <f t="shared" si="101"/>
        <v>5.641471324791889E-3</v>
      </c>
      <c r="K129" s="3"/>
      <c r="L129" s="8">
        <f t="shared" si="102"/>
        <v>-470.76</v>
      </c>
      <c r="M129" s="3"/>
      <c r="N129" s="7">
        <f t="shared" si="103"/>
        <v>-0.25268921095008051</v>
      </c>
      <c r="O129" s="11"/>
      <c r="P129" s="8">
        <v>1392.24</v>
      </c>
      <c r="Q129" s="3"/>
      <c r="R129" s="7">
        <f t="shared" si="104"/>
        <v>6.3140645761222006E-3</v>
      </c>
      <c r="S129" s="3"/>
      <c r="T129" s="8">
        <v>1863</v>
      </c>
      <c r="U129" s="3"/>
      <c r="V129" s="7">
        <f t="shared" si="105"/>
        <v>5.641471324791889E-3</v>
      </c>
      <c r="W129" s="3"/>
      <c r="X129" s="8">
        <f t="shared" si="106"/>
        <v>-470.76</v>
      </c>
      <c r="Y129" s="3"/>
      <c r="Z129" s="7">
        <f t="shared" si="107"/>
        <v>-0.25268921095008051</v>
      </c>
    </row>
    <row r="130" spans="1:26" s="27" customFormat="1" outlineLevel="1" collapsed="1" x14ac:dyDescent="0.3">
      <c r="A130" s="28"/>
      <c r="B130" s="14" t="str">
        <f>CONCATENATE("     ","Travel                                            ")</f>
        <v xml:space="preserve">     Travel                                            </v>
      </c>
      <c r="C130" s="14"/>
      <c r="D130" s="1">
        <f>SUM(OSRRefD22_23x_0)</f>
        <v>683.14</v>
      </c>
      <c r="E130" s="1"/>
      <c r="F130" s="5">
        <f t="shared" ref="F130:F133" si="108">IF(D$12=0,0,D130/D$12)</f>
        <v>3.0981655997041604E-3</v>
      </c>
      <c r="G130" s="1"/>
      <c r="H130" s="1">
        <f>SUM(OSRRefH22_23x_0)</f>
        <v>175</v>
      </c>
      <c r="I130" s="1"/>
      <c r="J130" s="5">
        <f t="shared" ref="J130:J133" si="109">IF(H$12=0,0,H130/H$12)</f>
        <v>5.299288684050352E-4</v>
      </c>
      <c r="K130" s="1"/>
      <c r="L130" s="1">
        <f t="shared" ref="L130:L133" si="110">+D130-H130</f>
        <v>508.14</v>
      </c>
      <c r="M130" s="1"/>
      <c r="N130" s="5">
        <f t="shared" ref="N130:N133" si="111">IF(H130=0,0,L130/H130)</f>
        <v>2.9036571428571429</v>
      </c>
      <c r="O130" s="14"/>
      <c r="P130" s="1">
        <f>SUM(OSRRefP22_23x_0)</f>
        <v>683.14</v>
      </c>
      <c r="Q130" s="1"/>
      <c r="R130" s="5">
        <f t="shared" ref="R130:R133" si="112">IF(P$12=0,0,P130/P$12)</f>
        <v>3.0981655997041604E-3</v>
      </c>
      <c r="S130" s="1"/>
      <c r="T130" s="1">
        <f>SUM(OSRRefT22_23x_0)</f>
        <v>175</v>
      </c>
      <c r="U130" s="1"/>
      <c r="V130" s="5">
        <f t="shared" ref="V130:V133" si="113">IF(T$12=0,0,T130/T$12)</f>
        <v>5.299288684050352E-4</v>
      </c>
      <c r="W130" s="1"/>
      <c r="X130" s="1">
        <f t="shared" ref="X130:X133" si="114">+P130-T130</f>
        <v>508.14</v>
      </c>
      <c r="Y130" s="1"/>
      <c r="Z130" s="5">
        <f t="shared" ref="Z130:Z133" si="115">IF(T130=0,0,X130/T130)</f>
        <v>2.9036571428571429</v>
      </c>
    </row>
    <row r="131" spans="1:26" s="24" customFormat="1" hidden="1" outlineLevel="2" x14ac:dyDescent="0.3">
      <c r="A131" s="29"/>
      <c r="B131" s="11" t="str">
        <f>CONCATENATE("          ", "6292", " - ", "TRAVEL/CONFERENCE")</f>
        <v xml:space="preserve">          6292 - TRAVEL/CONFERENCE</v>
      </c>
      <c r="C131" s="11"/>
      <c r="D131" s="8">
        <v>495</v>
      </c>
      <c r="E131" s="3"/>
      <c r="F131" s="7">
        <f t="shared" si="108"/>
        <v>2.2449160814087296E-3</v>
      </c>
      <c r="G131" s="3"/>
      <c r="H131" s="8">
        <v>125</v>
      </c>
      <c r="I131" s="3"/>
      <c r="J131" s="7">
        <f t="shared" si="109"/>
        <v>3.7852062028931088E-4</v>
      </c>
      <c r="K131" s="3"/>
      <c r="L131" s="8">
        <f t="shared" si="110"/>
        <v>370</v>
      </c>
      <c r="M131" s="3"/>
      <c r="N131" s="7">
        <f t="shared" si="111"/>
        <v>2.96</v>
      </c>
      <c r="O131" s="11"/>
      <c r="P131" s="8">
        <v>495</v>
      </c>
      <c r="Q131" s="3"/>
      <c r="R131" s="7">
        <f t="shared" si="112"/>
        <v>2.2449160814087296E-3</v>
      </c>
      <c r="S131" s="3"/>
      <c r="T131" s="8">
        <v>125</v>
      </c>
      <c r="U131" s="3"/>
      <c r="V131" s="7">
        <f t="shared" si="113"/>
        <v>3.7852062028931088E-4</v>
      </c>
      <c r="W131" s="3"/>
      <c r="X131" s="8">
        <f t="shared" si="114"/>
        <v>370</v>
      </c>
      <c r="Y131" s="3"/>
      <c r="Z131" s="7">
        <f t="shared" si="115"/>
        <v>2.96</v>
      </c>
    </row>
    <row r="132" spans="1:26" s="24" customFormat="1" hidden="1" outlineLevel="2" x14ac:dyDescent="0.3">
      <c r="A132" s="29"/>
      <c r="B132" s="11" t="str">
        <f>CONCATENATE("          ", "6294", " - ", "TRAVEL OPERATIONAL")</f>
        <v xml:space="preserve">          6294 - TRAVEL OPERATIONAL</v>
      </c>
      <c r="C132" s="11"/>
      <c r="D132" s="8">
        <v>188.14</v>
      </c>
      <c r="E132" s="3"/>
      <c r="F132" s="7">
        <f t="shared" si="108"/>
        <v>8.5324951829543092E-4</v>
      </c>
      <c r="G132" s="3"/>
      <c r="H132" s="8">
        <v>25</v>
      </c>
      <c r="I132" s="3"/>
      <c r="J132" s="7">
        <f t="shared" si="109"/>
        <v>7.5704124057862174E-5</v>
      </c>
      <c r="K132" s="3"/>
      <c r="L132" s="8">
        <f t="shared" si="110"/>
        <v>163.13999999999999</v>
      </c>
      <c r="M132" s="3"/>
      <c r="N132" s="7">
        <f t="shared" si="111"/>
        <v>6.5255999999999998</v>
      </c>
      <c r="O132" s="11"/>
      <c r="P132" s="8">
        <v>188.14</v>
      </c>
      <c r="Q132" s="3"/>
      <c r="R132" s="7">
        <f t="shared" si="112"/>
        <v>8.5324951829543092E-4</v>
      </c>
      <c r="S132" s="3"/>
      <c r="T132" s="8">
        <v>25</v>
      </c>
      <c r="U132" s="3"/>
      <c r="V132" s="7">
        <f t="shared" si="113"/>
        <v>7.5704124057862174E-5</v>
      </c>
      <c r="W132" s="3"/>
      <c r="X132" s="8">
        <f t="shared" si="114"/>
        <v>163.13999999999999</v>
      </c>
      <c r="Y132" s="3"/>
      <c r="Z132" s="7">
        <f t="shared" si="115"/>
        <v>6.5255999999999998</v>
      </c>
    </row>
    <row r="133" spans="1:26" s="24" customFormat="1" hidden="1" outlineLevel="2" x14ac:dyDescent="0.3">
      <c r="A133" s="29"/>
      <c r="B133" s="11" t="str">
        <f>CONCATENATE("          ", "6298", " - ", "VEHICLE MILEAGE")</f>
        <v xml:space="preserve">          6298 - VEHICLE MILEAGE</v>
      </c>
      <c r="C133" s="11"/>
      <c r="D133" s="8"/>
      <c r="E133" s="3"/>
      <c r="F133" s="7">
        <f t="shared" si="108"/>
        <v>0</v>
      </c>
      <c r="G133" s="3"/>
      <c r="H133" s="8">
        <v>25</v>
      </c>
      <c r="I133" s="3"/>
      <c r="J133" s="7">
        <f t="shared" si="109"/>
        <v>7.5704124057862174E-5</v>
      </c>
      <c r="K133" s="3"/>
      <c r="L133" s="8">
        <f t="shared" si="110"/>
        <v>-25</v>
      </c>
      <c r="M133" s="3"/>
      <c r="N133" s="7">
        <f t="shared" si="111"/>
        <v>-1</v>
      </c>
      <c r="O133" s="11"/>
      <c r="P133" s="8"/>
      <c r="Q133" s="3"/>
      <c r="R133" s="7">
        <f t="shared" si="112"/>
        <v>0</v>
      </c>
      <c r="S133" s="3"/>
      <c r="T133" s="8">
        <v>25</v>
      </c>
      <c r="U133" s="3"/>
      <c r="V133" s="7">
        <f t="shared" si="113"/>
        <v>7.5704124057862174E-5</v>
      </c>
      <c r="W133" s="3"/>
      <c r="X133" s="8">
        <f t="shared" si="114"/>
        <v>-25</v>
      </c>
      <c r="Y133" s="3"/>
      <c r="Z133" s="7">
        <f t="shared" si="115"/>
        <v>-1</v>
      </c>
    </row>
    <row r="134" spans="1:26" s="27" customFormat="1" outlineLevel="1" collapsed="1" x14ac:dyDescent="0.3">
      <c r="A134" s="28"/>
      <c r="B134" s="14" t="str">
        <f>CONCATENATE("     ","Utilities                                         ")</f>
        <v xml:space="preserve">     Utilities                                         </v>
      </c>
      <c r="C134" s="14"/>
      <c r="D134" s="1">
        <f>SUM(OSRRefD22_24x_0)</f>
        <v>6136.49</v>
      </c>
      <c r="E134" s="1"/>
      <c r="F134" s="5">
        <f t="shared" ref="F134:F135" si="116">IF(D$12=0,0,D134/D$12)</f>
        <v>2.7830111281623948E-2</v>
      </c>
      <c r="G134" s="1"/>
      <c r="H134" s="1">
        <f>SUM(OSRRefH22_24x_0)</f>
        <v>6120</v>
      </c>
      <c r="I134" s="1"/>
      <c r="J134" s="5">
        <f t="shared" ref="J134:J135" si="117">IF(H$12=0,0,H134/H$12)</f>
        <v>1.853236956936466E-2</v>
      </c>
      <c r="K134" s="1"/>
      <c r="L134" s="1">
        <f t="shared" ref="L134:L135" si="118">+D134-H134</f>
        <v>16.489999999999782</v>
      </c>
      <c r="M134" s="1"/>
      <c r="N134" s="5">
        <f t="shared" ref="N134:N135" si="119">IF(H134=0,0,L134/H134)</f>
        <v>2.6944444444444086E-3</v>
      </c>
      <c r="O134" s="14"/>
      <c r="P134" s="1">
        <f>SUM(OSRRefP22_24x_0)</f>
        <v>6136.49</v>
      </c>
      <c r="Q134" s="1"/>
      <c r="R134" s="5">
        <f t="shared" ref="R134:R135" si="120">IF(P$12=0,0,P134/P$12)</f>
        <v>2.7830111281623948E-2</v>
      </c>
      <c r="S134" s="1"/>
      <c r="T134" s="1">
        <f>SUM(OSRRefT22_24x_0)</f>
        <v>6120</v>
      </c>
      <c r="U134" s="1"/>
      <c r="V134" s="5">
        <f t="shared" ref="V134:V135" si="121">IF(T$12=0,0,T134/T$12)</f>
        <v>1.853236956936466E-2</v>
      </c>
      <c r="W134" s="1"/>
      <c r="X134" s="1">
        <f t="shared" ref="X134:X135" si="122">+P134-T134</f>
        <v>16.489999999999782</v>
      </c>
      <c r="Y134" s="1"/>
      <c r="Z134" s="5">
        <f t="shared" ref="Z134:Z135" si="123">IF(T134=0,0,X134/T134)</f>
        <v>2.6944444444444086E-3</v>
      </c>
    </row>
    <row r="135" spans="1:26" s="24" customFormat="1" hidden="1" outlineLevel="2" x14ac:dyDescent="0.3">
      <c r="A135" s="29"/>
      <c r="B135" s="11" t="str">
        <f>CONCATENATE("          ", "6274", " - ", "UTILITIES")</f>
        <v xml:space="preserve">          6274 - UTILITIES</v>
      </c>
      <c r="C135" s="11"/>
      <c r="D135" s="8">
        <v>6136.49</v>
      </c>
      <c r="E135" s="3"/>
      <c r="F135" s="7">
        <f t="shared" si="116"/>
        <v>2.7830111281623948E-2</v>
      </c>
      <c r="G135" s="3"/>
      <c r="H135" s="8">
        <v>6120</v>
      </c>
      <c r="I135" s="3"/>
      <c r="J135" s="7">
        <f t="shared" si="117"/>
        <v>1.853236956936466E-2</v>
      </c>
      <c r="K135" s="3"/>
      <c r="L135" s="8">
        <f t="shared" si="118"/>
        <v>16.489999999999782</v>
      </c>
      <c r="M135" s="3"/>
      <c r="N135" s="7">
        <f t="shared" si="119"/>
        <v>2.6944444444444086E-3</v>
      </c>
      <c r="O135" s="11"/>
      <c r="P135" s="8">
        <v>6136.49</v>
      </c>
      <c r="Q135" s="3"/>
      <c r="R135" s="7">
        <f t="shared" si="120"/>
        <v>2.7830111281623948E-2</v>
      </c>
      <c r="S135" s="3"/>
      <c r="T135" s="8">
        <v>6120</v>
      </c>
      <c r="U135" s="3"/>
      <c r="V135" s="7">
        <f t="shared" si="121"/>
        <v>1.853236956936466E-2</v>
      </c>
      <c r="W135" s="3"/>
      <c r="X135" s="8">
        <f t="shared" si="122"/>
        <v>16.489999999999782</v>
      </c>
      <c r="Y135" s="3"/>
      <c r="Z135" s="7">
        <f t="shared" si="123"/>
        <v>2.6944444444444086E-3</v>
      </c>
    </row>
    <row r="136" spans="1:26" s="62" customFormat="1" x14ac:dyDescent="0.3">
      <c r="A136" s="36"/>
      <c r="B136" s="36"/>
      <c r="C136" s="36"/>
      <c r="D136" s="1"/>
      <c r="E136" s="1"/>
      <c r="F136" s="5"/>
      <c r="G136" s="1"/>
      <c r="H136" s="1"/>
      <c r="I136" s="1"/>
      <c r="J136" s="5"/>
      <c r="K136" s="1"/>
      <c r="L136" s="1"/>
      <c r="M136" s="1"/>
      <c r="N136" s="5"/>
      <c r="O136" s="36"/>
      <c r="P136" s="1"/>
      <c r="Q136" s="1"/>
      <c r="R136" s="5"/>
      <c r="S136" s="1"/>
      <c r="T136" s="1"/>
      <c r="U136" s="1"/>
      <c r="V136" s="5"/>
      <c r="W136" s="1"/>
      <c r="X136" s="1"/>
      <c r="Y136" s="1"/>
      <c r="Z136" s="5"/>
    </row>
    <row r="137" spans="1:26" s="23" customFormat="1" collapsed="1" x14ac:dyDescent="0.3">
      <c r="A137" s="10"/>
      <c r="B137" s="25" t="s">
        <v>293</v>
      </c>
      <c r="C137" s="10"/>
      <c r="D137" s="4">
        <f>SUM(OSRRefD25x_0)</f>
        <v>39640.85</v>
      </c>
      <c r="E137" s="4"/>
      <c r="F137" s="12">
        <f t="shared" ref="F137:F141" si="124">IF(D$12=0,0,D137/D$12)</f>
        <v>0.17977854877921459</v>
      </c>
      <c r="G137" s="4"/>
      <c r="H137" s="4">
        <f>SUM(OSRRefH25x_0)</f>
        <v>21702</v>
      </c>
      <c r="I137" s="4"/>
      <c r="J137" s="12">
        <f t="shared" ref="J137:J141" si="125">IF(H$12=0,0,H137/H$12)</f>
        <v>6.5717236012149002E-2</v>
      </c>
      <c r="K137" s="4"/>
      <c r="L137" s="4">
        <f t="shared" ref="L137:L141" si="126">+D137-H137</f>
        <v>17938.849999999999</v>
      </c>
      <c r="M137" s="4"/>
      <c r="N137" s="12">
        <f t="shared" ref="N137:N141" si="127">IF(H137=0,0,L137/H137)</f>
        <v>0.82659893097410375</v>
      </c>
      <c r="O137" s="10"/>
      <c r="P137" s="4">
        <f>SUM(OSRRefP25x_0)</f>
        <v>39640.85</v>
      </c>
      <c r="Q137" s="4"/>
      <c r="R137" s="12">
        <f t="shared" ref="R137:R141" si="128">IF(P$12=0,0,P137/P$12)</f>
        <v>0.17977854877921459</v>
      </c>
      <c r="S137" s="4"/>
      <c r="T137" s="4">
        <f>SUM(OSRRefT25x_0)</f>
        <v>21702</v>
      </c>
      <c r="U137" s="4"/>
      <c r="V137" s="12">
        <f t="shared" ref="V137:V141" si="129">IF(T$12=0,0,T137/T$12)</f>
        <v>6.5717236012149002E-2</v>
      </c>
      <c r="W137" s="4"/>
      <c r="X137" s="4">
        <f t="shared" ref="X137:X141" si="130">+P137-T137</f>
        <v>17938.849999999999</v>
      </c>
      <c r="Y137" s="4"/>
      <c r="Z137" s="12">
        <f t="shared" ref="Z137:Z141" si="131">IF(T137=0,0,X137/T137)</f>
        <v>0.82659893097410375</v>
      </c>
    </row>
    <row r="138" spans="1:26" s="24" customFormat="1" hidden="1" outlineLevel="1" x14ac:dyDescent="0.3">
      <c r="A138" s="44"/>
      <c r="B138" s="11" t="str">
        <f>CONCATENATE("          ", "9150", " - ", "MISC. INCOME")</f>
        <v xml:space="preserve">          9150 - MISC. INCOME</v>
      </c>
      <c r="C138" s="11"/>
      <c r="D138" s="3">
        <f>--33244.99</f>
        <v>33244.99</v>
      </c>
      <c r="E138" s="3"/>
      <c r="F138" s="19">
        <f t="shared" si="124"/>
        <v>0.15077214682277251</v>
      </c>
      <c r="G138" s="3"/>
      <c r="H138" s="3">
        <v>21702</v>
      </c>
      <c r="I138" s="3"/>
      <c r="J138" s="19">
        <f t="shared" si="125"/>
        <v>6.5717236012149002E-2</v>
      </c>
      <c r="K138" s="3"/>
      <c r="L138" s="3">
        <f t="shared" si="126"/>
        <v>11542.989999999998</v>
      </c>
      <c r="M138" s="3"/>
      <c r="N138" s="19">
        <f t="shared" si="127"/>
        <v>0.53188600129020358</v>
      </c>
      <c r="O138" s="11"/>
      <c r="P138" s="3">
        <f>--33244.99</f>
        <v>33244.99</v>
      </c>
      <c r="Q138" s="3"/>
      <c r="R138" s="19">
        <f t="shared" si="128"/>
        <v>0.15077214682277251</v>
      </c>
      <c r="S138" s="3"/>
      <c r="T138" s="3">
        <v>21702</v>
      </c>
      <c r="U138" s="3"/>
      <c r="V138" s="19">
        <f t="shared" si="129"/>
        <v>6.5717236012149002E-2</v>
      </c>
      <c r="W138" s="3"/>
      <c r="X138" s="3">
        <f t="shared" si="130"/>
        <v>11542.989999999998</v>
      </c>
      <c r="Y138" s="3"/>
      <c r="Z138" s="19">
        <f t="shared" si="131"/>
        <v>0.53188600129020358</v>
      </c>
    </row>
    <row r="139" spans="1:26" s="24" customFormat="1" hidden="1" outlineLevel="1" x14ac:dyDescent="0.3">
      <c r="A139" s="44"/>
      <c r="B139" s="11" t="str">
        <f>CONCATENATE("          ", "9152", " - ", "MISC. INCOME")</f>
        <v xml:space="preserve">          9152 - MISC. INCOME</v>
      </c>
      <c r="C139" s="11"/>
      <c r="D139" s="3">
        <f>--66.92</f>
        <v>66.92</v>
      </c>
      <c r="E139" s="3"/>
      <c r="F139" s="19">
        <f t="shared" si="124"/>
        <v>3.0349451347044885E-4</v>
      </c>
      <c r="G139" s="3"/>
      <c r="H139" s="3"/>
      <c r="I139" s="3"/>
      <c r="J139" s="19">
        <f t="shared" si="125"/>
        <v>0</v>
      </c>
      <c r="K139" s="3"/>
      <c r="L139" s="3">
        <f t="shared" si="126"/>
        <v>66.92</v>
      </c>
      <c r="M139" s="3"/>
      <c r="N139" s="19">
        <f t="shared" si="127"/>
        <v>0</v>
      </c>
      <c r="O139" s="11"/>
      <c r="P139" s="3">
        <f>--66.92</f>
        <v>66.92</v>
      </c>
      <c r="Q139" s="3"/>
      <c r="R139" s="19">
        <f t="shared" si="128"/>
        <v>3.0349451347044885E-4</v>
      </c>
      <c r="S139" s="3"/>
      <c r="T139" s="3"/>
      <c r="U139" s="3"/>
      <c r="V139" s="19">
        <f t="shared" si="129"/>
        <v>0</v>
      </c>
      <c r="W139" s="3"/>
      <c r="X139" s="3">
        <f t="shared" si="130"/>
        <v>66.92</v>
      </c>
      <c r="Y139" s="3"/>
      <c r="Z139" s="19">
        <f t="shared" si="131"/>
        <v>0</v>
      </c>
    </row>
    <row r="140" spans="1:26" s="24" customFormat="1" hidden="1" outlineLevel="1" x14ac:dyDescent="0.3">
      <c r="A140" s="44"/>
      <c r="B140" s="11" t="str">
        <f>CONCATENATE("          ", "9160", " - ", "MISC. INCOME")</f>
        <v xml:space="preserve">          9160 - MISC. INCOME</v>
      </c>
      <c r="C140" s="11"/>
      <c r="D140" s="3">
        <f>0</f>
        <v>0</v>
      </c>
      <c r="E140" s="3"/>
      <c r="F140" s="19">
        <f t="shared" si="124"/>
        <v>0</v>
      </c>
      <c r="G140" s="3"/>
      <c r="H140" s="3">
        <v>0</v>
      </c>
      <c r="I140" s="3"/>
      <c r="J140" s="19">
        <f t="shared" si="125"/>
        <v>0</v>
      </c>
      <c r="K140" s="3"/>
      <c r="L140" s="3">
        <f t="shared" si="126"/>
        <v>0</v>
      </c>
      <c r="M140" s="3"/>
      <c r="N140" s="19">
        <f t="shared" si="127"/>
        <v>0</v>
      </c>
      <c r="O140" s="11"/>
      <c r="P140" s="3">
        <f>0</f>
        <v>0</v>
      </c>
      <c r="Q140" s="3"/>
      <c r="R140" s="19">
        <f t="shared" si="128"/>
        <v>0</v>
      </c>
      <c r="S140" s="3"/>
      <c r="T140" s="3">
        <v>0</v>
      </c>
      <c r="U140" s="3"/>
      <c r="V140" s="19">
        <f t="shared" si="129"/>
        <v>0</v>
      </c>
      <c r="W140" s="3"/>
      <c r="X140" s="3">
        <f t="shared" si="130"/>
        <v>0</v>
      </c>
      <c r="Y140" s="3"/>
      <c r="Z140" s="19">
        <f t="shared" si="131"/>
        <v>0</v>
      </c>
    </row>
    <row r="141" spans="1:26" s="24" customFormat="1" hidden="1" outlineLevel="1" x14ac:dyDescent="0.3">
      <c r="A141" s="44"/>
      <c r="B141" s="11" t="str">
        <f>CONCATENATE("          ", "9163", " - ", "MISC. INCOME")</f>
        <v xml:space="preserve">          9163 - MISC. INCOME</v>
      </c>
      <c r="C141" s="11"/>
      <c r="D141" s="3">
        <f>--6328.94</f>
        <v>6328.94</v>
      </c>
      <c r="E141" s="3"/>
      <c r="F141" s="19">
        <f t="shared" si="124"/>
        <v>2.8702907442971642E-2</v>
      </c>
      <c r="G141" s="3"/>
      <c r="H141" s="3"/>
      <c r="I141" s="3"/>
      <c r="J141" s="19">
        <f t="shared" si="125"/>
        <v>0</v>
      </c>
      <c r="K141" s="3"/>
      <c r="L141" s="3">
        <f t="shared" si="126"/>
        <v>6328.94</v>
      </c>
      <c r="M141" s="3"/>
      <c r="N141" s="19">
        <f t="shared" si="127"/>
        <v>0</v>
      </c>
      <c r="O141" s="11"/>
      <c r="P141" s="3">
        <f>--6328.94</f>
        <v>6328.94</v>
      </c>
      <c r="Q141" s="3"/>
      <c r="R141" s="19">
        <f t="shared" si="128"/>
        <v>2.8702907442971642E-2</v>
      </c>
      <c r="S141" s="3"/>
      <c r="T141" s="3"/>
      <c r="U141" s="3"/>
      <c r="V141" s="19">
        <f t="shared" si="129"/>
        <v>0</v>
      </c>
      <c r="W141" s="3"/>
      <c r="X141" s="3">
        <f t="shared" si="130"/>
        <v>6328.94</v>
      </c>
      <c r="Y141" s="3"/>
      <c r="Z141" s="19">
        <f t="shared" si="131"/>
        <v>0</v>
      </c>
    </row>
    <row r="142" spans="1:26" x14ac:dyDescent="0.3">
      <c r="A142" s="9"/>
      <c r="B142" s="10"/>
      <c r="C142" s="10"/>
      <c r="D142" s="2"/>
      <c r="E142" s="2"/>
      <c r="F142" s="6"/>
      <c r="G142" s="2"/>
      <c r="H142" s="2"/>
      <c r="I142" s="2"/>
      <c r="J142" s="6"/>
      <c r="K142" s="2"/>
      <c r="L142" s="2"/>
      <c r="M142" s="2"/>
      <c r="N142" s="6"/>
      <c r="O142" s="10"/>
      <c r="P142" s="2"/>
      <c r="Q142" s="2"/>
      <c r="R142" s="6"/>
      <c r="S142" s="2"/>
      <c r="T142" s="2"/>
      <c r="U142" s="2"/>
      <c r="V142" s="6"/>
      <c r="W142" s="2"/>
      <c r="X142" s="2"/>
      <c r="Y142" s="2"/>
      <c r="Z142" s="6"/>
    </row>
    <row r="143" spans="1:26" s="23" customFormat="1" x14ac:dyDescent="0.3">
      <c r="A143" s="10"/>
      <c r="B143" s="26" t="s">
        <v>277</v>
      </c>
      <c r="C143" s="26"/>
      <c r="D143" s="21">
        <f>+D43-D45+D137</f>
        <v>-242642.59999999989</v>
      </c>
      <c r="E143" s="13"/>
      <c r="F143" s="22">
        <f>IF(D$12=0,0,D143/D$12)</f>
        <v>-1.1004288379289404</v>
      </c>
      <c r="G143" s="13"/>
      <c r="H143" s="21">
        <f>+H43-H45+H137</f>
        <v>-278353.25052191038</v>
      </c>
      <c r="I143" s="13"/>
      <c r="J143" s="22">
        <f>IF(H$12=0,0,H143/H$12)</f>
        <v>-0.8428995603767957</v>
      </c>
      <c r="K143" s="16"/>
      <c r="L143" s="21">
        <f>+D143-H143</f>
        <v>35710.650521910487</v>
      </c>
      <c r="M143" s="16"/>
      <c r="N143" s="22">
        <f>IF(H143=0,0,L143/H143)</f>
        <v>-0.12829255794553601</v>
      </c>
      <c r="O143" s="25"/>
      <c r="P143" s="21">
        <f>+P43-P45+P137</f>
        <v>-242642.59999999989</v>
      </c>
      <c r="Q143" s="13"/>
      <c r="R143" s="22">
        <f>IF(P$12=0,0,P143/P$12)</f>
        <v>-1.1004288379289404</v>
      </c>
      <c r="S143" s="13"/>
      <c r="T143" s="21">
        <f>+T43-T45+T137</f>
        <v>-278353.25052191038</v>
      </c>
      <c r="U143" s="13"/>
      <c r="V143" s="22">
        <f>IF(T$12=0,0,T143/T$12)</f>
        <v>-0.8428995603767957</v>
      </c>
      <c r="W143" s="16"/>
      <c r="X143" s="21">
        <f>+P143-T143</f>
        <v>35710.650521910487</v>
      </c>
      <c r="Y143" s="16"/>
      <c r="Z143" s="22">
        <f>IF(T143=0,0,X143/T143)</f>
        <v>-0.12829255794553601</v>
      </c>
    </row>
    <row r="144" spans="1:26" x14ac:dyDescent="0.3">
      <c r="A144" s="9"/>
      <c r="B144" s="10"/>
      <c r="C144" s="9"/>
      <c r="D144" s="2"/>
      <c r="E144" s="2"/>
      <c r="F144" s="6"/>
      <c r="G144" s="2"/>
      <c r="H144" s="2"/>
      <c r="I144" s="2"/>
      <c r="J144" s="6"/>
      <c r="K144" s="2"/>
      <c r="L144" s="2"/>
      <c r="M144" s="2"/>
      <c r="N144" s="6"/>
      <c r="P144" s="2"/>
      <c r="Q144" s="2"/>
      <c r="R144" s="6"/>
      <c r="S144" s="2"/>
      <c r="T144" s="2"/>
      <c r="U144" s="2"/>
      <c r="V144" s="6"/>
      <c r="W144" s="2"/>
      <c r="X144" s="2"/>
      <c r="Y144" s="2"/>
      <c r="Z144" s="6"/>
    </row>
    <row r="145" spans="1:26" s="23" customFormat="1" x14ac:dyDescent="0.3">
      <c r="A145" s="52"/>
      <c r="B145" s="10" t="s">
        <v>128</v>
      </c>
      <c r="C145" s="10"/>
      <c r="D145" s="4">
        <v>101869.27</v>
      </c>
      <c r="E145" s="4"/>
      <c r="F145" s="12">
        <f>IF(D$12=0,0,D145/D$12)</f>
        <v>0.46199588368559164</v>
      </c>
      <c r="G145" s="4"/>
      <c r="H145" s="4">
        <v>119594</v>
      </c>
      <c r="I145" s="4"/>
      <c r="J145" s="12">
        <f>IF(H$12=0,0,H145/H$12)</f>
        <v>0.36215036050303878</v>
      </c>
      <c r="K145" s="4"/>
      <c r="L145" s="4">
        <f>+D145-H145</f>
        <v>-17724.729999999996</v>
      </c>
      <c r="M145" s="4"/>
      <c r="N145" s="12">
        <f>IF(H145=0,0,L145/H145)</f>
        <v>-0.14820751877184471</v>
      </c>
      <c r="O145" s="10"/>
      <c r="P145" s="4">
        <v>101869.27</v>
      </c>
      <c r="Q145" s="4"/>
      <c r="R145" s="12">
        <f>IF(P$12=0,0,P145/P$12)</f>
        <v>0.46199588368559164</v>
      </c>
      <c r="S145" s="4"/>
      <c r="T145" s="4">
        <v>119594</v>
      </c>
      <c r="U145" s="4"/>
      <c r="V145" s="12">
        <f>IF(T$12=0,0,T145/T$12)</f>
        <v>0.36215036050303878</v>
      </c>
      <c r="W145" s="4"/>
      <c r="X145" s="4">
        <f>+P145-T145</f>
        <v>-17724.729999999996</v>
      </c>
      <c r="Y145" s="4"/>
      <c r="Z145" s="12">
        <f>IF(T145=0,0,X145/T145)</f>
        <v>-0.14820751877184471</v>
      </c>
    </row>
    <row r="146" spans="1:26" x14ac:dyDescent="0.3">
      <c r="A146" s="9"/>
      <c r="B146" s="10"/>
      <c r="C146" s="10"/>
      <c r="D146" s="2"/>
      <c r="E146" s="2"/>
      <c r="F146" s="6"/>
      <c r="G146" s="2"/>
      <c r="H146" s="2"/>
      <c r="I146" s="2"/>
      <c r="J146" s="6"/>
      <c r="K146" s="2"/>
      <c r="L146" s="2"/>
      <c r="M146" s="2"/>
      <c r="N146" s="6"/>
      <c r="O146" s="10"/>
      <c r="P146" s="2"/>
      <c r="Q146" s="2"/>
      <c r="R146" s="6"/>
      <c r="S146" s="2"/>
      <c r="T146" s="2"/>
      <c r="U146" s="2"/>
      <c r="V146" s="6"/>
      <c r="W146" s="2"/>
      <c r="X146" s="2"/>
      <c r="Y146" s="2"/>
      <c r="Z146" s="6"/>
    </row>
    <row r="147" spans="1:26" s="23" customFormat="1" ht="15" thickBot="1" x14ac:dyDescent="0.35">
      <c r="A147" s="10"/>
      <c r="B147" s="26" t="s">
        <v>126</v>
      </c>
      <c r="C147" s="26"/>
      <c r="D147" s="35">
        <f>+D143-D145</f>
        <v>-344511.86999999988</v>
      </c>
      <c r="E147" s="13"/>
      <c r="F147" s="30">
        <f>IF(D$12=0,0,D147/D$12)</f>
        <v>-1.5624247216145319</v>
      </c>
      <c r="G147" s="13"/>
      <c r="H147" s="35">
        <f>+H143-H145</f>
        <v>-397947.25052191038</v>
      </c>
      <c r="I147" s="13"/>
      <c r="J147" s="30">
        <f>IF(H$12=0,0,H147/H$12)</f>
        <v>-1.2050499208798344</v>
      </c>
      <c r="K147" s="16"/>
      <c r="L147" s="35">
        <f>D147-H147</f>
        <v>53435.380521910498</v>
      </c>
      <c r="M147" s="16"/>
      <c r="N147" s="30">
        <f>IF(H147=0,0,L147/H147)</f>
        <v>-0.13427754671462022</v>
      </c>
      <c r="O147" s="25"/>
      <c r="P147" s="35">
        <f>+P143-P145</f>
        <v>-344511.86999999988</v>
      </c>
      <c r="Q147" s="13"/>
      <c r="R147" s="30">
        <f>IF(P$12=0,0,P147/P$12)</f>
        <v>-1.5624247216145319</v>
      </c>
      <c r="S147" s="13"/>
      <c r="T147" s="35">
        <f>+T143-T145</f>
        <v>-397947.25052191038</v>
      </c>
      <c r="U147" s="13"/>
      <c r="V147" s="30">
        <f>IF(T$12=0,0,T147/T$12)</f>
        <v>-1.2050499208798344</v>
      </c>
      <c r="W147" s="16"/>
      <c r="X147" s="35">
        <f>P147-T147</f>
        <v>53435.380521910498</v>
      </c>
      <c r="Y147" s="16"/>
      <c r="Z147" s="30">
        <f>IF(T147=0,0,X147/T147)</f>
        <v>-0.13427754671462022</v>
      </c>
    </row>
    <row r="148" spans="1:26" ht="15" thickTop="1" x14ac:dyDescent="0.3">
      <c r="A148" s="9"/>
      <c r="B148" s="9"/>
      <c r="C148" s="9"/>
      <c r="D148" s="2"/>
      <c r="E148" s="2"/>
      <c r="F148" s="6"/>
      <c r="G148" s="2"/>
      <c r="H148" s="2"/>
      <c r="I148" s="2"/>
      <c r="J148" s="6"/>
      <c r="K148" s="2"/>
      <c r="L148" s="2"/>
      <c r="M148" s="2"/>
      <c r="N148" s="6"/>
      <c r="P148" s="2"/>
      <c r="Q148" s="2"/>
      <c r="R148" s="6"/>
      <c r="S148" s="2"/>
      <c r="T148" s="2"/>
      <c r="U148" s="2"/>
      <c r="V148" s="6"/>
      <c r="W148" s="2"/>
      <c r="X148" s="2"/>
      <c r="Y148" s="2"/>
      <c r="Z148" s="6"/>
    </row>
    <row r="149" spans="1:26" x14ac:dyDescent="0.3">
      <c r="A149" s="9"/>
      <c r="B149" s="9"/>
      <c r="C149" s="9"/>
      <c r="D149" s="2"/>
      <c r="E149" s="2"/>
      <c r="F149" s="6"/>
      <c r="G149" s="2"/>
      <c r="H149" s="2"/>
      <c r="I149" s="2"/>
      <c r="J149" s="6"/>
      <c r="K149" s="2"/>
      <c r="L149" s="2"/>
      <c r="M149" s="2"/>
      <c r="N149" s="6"/>
      <c r="P149" s="2"/>
      <c r="Q149" s="2"/>
      <c r="R149" s="6"/>
      <c r="S149" s="2"/>
      <c r="T149" s="2"/>
      <c r="U149" s="2"/>
      <c r="V149" s="6"/>
      <c r="W149" s="2"/>
      <c r="X149" s="2"/>
      <c r="Y149" s="2"/>
      <c r="Z149" s="6"/>
    </row>
    <row r="150" spans="1:26" s="23" customFormat="1" ht="15" thickBot="1" x14ac:dyDescent="0.35">
      <c r="A150" s="10"/>
      <c r="B150" s="26" t="s">
        <v>294</v>
      </c>
      <c r="C150" s="26"/>
      <c r="D150" s="33">
        <f>SUM(D147:D149)</f>
        <v>-344511.86999999988</v>
      </c>
      <c r="E150" s="13"/>
      <c r="F150" s="31">
        <f>IF(D$12=0,0,D150/D$12)</f>
        <v>-1.5624247216145319</v>
      </c>
      <c r="G150" s="13"/>
      <c r="H150" s="33">
        <f>SUM(H147:H149)</f>
        <v>-397947.25052191038</v>
      </c>
      <c r="I150" s="13"/>
      <c r="J150" s="31">
        <f>IF(H$12=0,0,H150/H$12)</f>
        <v>-1.2050499208798344</v>
      </c>
      <c r="K150" s="16"/>
      <c r="L150" s="33">
        <f>+D150-H150</f>
        <v>53435.380521910498</v>
      </c>
      <c r="M150" s="16"/>
      <c r="N150" s="31">
        <f>IF(H150=0,0,L150/H150)</f>
        <v>-0.13427754671462022</v>
      </c>
      <c r="O150" s="25"/>
      <c r="P150" s="33">
        <f>SUM(P147:P149)</f>
        <v>-344511.86999999988</v>
      </c>
      <c r="Q150" s="13"/>
      <c r="R150" s="31">
        <f>IF(P$12=0,0,P150/P$12)</f>
        <v>-1.5624247216145319</v>
      </c>
      <c r="S150" s="13"/>
      <c r="T150" s="33">
        <f>SUM(T147:T149)</f>
        <v>-397947.25052191038</v>
      </c>
      <c r="U150" s="13"/>
      <c r="V150" s="31">
        <f>IF(T$12=0,0,T150/T$12)</f>
        <v>-1.2050499208798344</v>
      </c>
      <c r="W150" s="16"/>
      <c r="X150" s="33">
        <f>+P150-T150</f>
        <v>53435.380521910498</v>
      </c>
      <c r="Y150" s="16"/>
      <c r="Z150" s="31">
        <f>IF(T150=0,0,X150/T150)</f>
        <v>-0.13427754671462022</v>
      </c>
    </row>
    <row r="151" spans="1:26" ht="15" thickTop="1" x14ac:dyDescent="0.3">
      <c r="A151" s="9"/>
      <c r="C151" s="9"/>
      <c r="D151" s="18"/>
      <c r="E151" s="18"/>
      <c r="G151" s="18"/>
      <c r="H151" s="18"/>
      <c r="I151" s="18"/>
      <c r="J151" s="43"/>
      <c r="K151" s="18"/>
      <c r="L151" s="18"/>
      <c r="M151" s="18"/>
      <c r="P151" s="18"/>
      <c r="Q151" s="18"/>
      <c r="R151" s="43"/>
      <c r="S151" s="18"/>
      <c r="T151" s="18"/>
      <c r="U151" s="18"/>
      <c r="V151" s="43"/>
      <c r="W151" s="18"/>
      <c r="X151" s="18"/>
    </row>
    <row r="152" spans="1:26" x14ac:dyDescent="0.3">
      <c r="A152" s="9"/>
      <c r="B152" s="54">
        <v>44462.645471643518</v>
      </c>
      <c r="D152" s="18"/>
      <c r="E152" s="18"/>
      <c r="G152" s="18"/>
      <c r="H152" s="18"/>
      <c r="I152" s="18"/>
      <c r="J152" s="43"/>
      <c r="K152" s="18"/>
      <c r="L152" s="18"/>
      <c r="M152" s="18"/>
      <c r="P152" s="18"/>
      <c r="Q152" s="18"/>
      <c r="R152" s="43"/>
      <c r="S152" s="18"/>
      <c r="T152" s="18"/>
      <c r="U152" s="18"/>
      <c r="V152" s="43"/>
      <c r="W152" s="18"/>
      <c r="X152" s="18"/>
    </row>
    <row r="153" spans="1:26" x14ac:dyDescent="0.3">
      <c r="A153" s="9"/>
      <c r="B153" s="59" t="s">
        <v>56</v>
      </c>
      <c r="D153" s="18"/>
      <c r="E153" s="18"/>
      <c r="G153" s="18"/>
      <c r="H153" s="18"/>
      <c r="I153" s="18"/>
      <c r="J153" s="43"/>
      <c r="K153" s="18"/>
      <c r="L153" s="18"/>
      <c r="M153" s="18"/>
      <c r="P153" s="18"/>
      <c r="Q153" s="18"/>
      <c r="R153" s="43"/>
      <c r="S153" s="18"/>
      <c r="T153" s="18"/>
      <c r="U153" s="18"/>
      <c r="V153" s="43"/>
      <c r="W153" s="18"/>
      <c r="X153" s="18"/>
    </row>
    <row r="154" spans="1:26" x14ac:dyDescent="0.3">
      <c r="A154" s="9"/>
      <c r="B154" s="55"/>
      <c r="D154" s="18"/>
      <c r="E154" s="18"/>
      <c r="G154" s="18"/>
      <c r="H154" s="18"/>
      <c r="I154" s="18"/>
      <c r="J154" s="43"/>
      <c r="K154" s="18"/>
      <c r="L154" s="18"/>
      <c r="M154" s="18"/>
      <c r="P154" s="18"/>
      <c r="Q154" s="18"/>
      <c r="R154" s="43"/>
      <c r="S154" s="18"/>
      <c r="T154" s="18"/>
      <c r="U154" s="18"/>
      <c r="V154" s="43"/>
      <c r="W154" s="18"/>
      <c r="X154" s="18"/>
    </row>
    <row r="155" spans="1:26" x14ac:dyDescent="0.3">
      <c r="D155" s="18"/>
      <c r="E155" s="18"/>
      <c r="G155" s="18"/>
      <c r="H155" s="18"/>
      <c r="I155" s="18"/>
      <c r="J155" s="43"/>
      <c r="K155" s="18"/>
      <c r="L155" s="18"/>
      <c r="M155" s="18"/>
      <c r="P155" s="18"/>
      <c r="Q155" s="18"/>
      <c r="R155" s="43"/>
      <c r="S155" s="18"/>
      <c r="T155" s="18"/>
      <c r="U155" s="18"/>
      <c r="V155" s="43"/>
      <c r="W155" s="18"/>
      <c r="X155" s="18"/>
    </row>
  </sheetData>
  <pageMargins left="0.25" right="0.25" top="0.75" bottom="0.75" header="0.3" footer="0.3"/>
  <pageSetup scale="55" fitToWidth="2" orientation="landscape"/>
  <drawing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FFFF00"/>
    <outlinePr summaryBelow="0" summaryRight="0"/>
  </sheetPr>
  <dimension ref="A2:Z15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50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7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50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7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7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7" customWidth="1" outlineLevel="1"/>
  </cols>
  <sheetData>
    <row r="2" spans="1:26" x14ac:dyDescent="0.3">
      <c r="D2" s="57" t="s">
        <v>23</v>
      </c>
    </row>
    <row r="3" spans="1:26" x14ac:dyDescent="0.3">
      <c r="D3" s="57" t="s">
        <v>237</v>
      </c>
      <c r="E3" s="17"/>
      <c r="F3" s="51"/>
      <c r="G3" s="17"/>
      <c r="H3" s="17"/>
      <c r="I3" s="17"/>
      <c r="J3" s="39"/>
      <c r="K3" s="17"/>
      <c r="L3" s="17"/>
      <c r="M3" s="17"/>
      <c r="N3" s="51"/>
      <c r="O3" s="61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3">
      <c r="D4" s="57" t="str">
        <f>CONCATENATE("Period ",RIGHT(202201,2),", ",2022)</f>
        <v>Period 01, 2022</v>
      </c>
      <c r="E4" s="17"/>
      <c r="F4" s="51"/>
      <c r="G4" s="17"/>
      <c r="H4" s="17"/>
      <c r="I4" s="17"/>
      <c r="J4" s="39"/>
      <c r="K4" s="17"/>
      <c r="L4" s="17"/>
      <c r="M4" s="17"/>
      <c r="N4" s="51"/>
      <c r="O4" s="61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3">
      <c r="A5" s="23"/>
      <c r="D5" s="64">
        <v>44408</v>
      </c>
      <c r="E5" s="17"/>
      <c r="F5" s="51"/>
      <c r="G5" s="17"/>
      <c r="H5" s="17"/>
      <c r="I5" s="17"/>
      <c r="J5" s="39"/>
      <c r="K5" s="17"/>
      <c r="L5" s="17"/>
      <c r="M5" s="17"/>
      <c r="N5" s="51"/>
      <c r="O5" s="61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3">
      <c r="A6" s="23"/>
      <c r="B6" s="47"/>
      <c r="C6" s="47"/>
      <c r="D6" s="23" t="s">
        <v>256</v>
      </c>
      <c r="E6" s="17"/>
      <c r="F6" s="51"/>
      <c r="G6" s="17"/>
      <c r="H6" s="17"/>
      <c r="I6" s="17"/>
      <c r="J6" s="39"/>
      <c r="K6" s="17"/>
      <c r="L6" s="17"/>
      <c r="M6" s="17"/>
      <c r="N6" s="51"/>
      <c r="O6" s="60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3">
      <c r="B7" s="63"/>
    </row>
    <row r="8" spans="1:26" x14ac:dyDescent="0.3">
      <c r="B8" s="63"/>
    </row>
    <row r="9" spans="1:26" x14ac:dyDescent="0.3">
      <c r="B9" s="9"/>
      <c r="C9" s="9"/>
      <c r="D9" s="15" t="s">
        <v>292</v>
      </c>
      <c r="E9" s="15"/>
      <c r="F9" s="38"/>
      <c r="G9" s="15"/>
      <c r="H9" s="15"/>
      <c r="I9" s="15"/>
      <c r="J9" s="49"/>
      <c r="K9" s="15"/>
      <c r="L9" s="15"/>
      <c r="M9" s="15"/>
      <c r="N9" s="38"/>
      <c r="P9" s="15" t="s">
        <v>39</v>
      </c>
      <c r="Q9" s="15"/>
      <c r="R9" s="38"/>
      <c r="S9" s="15"/>
      <c r="T9" s="15"/>
      <c r="U9" s="15"/>
      <c r="V9" s="49"/>
      <c r="W9" s="15"/>
      <c r="X9" s="15"/>
      <c r="Y9" s="15"/>
      <c r="Z9" s="38"/>
    </row>
    <row r="10" spans="1:26" x14ac:dyDescent="0.3">
      <c r="A10" s="10"/>
      <c r="B10" s="53"/>
      <c r="C10" s="10"/>
      <c r="D10" s="42" t="s">
        <v>57</v>
      </c>
      <c r="E10" s="34"/>
      <c r="F10" s="40" t="s">
        <v>40</v>
      </c>
      <c r="G10" s="34"/>
      <c r="H10" s="45" t="s">
        <v>238</v>
      </c>
      <c r="I10" s="34"/>
      <c r="J10" s="48" t="s">
        <v>58</v>
      </c>
      <c r="K10" s="10"/>
      <c r="L10" s="42" t="s">
        <v>127</v>
      </c>
      <c r="M10" s="10"/>
      <c r="N10" s="40" t="s">
        <v>258</v>
      </c>
      <c r="O10" s="10"/>
      <c r="P10" s="56" t="s">
        <v>57</v>
      </c>
      <c r="Q10" s="34"/>
      <c r="R10" s="40" t="s">
        <v>40</v>
      </c>
      <c r="S10" s="34"/>
      <c r="T10" s="45" t="s">
        <v>238</v>
      </c>
      <c r="U10" s="34"/>
      <c r="V10" s="48" t="s">
        <v>58</v>
      </c>
      <c r="W10" s="10"/>
      <c r="X10" s="42" t="s">
        <v>127</v>
      </c>
      <c r="Y10" s="10"/>
      <c r="Z10" s="40" t="s">
        <v>258</v>
      </c>
    </row>
    <row r="11" spans="1:26" ht="15.6" x14ac:dyDescent="0.3">
      <c r="A11" s="9"/>
      <c r="B11" s="58"/>
      <c r="C11" s="9"/>
      <c r="D11" s="9"/>
      <c r="E11" s="9"/>
      <c r="F11" s="6"/>
      <c r="G11" s="9"/>
      <c r="H11" s="9"/>
      <c r="I11" s="9"/>
      <c r="J11" s="46"/>
      <c r="K11" s="9"/>
      <c r="L11" s="9"/>
      <c r="M11" s="9"/>
      <c r="N11" s="6"/>
      <c r="P11" s="9"/>
      <c r="Q11" s="9"/>
      <c r="R11" s="6"/>
      <c r="S11" s="9"/>
      <c r="T11" s="9"/>
      <c r="U11" s="9"/>
      <c r="V11" s="46"/>
      <c r="W11" s="9"/>
      <c r="X11" s="9"/>
      <c r="Y11" s="9"/>
      <c r="Z11" s="6"/>
    </row>
    <row r="12" spans="1:26" s="23" customFormat="1" collapsed="1" x14ac:dyDescent="0.3">
      <c r="A12" s="10"/>
      <c r="B12" s="25" t="s">
        <v>140</v>
      </c>
      <c r="C12" s="10"/>
      <c r="D12" s="4">
        <f>SUM(OSRRefD13x_0)</f>
        <v>220498.22000000003</v>
      </c>
      <c r="E12" s="4"/>
      <c r="F12" s="12"/>
      <c r="G12" s="4"/>
      <c r="H12" s="4">
        <f>SUM(OSRRefH13x_0)</f>
        <v>330233</v>
      </c>
      <c r="I12" s="4"/>
      <c r="J12" s="12"/>
      <c r="K12" s="4"/>
      <c r="L12" s="4">
        <f t="shared" ref="L12:L17" si="0">+D12-H12</f>
        <v>-109734.77999999997</v>
      </c>
      <c r="M12" s="4"/>
      <c r="N12" s="12">
        <f t="shared" ref="N12:N17" si="1">IF(H12=0,0,L12/H12)</f>
        <v>-0.33229501594328842</v>
      </c>
      <c r="O12" s="10"/>
      <c r="P12" s="4">
        <f>SUM(OSRRefP13x_0)</f>
        <v>220498.22000000003</v>
      </c>
      <c r="Q12" s="4"/>
      <c r="R12" s="12"/>
      <c r="S12" s="4"/>
      <c r="T12" s="4">
        <f>SUM(OSRRefT13x_0)</f>
        <v>330233</v>
      </c>
      <c r="U12" s="4"/>
      <c r="V12" s="12"/>
      <c r="W12" s="4"/>
      <c r="X12" s="4">
        <f t="shared" ref="X12:X17" si="2">+P12-T12</f>
        <v>-109734.77999999997</v>
      </c>
      <c r="Y12" s="4"/>
      <c r="Z12" s="12">
        <f t="shared" ref="Z12:Z17" si="3">IF(T12=0,0,X12/T12)</f>
        <v>-0.33229501594328842</v>
      </c>
    </row>
    <row r="13" spans="1:26" s="24" customFormat="1" hidden="1" outlineLevel="1" x14ac:dyDescent="0.3">
      <c r="A13" s="44"/>
      <c r="B13" s="11" t="str">
        <f>CONCATENATE("          ", "4000", " - ", "TAXABLE SALES")</f>
        <v xml:space="preserve">          4000 - TAXABLE SALES</v>
      </c>
      <c r="C13" s="11"/>
      <c r="D13" s="3">
        <f>--188048.33</f>
        <v>188048.33</v>
      </c>
      <c r="E13" s="3"/>
      <c r="F13" s="19"/>
      <c r="G13" s="3"/>
      <c r="H13" s="3">
        <v>329678</v>
      </c>
      <c r="I13" s="3"/>
      <c r="J13" s="19"/>
      <c r="K13" s="3"/>
      <c r="L13" s="3">
        <f t="shared" si="0"/>
        <v>-141629.67000000001</v>
      </c>
      <c r="M13" s="3"/>
      <c r="N13" s="19">
        <f t="shared" si="1"/>
        <v>-0.42960000363991535</v>
      </c>
      <c r="O13" s="11"/>
      <c r="P13" s="3">
        <f>--188048.33</f>
        <v>188048.33</v>
      </c>
      <c r="Q13" s="3"/>
      <c r="R13" s="19"/>
      <c r="S13" s="3"/>
      <c r="T13" s="3">
        <v>329678</v>
      </c>
      <c r="U13" s="3"/>
      <c r="V13" s="19"/>
      <c r="W13" s="3"/>
      <c r="X13" s="3">
        <f t="shared" si="2"/>
        <v>-141629.67000000001</v>
      </c>
      <c r="Y13" s="3"/>
      <c r="Z13" s="19">
        <f t="shared" si="3"/>
        <v>-0.42960000363991535</v>
      </c>
    </row>
    <row r="14" spans="1:26" s="24" customFormat="1" hidden="1" outlineLevel="1" x14ac:dyDescent="0.3">
      <c r="A14" s="44"/>
      <c r="B14" s="11" t="str">
        <f>CONCATENATE("          ", "4100", " - ", "NON-TAXABLE SALES")</f>
        <v xml:space="preserve">          4100 - NON-TAXABLE SALES</v>
      </c>
      <c r="C14" s="11"/>
      <c r="D14" s="3">
        <f>--39098.54</f>
        <v>39098.54</v>
      </c>
      <c r="E14" s="3"/>
      <c r="F14" s="19"/>
      <c r="G14" s="3"/>
      <c r="H14" s="3">
        <v>555</v>
      </c>
      <c r="I14" s="3"/>
      <c r="J14" s="19"/>
      <c r="K14" s="3"/>
      <c r="L14" s="3">
        <f t="shared" si="0"/>
        <v>38543.54</v>
      </c>
      <c r="M14" s="3"/>
      <c r="N14" s="19">
        <f t="shared" si="1"/>
        <v>69.447819819819827</v>
      </c>
      <c r="O14" s="11"/>
      <c r="P14" s="3">
        <f>--39098.54</f>
        <v>39098.54</v>
      </c>
      <c r="Q14" s="3"/>
      <c r="R14" s="19"/>
      <c r="S14" s="3"/>
      <c r="T14" s="3">
        <v>555</v>
      </c>
      <c r="U14" s="3"/>
      <c r="V14" s="19"/>
      <c r="W14" s="3"/>
      <c r="X14" s="3">
        <f t="shared" si="2"/>
        <v>38543.54</v>
      </c>
      <c r="Y14" s="3"/>
      <c r="Z14" s="19">
        <f t="shared" si="3"/>
        <v>69.447819819819827</v>
      </c>
    </row>
    <row r="15" spans="1:26" s="24" customFormat="1" hidden="1" outlineLevel="1" x14ac:dyDescent="0.3">
      <c r="A15" s="44"/>
      <c r="B15" s="11" t="str">
        <f>CONCATENATE("          ", "4146", " - ", "NON-TAXABLE SALES-COIN OP MACH")</f>
        <v xml:space="preserve">          4146 - NON-TAXABLE SALES-COIN OP MACH</v>
      </c>
      <c r="C15" s="11"/>
      <c r="D15" s="3">
        <f>--20.2</f>
        <v>20.2</v>
      </c>
      <c r="E15" s="3"/>
      <c r="F15" s="19"/>
      <c r="G15" s="3"/>
      <c r="H15" s="3"/>
      <c r="I15" s="3"/>
      <c r="J15" s="19"/>
      <c r="K15" s="3"/>
      <c r="L15" s="3">
        <f t="shared" si="0"/>
        <v>20.2</v>
      </c>
      <c r="M15" s="3"/>
      <c r="N15" s="19">
        <f t="shared" si="1"/>
        <v>0</v>
      </c>
      <c r="O15" s="11"/>
      <c r="P15" s="3">
        <f>--20.2</f>
        <v>20.2</v>
      </c>
      <c r="Q15" s="3"/>
      <c r="R15" s="19"/>
      <c r="S15" s="3"/>
      <c r="T15" s="3"/>
      <c r="U15" s="3"/>
      <c r="V15" s="19"/>
      <c r="W15" s="3"/>
      <c r="X15" s="3">
        <f t="shared" si="2"/>
        <v>20.2</v>
      </c>
      <c r="Y15" s="3"/>
      <c r="Z15" s="19">
        <f t="shared" si="3"/>
        <v>0</v>
      </c>
    </row>
    <row r="16" spans="1:26" s="24" customFormat="1" hidden="1" outlineLevel="1" x14ac:dyDescent="0.3">
      <c r="A16" s="44"/>
      <c r="B16" s="11" t="str">
        <f>CONCATENATE("          ", "4200", " - ", "TAXABLE RETURNS")</f>
        <v xml:space="preserve">          4200 - TAXABLE RETURNS</v>
      </c>
      <c r="C16" s="11"/>
      <c r="D16" s="3">
        <f>-5566.27</f>
        <v>-5566.27</v>
      </c>
      <c r="E16" s="3"/>
      <c r="F16" s="19"/>
      <c r="G16" s="3"/>
      <c r="H16" s="3"/>
      <c r="I16" s="3"/>
      <c r="J16" s="19"/>
      <c r="K16" s="3"/>
      <c r="L16" s="3">
        <f t="shared" si="0"/>
        <v>-5566.27</v>
      </c>
      <c r="M16" s="3"/>
      <c r="N16" s="19">
        <f t="shared" si="1"/>
        <v>0</v>
      </c>
      <c r="O16" s="11"/>
      <c r="P16" s="3">
        <f>-5566.27</f>
        <v>-5566.27</v>
      </c>
      <c r="Q16" s="3"/>
      <c r="R16" s="19"/>
      <c r="S16" s="3"/>
      <c r="T16" s="3"/>
      <c r="U16" s="3"/>
      <c r="V16" s="19"/>
      <c r="W16" s="3"/>
      <c r="X16" s="3">
        <f t="shared" si="2"/>
        <v>-5566.27</v>
      </c>
      <c r="Y16" s="3"/>
      <c r="Z16" s="19">
        <f t="shared" si="3"/>
        <v>0</v>
      </c>
    </row>
    <row r="17" spans="1:26" s="24" customFormat="1" hidden="1" outlineLevel="1" x14ac:dyDescent="0.3">
      <c r="A17" s="44"/>
      <c r="B17" s="11" t="str">
        <f>CONCATENATE("          ", "4300", " - ", "NON-TAX RETURNS")</f>
        <v xml:space="preserve">          4300 - NON-TAX RETURNS</v>
      </c>
      <c r="C17" s="11"/>
      <c r="D17" s="3">
        <f>-1102.58</f>
        <v>-1102.58</v>
      </c>
      <c r="E17" s="3"/>
      <c r="F17" s="19"/>
      <c r="G17" s="3"/>
      <c r="H17" s="3"/>
      <c r="I17" s="3"/>
      <c r="J17" s="19"/>
      <c r="K17" s="3"/>
      <c r="L17" s="3">
        <f t="shared" si="0"/>
        <v>-1102.58</v>
      </c>
      <c r="M17" s="3"/>
      <c r="N17" s="19">
        <f t="shared" si="1"/>
        <v>0</v>
      </c>
      <c r="O17" s="11"/>
      <c r="P17" s="3">
        <f>-1102.58</f>
        <v>-1102.58</v>
      </c>
      <c r="Q17" s="3"/>
      <c r="R17" s="19"/>
      <c r="S17" s="3"/>
      <c r="T17" s="3"/>
      <c r="U17" s="3"/>
      <c r="V17" s="19"/>
      <c r="W17" s="3"/>
      <c r="X17" s="3">
        <f t="shared" si="2"/>
        <v>-1102.58</v>
      </c>
      <c r="Y17" s="3"/>
      <c r="Z17" s="19">
        <f t="shared" si="3"/>
        <v>0</v>
      </c>
    </row>
    <row r="18" spans="1:26" x14ac:dyDescent="0.3">
      <c r="A18" s="9"/>
      <c r="B18" s="10"/>
      <c r="C18" s="9"/>
      <c r="D18" s="2"/>
      <c r="E18" s="2"/>
      <c r="F18" s="6"/>
      <c r="G18" s="2"/>
      <c r="H18" s="2"/>
      <c r="I18" s="2"/>
      <c r="J18" s="6"/>
      <c r="K18" s="2"/>
      <c r="L18" s="2"/>
      <c r="M18" s="2"/>
      <c r="N18" s="6"/>
      <c r="P18" s="2"/>
      <c r="Q18" s="2"/>
      <c r="R18" s="6"/>
      <c r="S18" s="2"/>
      <c r="T18" s="2"/>
      <c r="U18" s="2"/>
      <c r="V18" s="6"/>
      <c r="W18" s="2"/>
      <c r="X18" s="2"/>
      <c r="Y18" s="2"/>
      <c r="Z18" s="6"/>
    </row>
    <row r="19" spans="1:26" s="23" customFormat="1" collapsed="1" x14ac:dyDescent="0.3">
      <c r="A19" s="10"/>
      <c r="B19" s="25" t="s">
        <v>257</v>
      </c>
      <c r="C19" s="10"/>
      <c r="D19" s="4">
        <f>SUM(OSRRefD16x_0)</f>
        <v>127421.44</v>
      </c>
      <c r="E19" s="4"/>
      <c r="F19" s="12">
        <f t="shared" ref="F19:F40" si="4">IF(D$12=0,0,D19/D$12)</f>
        <v>0.57787967630759096</v>
      </c>
      <c r="G19" s="4"/>
      <c r="H19" s="4">
        <f>SUM(OSRRefH16x_0)</f>
        <v>203796</v>
      </c>
      <c r="I19" s="4"/>
      <c r="J19" s="12">
        <f t="shared" ref="J19:J40" si="5">IF(H$12=0,0,H19/H$12)</f>
        <v>0.61712790665984318</v>
      </c>
      <c r="K19" s="4"/>
      <c r="L19" s="4">
        <f t="shared" ref="L19:L40" si="6">+D19-H19</f>
        <v>-76374.559999999998</v>
      </c>
      <c r="M19" s="4"/>
      <c r="N19" s="12">
        <f t="shared" ref="N19:N40" si="7">IF(H19=0,0,L19/H19)</f>
        <v>-0.3747598578971128</v>
      </c>
      <c r="O19" s="10"/>
      <c r="P19" s="4">
        <f>SUM(OSRRefP16x_0)</f>
        <v>127421.44</v>
      </c>
      <c r="Q19" s="4"/>
      <c r="R19" s="12">
        <f t="shared" ref="R19:R40" si="8">IF(P$12=0,0,P19/P$12)</f>
        <v>0.57787967630759096</v>
      </c>
      <c r="S19" s="4"/>
      <c r="T19" s="4">
        <f>SUM(OSRRefT16x_0)</f>
        <v>203796</v>
      </c>
      <c r="U19" s="4"/>
      <c r="V19" s="12">
        <f t="shared" ref="V19:V40" si="9">IF(T$12=0,0,T19/T$12)</f>
        <v>0.61712790665984318</v>
      </c>
      <c r="W19" s="4"/>
      <c r="X19" s="4">
        <f t="shared" ref="X19:X40" si="10">+P19-T19</f>
        <v>-76374.559999999998</v>
      </c>
      <c r="Y19" s="4"/>
      <c r="Z19" s="12">
        <f t="shared" ref="Z19:Z40" si="11">IF(T19=0,0,X19/T19)</f>
        <v>-0.3747598578971128</v>
      </c>
    </row>
    <row r="20" spans="1:26" s="24" customFormat="1" hidden="1" outlineLevel="1" x14ac:dyDescent="0.3">
      <c r="A20" s="44"/>
      <c r="B20" s="11" t="str">
        <f>CONCATENATE("          ", "5000", " - ", "PURCHASES @ COST")</f>
        <v xml:space="preserve">          5000 - PURCHASES @ COST</v>
      </c>
      <c r="C20" s="11"/>
      <c r="D20" s="3">
        <v>344773.67</v>
      </c>
      <c r="E20" s="3"/>
      <c r="F20" s="19">
        <f t="shared" si="4"/>
        <v>1.5636120327864775</v>
      </c>
      <c r="G20" s="3"/>
      <c r="H20" s="3">
        <v>203796</v>
      </c>
      <c r="I20" s="3"/>
      <c r="J20" s="19">
        <f t="shared" si="5"/>
        <v>0.61712790665984318</v>
      </c>
      <c r="K20" s="3"/>
      <c r="L20" s="3">
        <f t="shared" si="6"/>
        <v>140977.66999999998</v>
      </c>
      <c r="M20" s="3"/>
      <c r="N20" s="19">
        <f t="shared" si="7"/>
        <v>0.69175876857249397</v>
      </c>
      <c r="O20" s="11"/>
      <c r="P20" s="3">
        <v>344773.67</v>
      </c>
      <c r="Q20" s="3"/>
      <c r="R20" s="19">
        <f t="shared" si="8"/>
        <v>1.5636120327864775</v>
      </c>
      <c r="S20" s="3"/>
      <c r="T20" s="3">
        <v>203796</v>
      </c>
      <c r="U20" s="3"/>
      <c r="V20" s="19">
        <f t="shared" si="9"/>
        <v>0.61712790665984318</v>
      </c>
      <c r="W20" s="3"/>
      <c r="X20" s="3">
        <f t="shared" si="10"/>
        <v>140977.66999999998</v>
      </c>
      <c r="Y20" s="3"/>
      <c r="Z20" s="19">
        <f t="shared" si="11"/>
        <v>0.69175876857249397</v>
      </c>
    </row>
    <row r="21" spans="1:26" s="24" customFormat="1" hidden="1" outlineLevel="1" x14ac:dyDescent="0.3">
      <c r="A21" s="44"/>
      <c r="B21" s="11" t="str">
        <f>CONCATENATE("          ", "5001", " - ", "PURCHASES @ COST-NEW TEXT")</f>
        <v xml:space="preserve">          5001 - PURCHASES @ COST-NEW TEXT</v>
      </c>
      <c r="C21" s="11"/>
      <c r="D21" s="3">
        <v>0</v>
      </c>
      <c r="E21" s="3"/>
      <c r="F21" s="19">
        <f t="shared" si="4"/>
        <v>0</v>
      </c>
      <c r="G21" s="3"/>
      <c r="H21" s="3"/>
      <c r="I21" s="3"/>
      <c r="J21" s="19">
        <f t="shared" si="5"/>
        <v>0</v>
      </c>
      <c r="K21" s="3"/>
      <c r="L21" s="3">
        <f t="shared" si="6"/>
        <v>0</v>
      </c>
      <c r="M21" s="3"/>
      <c r="N21" s="19">
        <f t="shared" si="7"/>
        <v>0</v>
      </c>
      <c r="O21" s="11"/>
      <c r="P21" s="3">
        <v>0</v>
      </c>
      <c r="Q21" s="3"/>
      <c r="R21" s="19">
        <f t="shared" si="8"/>
        <v>0</v>
      </c>
      <c r="S21" s="3"/>
      <c r="T21" s="3"/>
      <c r="U21" s="3"/>
      <c r="V21" s="19">
        <f t="shared" si="9"/>
        <v>0</v>
      </c>
      <c r="W21" s="3"/>
      <c r="X21" s="3">
        <f t="shared" si="10"/>
        <v>0</v>
      </c>
      <c r="Y21" s="3"/>
      <c r="Z21" s="19">
        <f t="shared" si="11"/>
        <v>0</v>
      </c>
    </row>
    <row r="22" spans="1:26" s="24" customFormat="1" hidden="1" outlineLevel="1" x14ac:dyDescent="0.3">
      <c r="A22" s="44"/>
      <c r="B22" s="11" t="str">
        <f>CONCATENATE("          ", "5002", " - ", "PURCHASES @ COST-USED TEXT")</f>
        <v xml:space="preserve">          5002 - PURCHASES @ COST-USED TEXT</v>
      </c>
      <c r="C22" s="11"/>
      <c r="D22" s="3">
        <v>0</v>
      </c>
      <c r="E22" s="3"/>
      <c r="F22" s="19">
        <f t="shared" si="4"/>
        <v>0</v>
      </c>
      <c r="G22" s="3"/>
      <c r="H22" s="3"/>
      <c r="I22" s="3"/>
      <c r="J22" s="19">
        <f t="shared" si="5"/>
        <v>0</v>
      </c>
      <c r="K22" s="3"/>
      <c r="L22" s="3">
        <f t="shared" si="6"/>
        <v>0</v>
      </c>
      <c r="M22" s="3"/>
      <c r="N22" s="19">
        <f t="shared" si="7"/>
        <v>0</v>
      </c>
      <c r="O22" s="11"/>
      <c r="P22" s="3">
        <v>0</v>
      </c>
      <c r="Q22" s="3"/>
      <c r="R22" s="19">
        <f t="shared" si="8"/>
        <v>0</v>
      </c>
      <c r="S22" s="3"/>
      <c r="T22" s="3"/>
      <c r="U22" s="3"/>
      <c r="V22" s="19">
        <f t="shared" si="9"/>
        <v>0</v>
      </c>
      <c r="W22" s="3"/>
      <c r="X22" s="3">
        <f t="shared" si="10"/>
        <v>0</v>
      </c>
      <c r="Y22" s="3"/>
      <c r="Z22" s="19">
        <f t="shared" si="11"/>
        <v>0</v>
      </c>
    </row>
    <row r="23" spans="1:26" s="24" customFormat="1" hidden="1" outlineLevel="1" x14ac:dyDescent="0.3">
      <c r="A23" s="44"/>
      <c r="B23" s="11" t="str">
        <f>CONCATENATE("          ", "5004", " - ", "PURCHASES @ COST-DIGITAL TEXT")</f>
        <v xml:space="preserve">          5004 - PURCHASES @ COST-DIGITAL TEXT</v>
      </c>
      <c r="C23" s="11"/>
      <c r="D23" s="3">
        <v>0</v>
      </c>
      <c r="E23" s="3"/>
      <c r="F23" s="19">
        <f t="shared" si="4"/>
        <v>0</v>
      </c>
      <c r="G23" s="3"/>
      <c r="H23" s="3"/>
      <c r="I23" s="3"/>
      <c r="J23" s="19">
        <f t="shared" si="5"/>
        <v>0</v>
      </c>
      <c r="K23" s="3"/>
      <c r="L23" s="3">
        <f t="shared" si="6"/>
        <v>0</v>
      </c>
      <c r="M23" s="3"/>
      <c r="N23" s="19">
        <f t="shared" si="7"/>
        <v>0</v>
      </c>
      <c r="O23" s="11"/>
      <c r="P23" s="3">
        <v>0</v>
      </c>
      <c r="Q23" s="3"/>
      <c r="R23" s="19">
        <f t="shared" si="8"/>
        <v>0</v>
      </c>
      <c r="S23" s="3"/>
      <c r="T23" s="3"/>
      <c r="U23" s="3"/>
      <c r="V23" s="19">
        <f t="shared" si="9"/>
        <v>0</v>
      </c>
      <c r="W23" s="3"/>
      <c r="X23" s="3">
        <f t="shared" si="10"/>
        <v>0</v>
      </c>
      <c r="Y23" s="3"/>
      <c r="Z23" s="19">
        <f t="shared" si="11"/>
        <v>0</v>
      </c>
    </row>
    <row r="24" spans="1:26" s="24" customFormat="1" hidden="1" outlineLevel="1" x14ac:dyDescent="0.3">
      <c r="A24" s="44"/>
      <c r="B24" s="11" t="str">
        <f>CONCATENATE("          ", "5040", " - ", "PURCHASES @ COST-LOGO CLOTHING")</f>
        <v xml:space="preserve">          5040 - PURCHASES @ COST-LOGO CLOTHING</v>
      </c>
      <c r="C24" s="11"/>
      <c r="D24" s="3">
        <v>0</v>
      </c>
      <c r="E24" s="3"/>
      <c r="F24" s="19">
        <f t="shared" si="4"/>
        <v>0</v>
      </c>
      <c r="G24" s="3"/>
      <c r="H24" s="3"/>
      <c r="I24" s="3"/>
      <c r="J24" s="19">
        <f t="shared" si="5"/>
        <v>0</v>
      </c>
      <c r="K24" s="3"/>
      <c r="L24" s="3">
        <f t="shared" si="6"/>
        <v>0</v>
      </c>
      <c r="M24" s="3"/>
      <c r="N24" s="19">
        <f t="shared" si="7"/>
        <v>0</v>
      </c>
      <c r="O24" s="11"/>
      <c r="P24" s="3">
        <v>0</v>
      </c>
      <c r="Q24" s="3"/>
      <c r="R24" s="19">
        <f t="shared" si="8"/>
        <v>0</v>
      </c>
      <c r="S24" s="3"/>
      <c r="T24" s="3"/>
      <c r="U24" s="3"/>
      <c r="V24" s="19">
        <f t="shared" si="9"/>
        <v>0</v>
      </c>
      <c r="W24" s="3"/>
      <c r="X24" s="3">
        <f t="shared" si="10"/>
        <v>0</v>
      </c>
      <c r="Y24" s="3"/>
      <c r="Z24" s="19">
        <f t="shared" si="11"/>
        <v>0</v>
      </c>
    </row>
    <row r="25" spans="1:26" s="24" customFormat="1" hidden="1" outlineLevel="1" x14ac:dyDescent="0.3">
      <c r="A25" s="44"/>
      <c r="B25" s="11" t="str">
        <f>CONCATENATE("          ", "5041", " - ", "PURCHASES @ COST-LOGO GIFTS")</f>
        <v xml:space="preserve">          5041 - PURCHASES @ COST-LOGO GIFTS</v>
      </c>
      <c r="C25" s="11"/>
      <c r="D25" s="3">
        <v>0</v>
      </c>
      <c r="E25" s="3"/>
      <c r="F25" s="19">
        <f t="shared" si="4"/>
        <v>0</v>
      </c>
      <c r="G25" s="3"/>
      <c r="H25" s="3"/>
      <c r="I25" s="3"/>
      <c r="J25" s="19">
        <f t="shared" si="5"/>
        <v>0</v>
      </c>
      <c r="K25" s="3"/>
      <c r="L25" s="3">
        <f t="shared" si="6"/>
        <v>0</v>
      </c>
      <c r="M25" s="3"/>
      <c r="N25" s="19">
        <f t="shared" si="7"/>
        <v>0</v>
      </c>
      <c r="O25" s="11"/>
      <c r="P25" s="3">
        <v>0</v>
      </c>
      <c r="Q25" s="3"/>
      <c r="R25" s="19">
        <f t="shared" si="8"/>
        <v>0</v>
      </c>
      <c r="S25" s="3"/>
      <c r="T25" s="3"/>
      <c r="U25" s="3"/>
      <c r="V25" s="19">
        <f t="shared" si="9"/>
        <v>0</v>
      </c>
      <c r="W25" s="3"/>
      <c r="X25" s="3">
        <f t="shared" si="10"/>
        <v>0</v>
      </c>
      <c r="Y25" s="3"/>
      <c r="Z25" s="19">
        <f t="shared" si="11"/>
        <v>0</v>
      </c>
    </row>
    <row r="26" spans="1:26" s="24" customFormat="1" hidden="1" outlineLevel="1" x14ac:dyDescent="0.3">
      <c r="A26" s="44"/>
      <c r="B26" s="11" t="str">
        <f>CONCATENATE("          ", "5042", " - ", "PURCHASES @ COST-EVERYDAY GIFT")</f>
        <v xml:space="preserve">          5042 - PURCHASES @ COST-EVERYDAY GIFT</v>
      </c>
      <c r="C26" s="11"/>
      <c r="D26" s="3">
        <v>0</v>
      </c>
      <c r="E26" s="3"/>
      <c r="F26" s="19">
        <f t="shared" si="4"/>
        <v>0</v>
      </c>
      <c r="G26" s="3"/>
      <c r="H26" s="3"/>
      <c r="I26" s="3"/>
      <c r="J26" s="19">
        <f t="shared" si="5"/>
        <v>0</v>
      </c>
      <c r="K26" s="3"/>
      <c r="L26" s="3">
        <f t="shared" si="6"/>
        <v>0</v>
      </c>
      <c r="M26" s="3"/>
      <c r="N26" s="19">
        <f t="shared" si="7"/>
        <v>0</v>
      </c>
      <c r="O26" s="11"/>
      <c r="P26" s="3">
        <v>0</v>
      </c>
      <c r="Q26" s="3"/>
      <c r="R26" s="19">
        <f t="shared" si="8"/>
        <v>0</v>
      </c>
      <c r="S26" s="3"/>
      <c r="T26" s="3"/>
      <c r="U26" s="3"/>
      <c r="V26" s="19">
        <f t="shared" si="9"/>
        <v>0</v>
      </c>
      <c r="W26" s="3"/>
      <c r="X26" s="3">
        <f t="shared" si="10"/>
        <v>0</v>
      </c>
      <c r="Y26" s="3"/>
      <c r="Z26" s="19">
        <f t="shared" si="11"/>
        <v>0</v>
      </c>
    </row>
    <row r="27" spans="1:26" s="24" customFormat="1" hidden="1" outlineLevel="1" x14ac:dyDescent="0.3">
      <c r="A27" s="44"/>
      <c r="B27" s="11" t="str">
        <f>CONCATENATE("          ", "5043", " - ", "PURCHASES @ COST-CARDS")</f>
        <v xml:space="preserve">          5043 - PURCHASES @ COST-CARDS</v>
      </c>
      <c r="C27" s="11"/>
      <c r="D27" s="3">
        <v>0</v>
      </c>
      <c r="E27" s="3"/>
      <c r="F27" s="19">
        <f t="shared" si="4"/>
        <v>0</v>
      </c>
      <c r="G27" s="3"/>
      <c r="H27" s="3"/>
      <c r="I27" s="3"/>
      <c r="J27" s="19">
        <f t="shared" si="5"/>
        <v>0</v>
      </c>
      <c r="K27" s="3"/>
      <c r="L27" s="3">
        <f t="shared" si="6"/>
        <v>0</v>
      </c>
      <c r="M27" s="3"/>
      <c r="N27" s="19">
        <f t="shared" si="7"/>
        <v>0</v>
      </c>
      <c r="O27" s="11"/>
      <c r="P27" s="3">
        <v>0</v>
      </c>
      <c r="Q27" s="3"/>
      <c r="R27" s="19">
        <f t="shared" si="8"/>
        <v>0</v>
      </c>
      <c r="S27" s="3"/>
      <c r="T27" s="3"/>
      <c r="U27" s="3"/>
      <c r="V27" s="19">
        <f t="shared" si="9"/>
        <v>0</v>
      </c>
      <c r="W27" s="3"/>
      <c r="X27" s="3">
        <f t="shared" si="10"/>
        <v>0</v>
      </c>
      <c r="Y27" s="3"/>
      <c r="Z27" s="19">
        <f t="shared" si="11"/>
        <v>0</v>
      </c>
    </row>
    <row r="28" spans="1:26" s="24" customFormat="1" hidden="1" outlineLevel="1" x14ac:dyDescent="0.3">
      <c r="A28" s="44"/>
      <c r="B28" s="11" t="str">
        <f>CONCATENATE("          ", "5044", " - ", "PURCHASES @ COST-ACCESSORIES")</f>
        <v xml:space="preserve">          5044 - PURCHASES @ COST-ACCESSORIES</v>
      </c>
      <c r="C28" s="11"/>
      <c r="D28" s="3">
        <v>0</v>
      </c>
      <c r="E28" s="3"/>
      <c r="F28" s="19">
        <f t="shared" si="4"/>
        <v>0</v>
      </c>
      <c r="G28" s="3"/>
      <c r="H28" s="3"/>
      <c r="I28" s="3"/>
      <c r="J28" s="19">
        <f t="shared" si="5"/>
        <v>0</v>
      </c>
      <c r="K28" s="3"/>
      <c r="L28" s="3">
        <f t="shared" si="6"/>
        <v>0</v>
      </c>
      <c r="M28" s="3"/>
      <c r="N28" s="19">
        <f t="shared" si="7"/>
        <v>0</v>
      </c>
      <c r="O28" s="11"/>
      <c r="P28" s="3">
        <v>0</v>
      </c>
      <c r="Q28" s="3"/>
      <c r="R28" s="19">
        <f t="shared" si="8"/>
        <v>0</v>
      </c>
      <c r="S28" s="3"/>
      <c r="T28" s="3"/>
      <c r="U28" s="3"/>
      <c r="V28" s="19">
        <f t="shared" si="9"/>
        <v>0</v>
      </c>
      <c r="W28" s="3"/>
      <c r="X28" s="3">
        <f t="shared" si="10"/>
        <v>0</v>
      </c>
      <c r="Y28" s="3"/>
      <c r="Z28" s="19">
        <f t="shared" si="11"/>
        <v>0</v>
      </c>
    </row>
    <row r="29" spans="1:26" s="24" customFormat="1" hidden="1" outlineLevel="1" x14ac:dyDescent="0.3">
      <c r="A29" s="44"/>
      <c r="B29" s="11" t="str">
        <f>CONCATENATE("          ", "5045", " - ", "PURCHASES @ COST-SPECIAL ORDER")</f>
        <v xml:space="preserve">          5045 - PURCHASES @ COST-SPECIAL ORDER</v>
      </c>
      <c r="C29" s="11"/>
      <c r="D29" s="3">
        <v>0</v>
      </c>
      <c r="E29" s="3"/>
      <c r="F29" s="19">
        <f t="shared" si="4"/>
        <v>0</v>
      </c>
      <c r="G29" s="3"/>
      <c r="H29" s="3"/>
      <c r="I29" s="3"/>
      <c r="J29" s="19">
        <f t="shared" si="5"/>
        <v>0</v>
      </c>
      <c r="K29" s="3"/>
      <c r="L29" s="3">
        <f t="shared" si="6"/>
        <v>0</v>
      </c>
      <c r="M29" s="3"/>
      <c r="N29" s="19">
        <f t="shared" si="7"/>
        <v>0</v>
      </c>
      <c r="O29" s="11"/>
      <c r="P29" s="3">
        <v>0</v>
      </c>
      <c r="Q29" s="3"/>
      <c r="R29" s="19">
        <f t="shared" si="8"/>
        <v>0</v>
      </c>
      <c r="S29" s="3"/>
      <c r="T29" s="3"/>
      <c r="U29" s="3"/>
      <c r="V29" s="19">
        <f t="shared" si="9"/>
        <v>0</v>
      </c>
      <c r="W29" s="3"/>
      <c r="X29" s="3">
        <f t="shared" si="10"/>
        <v>0</v>
      </c>
      <c r="Y29" s="3"/>
      <c r="Z29" s="19">
        <f t="shared" si="11"/>
        <v>0</v>
      </c>
    </row>
    <row r="30" spans="1:26" s="24" customFormat="1" hidden="1" outlineLevel="1" x14ac:dyDescent="0.3">
      <c r="A30" s="44"/>
      <c r="B30" s="11" t="str">
        <f>CONCATENATE("          ", "5200", " - ", "PURCHASES OFFSET")</f>
        <v xml:space="preserve">          5200 - PURCHASES OFFSET</v>
      </c>
      <c r="C30" s="11"/>
      <c r="D30" s="3">
        <v>-346348.67</v>
      </c>
      <c r="E30" s="3"/>
      <c r="F30" s="19">
        <f t="shared" si="4"/>
        <v>-1.5707549475909599</v>
      </c>
      <c r="G30" s="3"/>
      <c r="H30" s="3"/>
      <c r="I30" s="3"/>
      <c r="J30" s="19">
        <f t="shared" si="5"/>
        <v>0</v>
      </c>
      <c r="K30" s="3"/>
      <c r="L30" s="3">
        <f t="shared" si="6"/>
        <v>-346348.67</v>
      </c>
      <c r="M30" s="3"/>
      <c r="N30" s="19">
        <f t="shared" si="7"/>
        <v>0</v>
      </c>
      <c r="O30" s="11"/>
      <c r="P30" s="3">
        <v>-346348.67</v>
      </c>
      <c r="Q30" s="3"/>
      <c r="R30" s="19">
        <f t="shared" si="8"/>
        <v>-1.5707549475909599</v>
      </c>
      <c r="S30" s="3"/>
      <c r="T30" s="3"/>
      <c r="U30" s="3"/>
      <c r="V30" s="19">
        <f t="shared" si="9"/>
        <v>0</v>
      </c>
      <c r="W30" s="3"/>
      <c r="X30" s="3">
        <f t="shared" si="10"/>
        <v>-346348.67</v>
      </c>
      <c r="Y30" s="3"/>
      <c r="Z30" s="19">
        <f t="shared" si="11"/>
        <v>0</v>
      </c>
    </row>
    <row r="31" spans="1:26" s="24" customFormat="1" hidden="1" outlineLevel="1" x14ac:dyDescent="0.3">
      <c r="A31" s="44"/>
      <c r="B31" s="11" t="str">
        <f>CONCATENATE("          ", "5300", " - ", "COG$ OFFSET")</f>
        <v xml:space="preserve">          5300 - COG$ OFFSET</v>
      </c>
      <c r="C31" s="11"/>
      <c r="D31" s="3">
        <v>125411.41</v>
      </c>
      <c r="E31" s="3"/>
      <c r="F31" s="19">
        <f t="shared" si="4"/>
        <v>0.56876382040635065</v>
      </c>
      <c r="G31" s="3"/>
      <c r="H31" s="3"/>
      <c r="I31" s="3"/>
      <c r="J31" s="19">
        <f t="shared" si="5"/>
        <v>0</v>
      </c>
      <c r="K31" s="3"/>
      <c r="L31" s="3">
        <f t="shared" si="6"/>
        <v>125411.41</v>
      </c>
      <c r="M31" s="3"/>
      <c r="N31" s="19">
        <f t="shared" si="7"/>
        <v>0</v>
      </c>
      <c r="O31" s="11"/>
      <c r="P31" s="3">
        <v>125411.41</v>
      </c>
      <c r="Q31" s="3"/>
      <c r="R31" s="19">
        <f t="shared" si="8"/>
        <v>0.56876382040635065</v>
      </c>
      <c r="S31" s="3"/>
      <c r="T31" s="3"/>
      <c r="U31" s="3"/>
      <c r="V31" s="19">
        <f t="shared" si="9"/>
        <v>0</v>
      </c>
      <c r="W31" s="3"/>
      <c r="X31" s="3">
        <f t="shared" si="10"/>
        <v>125411.41</v>
      </c>
      <c r="Y31" s="3"/>
      <c r="Z31" s="19">
        <f t="shared" si="11"/>
        <v>0</v>
      </c>
    </row>
    <row r="32" spans="1:26" s="24" customFormat="1" hidden="1" outlineLevel="1" x14ac:dyDescent="0.3">
      <c r="A32" s="44"/>
      <c r="B32" s="11" t="str">
        <f>CONCATENATE("          ", "5500", " - ", "FREIGHT-IN")</f>
        <v xml:space="preserve">          5500 - FREIGHT-IN</v>
      </c>
      <c r="C32" s="11"/>
      <c r="D32" s="3">
        <v>3585.03</v>
      </c>
      <c r="E32" s="3"/>
      <c r="F32" s="19">
        <f t="shared" si="4"/>
        <v>1.6258770705722701E-2</v>
      </c>
      <c r="G32" s="3"/>
      <c r="H32" s="3"/>
      <c r="I32" s="3"/>
      <c r="J32" s="19">
        <f t="shared" si="5"/>
        <v>0</v>
      </c>
      <c r="K32" s="3"/>
      <c r="L32" s="3">
        <f t="shared" si="6"/>
        <v>3585.03</v>
      </c>
      <c r="M32" s="3"/>
      <c r="N32" s="19">
        <f t="shared" si="7"/>
        <v>0</v>
      </c>
      <c r="O32" s="11"/>
      <c r="P32" s="3">
        <v>3585.03</v>
      </c>
      <c r="Q32" s="3"/>
      <c r="R32" s="19">
        <f t="shared" si="8"/>
        <v>1.6258770705722701E-2</v>
      </c>
      <c r="S32" s="3"/>
      <c r="T32" s="3"/>
      <c r="U32" s="3"/>
      <c r="V32" s="19">
        <f t="shared" si="9"/>
        <v>0</v>
      </c>
      <c r="W32" s="3"/>
      <c r="X32" s="3">
        <f t="shared" si="10"/>
        <v>3585.03</v>
      </c>
      <c r="Y32" s="3"/>
      <c r="Z32" s="19">
        <f t="shared" si="11"/>
        <v>0</v>
      </c>
    </row>
    <row r="33" spans="1:26" s="24" customFormat="1" hidden="1" outlineLevel="1" x14ac:dyDescent="0.3">
      <c r="A33" s="44"/>
      <c r="B33" s="11" t="str">
        <f>CONCATENATE("          ", "5501", " - ", "FREIGHT-IN-NEW TEXT")</f>
        <v xml:space="preserve">          5501 - FREIGHT-IN-NEW TEXT</v>
      </c>
      <c r="C33" s="11"/>
      <c r="D33" s="3">
        <v>0</v>
      </c>
      <c r="E33" s="3"/>
      <c r="F33" s="19">
        <f t="shared" si="4"/>
        <v>0</v>
      </c>
      <c r="G33" s="3"/>
      <c r="H33" s="3"/>
      <c r="I33" s="3"/>
      <c r="J33" s="19">
        <f t="shared" si="5"/>
        <v>0</v>
      </c>
      <c r="K33" s="3"/>
      <c r="L33" s="3">
        <f t="shared" si="6"/>
        <v>0</v>
      </c>
      <c r="M33" s="3"/>
      <c r="N33" s="19">
        <f t="shared" si="7"/>
        <v>0</v>
      </c>
      <c r="O33" s="11"/>
      <c r="P33" s="3">
        <v>0</v>
      </c>
      <c r="Q33" s="3"/>
      <c r="R33" s="19">
        <f t="shared" si="8"/>
        <v>0</v>
      </c>
      <c r="S33" s="3"/>
      <c r="T33" s="3"/>
      <c r="U33" s="3"/>
      <c r="V33" s="19">
        <f t="shared" si="9"/>
        <v>0</v>
      </c>
      <c r="W33" s="3"/>
      <c r="X33" s="3">
        <f t="shared" si="10"/>
        <v>0</v>
      </c>
      <c r="Y33" s="3"/>
      <c r="Z33" s="19">
        <f t="shared" si="11"/>
        <v>0</v>
      </c>
    </row>
    <row r="34" spans="1:26" s="24" customFormat="1" hidden="1" outlineLevel="1" x14ac:dyDescent="0.3">
      <c r="A34" s="44"/>
      <c r="B34" s="11" t="str">
        <f>CONCATENATE("          ", "5502", " - ", "FREIGHT-IN-USED TEXT")</f>
        <v xml:space="preserve">          5502 - FREIGHT-IN-USED TEXT</v>
      </c>
      <c r="C34" s="11"/>
      <c r="D34" s="3">
        <v>0</v>
      </c>
      <c r="E34" s="3"/>
      <c r="F34" s="19">
        <f t="shared" si="4"/>
        <v>0</v>
      </c>
      <c r="G34" s="3"/>
      <c r="H34" s="3"/>
      <c r="I34" s="3"/>
      <c r="J34" s="19">
        <f t="shared" si="5"/>
        <v>0</v>
      </c>
      <c r="K34" s="3"/>
      <c r="L34" s="3">
        <f t="shared" si="6"/>
        <v>0</v>
      </c>
      <c r="M34" s="3"/>
      <c r="N34" s="19">
        <f t="shared" si="7"/>
        <v>0</v>
      </c>
      <c r="O34" s="11"/>
      <c r="P34" s="3">
        <v>0</v>
      </c>
      <c r="Q34" s="3"/>
      <c r="R34" s="19">
        <f t="shared" si="8"/>
        <v>0</v>
      </c>
      <c r="S34" s="3"/>
      <c r="T34" s="3"/>
      <c r="U34" s="3"/>
      <c r="V34" s="19">
        <f t="shared" si="9"/>
        <v>0</v>
      </c>
      <c r="W34" s="3"/>
      <c r="X34" s="3">
        <f t="shared" si="10"/>
        <v>0</v>
      </c>
      <c r="Y34" s="3"/>
      <c r="Z34" s="19">
        <f t="shared" si="11"/>
        <v>0</v>
      </c>
    </row>
    <row r="35" spans="1:26" s="24" customFormat="1" hidden="1" outlineLevel="1" x14ac:dyDescent="0.3">
      <c r="A35" s="44"/>
      <c r="B35" s="11" t="str">
        <f>CONCATENATE("          ", "5518", " - ", "FREIGHT-IN-STUDY GUIDES")</f>
        <v xml:space="preserve">          5518 - FREIGHT-IN-STUDY GUIDES</v>
      </c>
      <c r="C35" s="11"/>
      <c r="D35" s="3">
        <v>0</v>
      </c>
      <c r="E35" s="3"/>
      <c r="F35" s="19">
        <f t="shared" si="4"/>
        <v>0</v>
      </c>
      <c r="G35" s="3"/>
      <c r="H35" s="3"/>
      <c r="I35" s="3"/>
      <c r="J35" s="19">
        <f t="shared" si="5"/>
        <v>0</v>
      </c>
      <c r="K35" s="3"/>
      <c r="L35" s="3">
        <f t="shared" si="6"/>
        <v>0</v>
      </c>
      <c r="M35" s="3"/>
      <c r="N35" s="19">
        <f t="shared" si="7"/>
        <v>0</v>
      </c>
      <c r="O35" s="11"/>
      <c r="P35" s="3">
        <v>0</v>
      </c>
      <c r="Q35" s="3"/>
      <c r="R35" s="19">
        <f t="shared" si="8"/>
        <v>0</v>
      </c>
      <c r="S35" s="3"/>
      <c r="T35" s="3"/>
      <c r="U35" s="3"/>
      <c r="V35" s="19">
        <f t="shared" si="9"/>
        <v>0</v>
      </c>
      <c r="W35" s="3"/>
      <c r="X35" s="3">
        <f t="shared" si="10"/>
        <v>0</v>
      </c>
      <c r="Y35" s="3"/>
      <c r="Z35" s="19">
        <f t="shared" si="11"/>
        <v>0</v>
      </c>
    </row>
    <row r="36" spans="1:26" s="24" customFormat="1" hidden="1" outlineLevel="1" x14ac:dyDescent="0.3">
      <c r="A36" s="44"/>
      <c r="B36" s="11" t="str">
        <f>CONCATENATE("          ", "5540", " - ", "FREIGHT-IN-LOGO CLOTHING")</f>
        <v xml:space="preserve">          5540 - FREIGHT-IN-LOGO CLOTHING</v>
      </c>
      <c r="C36" s="11"/>
      <c r="D36" s="3">
        <v>0</v>
      </c>
      <c r="E36" s="3"/>
      <c r="F36" s="19">
        <f t="shared" si="4"/>
        <v>0</v>
      </c>
      <c r="G36" s="3"/>
      <c r="H36" s="3"/>
      <c r="I36" s="3"/>
      <c r="J36" s="19">
        <f t="shared" si="5"/>
        <v>0</v>
      </c>
      <c r="K36" s="3"/>
      <c r="L36" s="3">
        <f t="shared" si="6"/>
        <v>0</v>
      </c>
      <c r="M36" s="3"/>
      <c r="N36" s="19">
        <f t="shared" si="7"/>
        <v>0</v>
      </c>
      <c r="O36" s="11"/>
      <c r="P36" s="3">
        <v>0</v>
      </c>
      <c r="Q36" s="3"/>
      <c r="R36" s="19">
        <f t="shared" si="8"/>
        <v>0</v>
      </c>
      <c r="S36" s="3"/>
      <c r="T36" s="3"/>
      <c r="U36" s="3"/>
      <c r="V36" s="19">
        <f t="shared" si="9"/>
        <v>0</v>
      </c>
      <c r="W36" s="3"/>
      <c r="X36" s="3">
        <f t="shared" si="10"/>
        <v>0</v>
      </c>
      <c r="Y36" s="3"/>
      <c r="Z36" s="19">
        <f t="shared" si="11"/>
        <v>0</v>
      </c>
    </row>
    <row r="37" spans="1:26" s="24" customFormat="1" hidden="1" outlineLevel="1" x14ac:dyDescent="0.3">
      <c r="A37" s="44"/>
      <c r="B37" s="11" t="str">
        <f>CONCATENATE("          ", "5541", " - ", "FREIGHT-IN-LOGO GIFTS")</f>
        <v xml:space="preserve">          5541 - FREIGHT-IN-LOGO GIFTS</v>
      </c>
      <c r="C37" s="11"/>
      <c r="D37" s="3">
        <v>0</v>
      </c>
      <c r="E37" s="3"/>
      <c r="F37" s="19">
        <f t="shared" si="4"/>
        <v>0</v>
      </c>
      <c r="G37" s="3"/>
      <c r="H37" s="3"/>
      <c r="I37" s="3"/>
      <c r="J37" s="19">
        <f t="shared" si="5"/>
        <v>0</v>
      </c>
      <c r="K37" s="3"/>
      <c r="L37" s="3">
        <f t="shared" si="6"/>
        <v>0</v>
      </c>
      <c r="M37" s="3"/>
      <c r="N37" s="19">
        <f t="shared" si="7"/>
        <v>0</v>
      </c>
      <c r="O37" s="11"/>
      <c r="P37" s="3">
        <v>0</v>
      </c>
      <c r="Q37" s="3"/>
      <c r="R37" s="19">
        <f t="shared" si="8"/>
        <v>0</v>
      </c>
      <c r="S37" s="3"/>
      <c r="T37" s="3"/>
      <c r="U37" s="3"/>
      <c r="V37" s="19">
        <f t="shared" si="9"/>
        <v>0</v>
      </c>
      <c r="W37" s="3"/>
      <c r="X37" s="3">
        <f t="shared" si="10"/>
        <v>0</v>
      </c>
      <c r="Y37" s="3"/>
      <c r="Z37" s="19">
        <f t="shared" si="11"/>
        <v>0</v>
      </c>
    </row>
    <row r="38" spans="1:26" s="24" customFormat="1" hidden="1" outlineLevel="1" x14ac:dyDescent="0.3">
      <c r="A38" s="44"/>
      <c r="B38" s="11" t="str">
        <f>CONCATENATE("          ", "5542", " - ", "FREIGHT-IN-EVERYDAY GIFTS")</f>
        <v xml:space="preserve">          5542 - FREIGHT-IN-EVERYDAY GIFTS</v>
      </c>
      <c r="C38" s="11"/>
      <c r="D38" s="3">
        <v>0</v>
      </c>
      <c r="E38" s="3"/>
      <c r="F38" s="19">
        <f t="shared" si="4"/>
        <v>0</v>
      </c>
      <c r="G38" s="3"/>
      <c r="H38" s="3"/>
      <c r="I38" s="3"/>
      <c r="J38" s="19">
        <f t="shared" si="5"/>
        <v>0</v>
      </c>
      <c r="K38" s="3"/>
      <c r="L38" s="3">
        <f t="shared" si="6"/>
        <v>0</v>
      </c>
      <c r="M38" s="3"/>
      <c r="N38" s="19">
        <f t="shared" si="7"/>
        <v>0</v>
      </c>
      <c r="O38" s="11"/>
      <c r="P38" s="3">
        <v>0</v>
      </c>
      <c r="Q38" s="3"/>
      <c r="R38" s="19">
        <f t="shared" si="8"/>
        <v>0</v>
      </c>
      <c r="S38" s="3"/>
      <c r="T38" s="3"/>
      <c r="U38" s="3"/>
      <c r="V38" s="19">
        <f t="shared" si="9"/>
        <v>0</v>
      </c>
      <c r="W38" s="3"/>
      <c r="X38" s="3">
        <f t="shared" si="10"/>
        <v>0</v>
      </c>
      <c r="Y38" s="3"/>
      <c r="Z38" s="19">
        <f t="shared" si="11"/>
        <v>0</v>
      </c>
    </row>
    <row r="39" spans="1:26" s="24" customFormat="1" hidden="1" outlineLevel="1" x14ac:dyDescent="0.3">
      <c r="A39" s="44"/>
      <c r="B39" s="11" t="str">
        <f>CONCATENATE("          ", "5544", " - ", "FREIGHT-IN-ACCESSORIES")</f>
        <v xml:space="preserve">          5544 - FREIGHT-IN-ACCESSORIES</v>
      </c>
      <c r="C39" s="11"/>
      <c r="D39" s="3">
        <v>0</v>
      </c>
      <c r="E39" s="3"/>
      <c r="F39" s="19">
        <f t="shared" si="4"/>
        <v>0</v>
      </c>
      <c r="G39" s="3"/>
      <c r="H39" s="3"/>
      <c r="I39" s="3"/>
      <c r="J39" s="19">
        <f t="shared" si="5"/>
        <v>0</v>
      </c>
      <c r="K39" s="3"/>
      <c r="L39" s="3">
        <f t="shared" si="6"/>
        <v>0</v>
      </c>
      <c r="M39" s="3"/>
      <c r="N39" s="19">
        <f t="shared" si="7"/>
        <v>0</v>
      </c>
      <c r="O39" s="11"/>
      <c r="P39" s="3">
        <v>0</v>
      </c>
      <c r="Q39" s="3"/>
      <c r="R39" s="19">
        <f t="shared" si="8"/>
        <v>0</v>
      </c>
      <c r="S39" s="3"/>
      <c r="T39" s="3"/>
      <c r="U39" s="3"/>
      <c r="V39" s="19">
        <f t="shared" si="9"/>
        <v>0</v>
      </c>
      <c r="W39" s="3"/>
      <c r="X39" s="3">
        <f t="shared" si="10"/>
        <v>0</v>
      </c>
      <c r="Y39" s="3"/>
      <c r="Z39" s="19">
        <f t="shared" si="11"/>
        <v>0</v>
      </c>
    </row>
    <row r="40" spans="1:26" s="24" customFormat="1" hidden="1" outlineLevel="1" x14ac:dyDescent="0.3">
      <c r="A40" s="44"/>
      <c r="B40" s="11" t="str">
        <f>CONCATENATE("          ", "5545", " - ", "FREIGHT-IN-SPECIAL ORDERS")</f>
        <v xml:space="preserve">          5545 - FREIGHT-IN-SPECIAL ORDERS</v>
      </c>
      <c r="C40" s="11"/>
      <c r="D40" s="3">
        <v>0</v>
      </c>
      <c r="E40" s="3"/>
      <c r="F40" s="19">
        <f t="shared" si="4"/>
        <v>0</v>
      </c>
      <c r="G40" s="3"/>
      <c r="H40" s="3"/>
      <c r="I40" s="3"/>
      <c r="J40" s="19">
        <f t="shared" si="5"/>
        <v>0</v>
      </c>
      <c r="K40" s="3"/>
      <c r="L40" s="3">
        <f t="shared" si="6"/>
        <v>0</v>
      </c>
      <c r="M40" s="3"/>
      <c r="N40" s="19">
        <f t="shared" si="7"/>
        <v>0</v>
      </c>
      <c r="O40" s="11"/>
      <c r="P40" s="3">
        <v>0</v>
      </c>
      <c r="Q40" s="3"/>
      <c r="R40" s="19">
        <f t="shared" si="8"/>
        <v>0</v>
      </c>
      <c r="S40" s="3"/>
      <c r="T40" s="3"/>
      <c r="U40" s="3"/>
      <c r="V40" s="19">
        <f t="shared" si="9"/>
        <v>0</v>
      </c>
      <c r="W40" s="3"/>
      <c r="X40" s="3">
        <f t="shared" si="10"/>
        <v>0</v>
      </c>
      <c r="Y40" s="3"/>
      <c r="Z40" s="19">
        <f t="shared" si="11"/>
        <v>0</v>
      </c>
    </row>
    <row r="41" spans="1:26" x14ac:dyDescent="0.3">
      <c r="A41" s="9"/>
      <c r="B41" s="10"/>
      <c r="C41" s="10"/>
      <c r="D41" s="2"/>
      <c r="E41" s="2"/>
      <c r="F41" s="6"/>
      <c r="G41" s="2"/>
      <c r="H41" s="2"/>
      <c r="I41" s="2"/>
      <c r="J41" s="6"/>
      <c r="K41" s="2"/>
      <c r="L41" s="2"/>
      <c r="M41" s="2"/>
      <c r="N41" s="6"/>
      <c r="O41" s="10"/>
      <c r="P41" s="2"/>
      <c r="Q41" s="2"/>
      <c r="R41" s="6"/>
      <c r="S41" s="2"/>
      <c r="T41" s="2"/>
      <c r="U41" s="2"/>
      <c r="V41" s="6"/>
      <c r="W41" s="2"/>
      <c r="X41" s="2"/>
      <c r="Y41" s="2"/>
      <c r="Z41" s="6"/>
    </row>
    <row r="42" spans="1:26" s="23" customFormat="1" x14ac:dyDescent="0.3">
      <c r="A42" s="10"/>
      <c r="B42" s="26" t="s">
        <v>108</v>
      </c>
      <c r="C42" s="26"/>
      <c r="D42" s="21">
        <f>D12-D19</f>
        <v>93076.780000000028</v>
      </c>
      <c r="E42" s="13"/>
      <c r="F42" s="22">
        <f>IF(D$12=0,0,D42/D$12)</f>
        <v>0.42212032369240904</v>
      </c>
      <c r="G42" s="13"/>
      <c r="H42" s="21">
        <f>H12-H19</f>
        <v>126437</v>
      </c>
      <c r="I42" s="13"/>
      <c r="J42" s="22">
        <f>IF(H$12=0,0,H42/H$12)</f>
        <v>0.38287209334015682</v>
      </c>
      <c r="K42" s="16"/>
      <c r="L42" s="21">
        <f>+D42-H42</f>
        <v>-33360.219999999972</v>
      </c>
      <c r="M42" s="16"/>
      <c r="N42" s="22">
        <f>IF(H42=0,0,L42/H42)</f>
        <v>-0.2638485569888559</v>
      </c>
      <c r="O42" s="25"/>
      <c r="P42" s="21">
        <f>P12-P19</f>
        <v>93076.780000000028</v>
      </c>
      <c r="Q42" s="13"/>
      <c r="R42" s="22">
        <f>IF(P$12=0,0,P42/P$12)</f>
        <v>0.42212032369240904</v>
      </c>
      <c r="S42" s="13"/>
      <c r="T42" s="21">
        <f>T12-T19</f>
        <v>126437</v>
      </c>
      <c r="U42" s="13"/>
      <c r="V42" s="22">
        <f>IF(T$12=0,0,T42/T$12)</f>
        <v>0.38287209334015682</v>
      </c>
      <c r="W42" s="16"/>
      <c r="X42" s="21">
        <f>+P42-T42</f>
        <v>-33360.219999999972</v>
      </c>
      <c r="Y42" s="16"/>
      <c r="Z42" s="22">
        <f>IF(T42=0,0,X42/T42)</f>
        <v>-0.2638485569888559</v>
      </c>
    </row>
    <row r="43" spans="1:26" x14ac:dyDescent="0.3">
      <c r="A43" s="9"/>
      <c r="B43" s="10"/>
      <c r="C43" s="9"/>
      <c r="D43" s="1"/>
      <c r="E43" s="1"/>
      <c r="F43" s="5"/>
      <c r="G43" s="1"/>
      <c r="H43" s="1"/>
      <c r="I43" s="1"/>
      <c r="J43" s="5"/>
      <c r="K43" s="1"/>
      <c r="L43" s="1"/>
      <c r="M43" s="1"/>
      <c r="N43" s="5"/>
      <c r="O43" s="36"/>
      <c r="P43" s="1"/>
      <c r="Q43" s="1"/>
      <c r="R43" s="5"/>
      <c r="S43" s="1"/>
      <c r="T43" s="1"/>
      <c r="U43" s="1"/>
      <c r="V43" s="5"/>
      <c r="W43" s="1"/>
      <c r="X43" s="1"/>
      <c r="Y43" s="1"/>
      <c r="Z43" s="5"/>
    </row>
    <row r="44" spans="1:26" s="23" customFormat="1" x14ac:dyDescent="0.3">
      <c r="A44" s="10"/>
      <c r="B44" s="25" t="s">
        <v>295</v>
      </c>
      <c r="C44" s="10"/>
      <c r="D44" s="20">
        <f>SUM(OSRRefD22x_0)</f>
        <v>363430.32999999984</v>
      </c>
      <c r="E44" s="20"/>
      <c r="F44" s="32">
        <f t="shared" ref="F44:F55" si="12">IF(D$12=0,0,D44/D$12)</f>
        <v>1.6482234187650122</v>
      </c>
      <c r="G44" s="20"/>
      <c r="H44" s="20">
        <f>SUM(OSRRefH22x_0)</f>
        <v>404375.00200652564</v>
      </c>
      <c r="I44" s="20"/>
      <c r="J44" s="32">
        <f t="shared" ref="J44:J55" si="13">IF(H$12=0,0,H44/H$12)</f>
        <v>1.2245142127120114</v>
      </c>
      <c r="K44" s="4"/>
      <c r="L44" s="20">
        <f t="shared" ref="L44:L55" si="14">+D44-H44</f>
        <v>-40944.672006525798</v>
      </c>
      <c r="M44" s="4"/>
      <c r="N44" s="32">
        <f t="shared" ref="N44:N55" si="15">IF(H44=0,0,L44/H44)</f>
        <v>-0.10125421156935178</v>
      </c>
      <c r="O44" s="10"/>
      <c r="P44" s="20">
        <f>SUM(OSRRefP22x_0)</f>
        <v>363430.32999999984</v>
      </c>
      <c r="Q44" s="20"/>
      <c r="R44" s="32">
        <f t="shared" ref="R44:R55" si="16">IF(P$12=0,0,P44/P$12)</f>
        <v>1.6482234187650122</v>
      </c>
      <c r="S44" s="20"/>
      <c r="T44" s="20">
        <f>SUM(OSRRefT22x_0)</f>
        <v>404375.00200652564</v>
      </c>
      <c r="U44" s="20"/>
      <c r="V44" s="32">
        <f t="shared" ref="V44:V55" si="17">IF(T$12=0,0,T44/T$12)</f>
        <v>1.2245142127120114</v>
      </c>
      <c r="W44" s="4"/>
      <c r="X44" s="20">
        <f t="shared" ref="X44:X55" si="18">+P44-T44</f>
        <v>-40944.672006525798</v>
      </c>
      <c r="Y44" s="4"/>
      <c r="Z44" s="32">
        <f t="shared" ref="Z44:Z55" si="19">IF(T44=0,0,X44/T44)</f>
        <v>-0.10125421156935178</v>
      </c>
    </row>
    <row r="45" spans="1:26" s="27" customFormat="1" outlineLevel="1" collapsed="1" x14ac:dyDescent="0.3">
      <c r="A45" s="28"/>
      <c r="B45" s="14" t="str">
        <f>CONCATENATE("     ","*Benefits                                         ")</f>
        <v xml:space="preserve">     *Benefits                                         </v>
      </c>
      <c r="C45" s="14"/>
      <c r="D45" s="1">
        <f>SUM(OSRRefD22_0x_0)</f>
        <v>47426.359999999993</v>
      </c>
      <c r="E45" s="1"/>
      <c r="F45" s="5">
        <f t="shared" si="12"/>
        <v>0.21508726918521151</v>
      </c>
      <c r="G45" s="1"/>
      <c r="H45" s="1">
        <f>SUM(OSRRefH22_0x_0)</f>
        <v>56692.834498035219</v>
      </c>
      <c r="I45" s="1"/>
      <c r="J45" s="5">
        <f t="shared" si="13"/>
        <v>0.17167525504124428</v>
      </c>
      <c r="K45" s="1"/>
      <c r="L45" s="1">
        <f t="shared" si="14"/>
        <v>-9266.4744980352261</v>
      </c>
      <c r="M45" s="1"/>
      <c r="N45" s="5">
        <f t="shared" si="15"/>
        <v>-0.16345054150284849</v>
      </c>
      <c r="O45" s="14"/>
      <c r="P45" s="1">
        <f>SUM(OSRRefP22_0x_0)</f>
        <v>47426.359999999993</v>
      </c>
      <c r="Q45" s="1"/>
      <c r="R45" s="5">
        <f t="shared" si="16"/>
        <v>0.21508726918521151</v>
      </c>
      <c r="S45" s="1"/>
      <c r="T45" s="1">
        <f>SUM(OSRRefT22_0x_0)</f>
        <v>56692.834498035219</v>
      </c>
      <c r="U45" s="1"/>
      <c r="V45" s="5">
        <f t="shared" si="17"/>
        <v>0.17167525504124428</v>
      </c>
      <c r="W45" s="1"/>
      <c r="X45" s="1">
        <f t="shared" si="18"/>
        <v>-9266.4744980352261</v>
      </c>
      <c r="Y45" s="1"/>
      <c r="Z45" s="5">
        <f t="shared" si="19"/>
        <v>-0.16345054150284849</v>
      </c>
    </row>
    <row r="46" spans="1:26" s="24" customFormat="1" hidden="1" outlineLevel="2" x14ac:dyDescent="0.3">
      <c r="A46" s="29"/>
      <c r="B46" s="11" t="str">
        <f>CONCATENATE("          ", "6111", " - ", "F.I.C.A.")</f>
        <v xml:space="preserve">          6111 - F.I.C.A.</v>
      </c>
      <c r="C46" s="11"/>
      <c r="D46" s="8">
        <v>9628.01</v>
      </c>
      <c r="E46" s="3"/>
      <c r="F46" s="7">
        <f t="shared" si="12"/>
        <v>4.3664796931240528E-2</v>
      </c>
      <c r="G46" s="3"/>
      <c r="H46" s="8">
        <v>12512.148451609301</v>
      </c>
      <c r="I46" s="3"/>
      <c r="J46" s="7">
        <f t="shared" si="13"/>
        <v>3.7888849544440745E-2</v>
      </c>
      <c r="K46" s="3"/>
      <c r="L46" s="8">
        <f t="shared" si="14"/>
        <v>-2884.1384516093003</v>
      </c>
      <c r="M46" s="3"/>
      <c r="N46" s="7">
        <f t="shared" si="15"/>
        <v>-0.23050705182756565</v>
      </c>
      <c r="O46" s="11"/>
      <c r="P46" s="8">
        <v>9628.01</v>
      </c>
      <c r="Q46" s="3"/>
      <c r="R46" s="7">
        <f t="shared" si="16"/>
        <v>4.3664796931240528E-2</v>
      </c>
      <c r="S46" s="3"/>
      <c r="T46" s="8">
        <v>12512.148451609301</v>
      </c>
      <c r="U46" s="3"/>
      <c r="V46" s="7">
        <f t="shared" si="17"/>
        <v>3.7888849544440745E-2</v>
      </c>
      <c r="W46" s="3"/>
      <c r="X46" s="8">
        <f t="shared" si="18"/>
        <v>-2884.1384516093003</v>
      </c>
      <c r="Y46" s="3"/>
      <c r="Z46" s="7">
        <f t="shared" si="19"/>
        <v>-0.23050705182756565</v>
      </c>
    </row>
    <row r="47" spans="1:26" s="24" customFormat="1" hidden="1" outlineLevel="2" x14ac:dyDescent="0.3">
      <c r="A47" s="29"/>
      <c r="B47" s="11" t="str">
        <f>CONCATENATE("          ", "6112", " - ", "COMPENSATION INSURANCE")</f>
        <v xml:space="preserve">          6112 - COMPENSATION INSURANCE</v>
      </c>
      <c r="C47" s="11"/>
      <c r="D47" s="8">
        <v>1973.41</v>
      </c>
      <c r="E47" s="3"/>
      <c r="F47" s="7">
        <f t="shared" si="12"/>
        <v>8.9497774630561636E-3</v>
      </c>
      <c r="G47" s="3"/>
      <c r="H47" s="8">
        <v>3151.2527443499998</v>
      </c>
      <c r="I47" s="3"/>
      <c r="J47" s="7">
        <f t="shared" si="13"/>
        <v>9.5425131478380412E-3</v>
      </c>
      <c r="K47" s="3"/>
      <c r="L47" s="8">
        <f t="shared" si="14"/>
        <v>-1177.8427443499997</v>
      </c>
      <c r="M47" s="3"/>
      <c r="N47" s="7">
        <f t="shared" si="15"/>
        <v>-0.37376968459981463</v>
      </c>
      <c r="O47" s="11"/>
      <c r="P47" s="8">
        <v>1973.41</v>
      </c>
      <c r="Q47" s="3"/>
      <c r="R47" s="7">
        <f t="shared" si="16"/>
        <v>8.9497774630561636E-3</v>
      </c>
      <c r="S47" s="3"/>
      <c r="T47" s="8">
        <v>3151.2527443499998</v>
      </c>
      <c r="U47" s="3"/>
      <c r="V47" s="7">
        <f t="shared" si="17"/>
        <v>9.5425131478380412E-3</v>
      </c>
      <c r="W47" s="3"/>
      <c r="X47" s="8">
        <f t="shared" si="18"/>
        <v>-1177.8427443499997</v>
      </c>
      <c r="Y47" s="3"/>
      <c r="Z47" s="7">
        <f t="shared" si="19"/>
        <v>-0.37376968459981463</v>
      </c>
    </row>
    <row r="48" spans="1:26" s="24" customFormat="1" hidden="1" outlineLevel="2" x14ac:dyDescent="0.3">
      <c r="A48" s="29"/>
      <c r="B48" s="11" t="str">
        <f>CONCATENATE("          ", "6113", " - ", "GROUP INSURANCE")</f>
        <v xml:space="preserve">          6113 - GROUP INSURANCE</v>
      </c>
      <c r="C48" s="11"/>
      <c r="D48" s="8">
        <v>17896.5</v>
      </c>
      <c r="E48" s="3"/>
      <c r="F48" s="7">
        <f t="shared" si="12"/>
        <v>8.1163920506931969E-2</v>
      </c>
      <c r="G48" s="3"/>
      <c r="H48" s="8">
        <v>18761.1538461538</v>
      </c>
      <c r="I48" s="3"/>
      <c r="J48" s="7">
        <f t="shared" si="13"/>
        <v>5.6811868729514617E-2</v>
      </c>
      <c r="K48" s="3"/>
      <c r="L48" s="8">
        <f t="shared" si="14"/>
        <v>-864.65384615380026</v>
      </c>
      <c r="M48" s="3"/>
      <c r="N48" s="7">
        <f t="shared" si="15"/>
        <v>-4.608745566739552E-2</v>
      </c>
      <c r="O48" s="11"/>
      <c r="P48" s="8">
        <v>17896.5</v>
      </c>
      <c r="Q48" s="3"/>
      <c r="R48" s="7">
        <f t="shared" si="16"/>
        <v>8.1163920506931969E-2</v>
      </c>
      <c r="S48" s="3"/>
      <c r="T48" s="8">
        <v>18761.1538461538</v>
      </c>
      <c r="U48" s="3"/>
      <c r="V48" s="7">
        <f t="shared" si="17"/>
        <v>5.6811868729514617E-2</v>
      </c>
      <c r="W48" s="3"/>
      <c r="X48" s="8">
        <f t="shared" si="18"/>
        <v>-864.65384615380026</v>
      </c>
      <c r="Y48" s="3"/>
      <c r="Z48" s="7">
        <f t="shared" si="19"/>
        <v>-4.608745566739552E-2</v>
      </c>
    </row>
    <row r="49" spans="1:26" s="24" customFormat="1" hidden="1" outlineLevel="2" x14ac:dyDescent="0.3">
      <c r="A49" s="29"/>
      <c r="B49" s="11" t="str">
        <f>CONCATENATE("          ", "6114", " - ", "STATE UNEMPLOYMENT INSURANCE")</f>
        <v xml:space="preserve">          6114 - STATE UNEMPLOYMENT INSURANCE</v>
      </c>
      <c r="C49" s="11"/>
      <c r="D49" s="8">
        <v>357.53</v>
      </c>
      <c r="E49" s="3"/>
      <c r="F49" s="7">
        <f t="shared" si="12"/>
        <v>1.621464336537501E-3</v>
      </c>
      <c r="G49" s="3"/>
      <c r="H49" s="8">
        <v>424.20710020096101</v>
      </c>
      <c r="I49" s="3"/>
      <c r="J49" s="7">
        <f t="shared" si="13"/>
        <v>1.284569077593581E-3</v>
      </c>
      <c r="K49" s="3"/>
      <c r="L49" s="8">
        <f t="shared" si="14"/>
        <v>-66.677100200961036</v>
      </c>
      <c r="M49" s="3"/>
      <c r="N49" s="7">
        <f t="shared" si="15"/>
        <v>-0.15718053792445688</v>
      </c>
      <c r="O49" s="11"/>
      <c r="P49" s="8">
        <v>357.53</v>
      </c>
      <c r="Q49" s="3"/>
      <c r="R49" s="7">
        <f t="shared" si="16"/>
        <v>1.621464336537501E-3</v>
      </c>
      <c r="S49" s="3"/>
      <c r="T49" s="8">
        <v>424.20710020096101</v>
      </c>
      <c r="U49" s="3"/>
      <c r="V49" s="7">
        <f t="shared" si="17"/>
        <v>1.284569077593581E-3</v>
      </c>
      <c r="W49" s="3"/>
      <c r="X49" s="8">
        <f t="shared" si="18"/>
        <v>-66.677100200961036</v>
      </c>
      <c r="Y49" s="3"/>
      <c r="Z49" s="7">
        <f t="shared" si="19"/>
        <v>-0.15718053792445688</v>
      </c>
    </row>
    <row r="50" spans="1:26" s="24" customFormat="1" hidden="1" outlineLevel="2" x14ac:dyDescent="0.3">
      <c r="A50" s="29"/>
      <c r="B50" s="11" t="str">
        <f>CONCATENATE("          ", "6115", " - ", "P.E.R.S.")</f>
        <v xml:space="preserve">          6115 - P.E.R.S.</v>
      </c>
      <c r="C50" s="11"/>
      <c r="D50" s="8">
        <v>6296.23</v>
      </c>
      <c r="E50" s="3"/>
      <c r="F50" s="7">
        <f t="shared" si="12"/>
        <v>2.8554561574238552E-2</v>
      </c>
      <c r="G50" s="3"/>
      <c r="H50" s="8">
        <v>6095.6766501346101</v>
      </c>
      <c r="I50" s="3"/>
      <c r="J50" s="7">
        <f t="shared" si="13"/>
        <v>1.8458714453536171E-2</v>
      </c>
      <c r="K50" s="3"/>
      <c r="L50" s="8">
        <f t="shared" si="14"/>
        <v>200.55334986538946</v>
      </c>
      <c r="M50" s="3"/>
      <c r="N50" s="7">
        <f t="shared" si="15"/>
        <v>3.2900916727753374E-2</v>
      </c>
      <c r="O50" s="11"/>
      <c r="P50" s="8">
        <v>6296.23</v>
      </c>
      <c r="Q50" s="3"/>
      <c r="R50" s="7">
        <f t="shared" si="16"/>
        <v>2.8554561574238552E-2</v>
      </c>
      <c r="S50" s="3"/>
      <c r="T50" s="8">
        <v>6095.6766501346101</v>
      </c>
      <c r="U50" s="3"/>
      <c r="V50" s="7">
        <f t="shared" si="17"/>
        <v>1.8458714453536171E-2</v>
      </c>
      <c r="W50" s="3"/>
      <c r="X50" s="8">
        <f t="shared" si="18"/>
        <v>200.55334986538946</v>
      </c>
      <c r="Y50" s="3"/>
      <c r="Z50" s="7">
        <f t="shared" si="19"/>
        <v>3.2900916727753374E-2</v>
      </c>
    </row>
    <row r="51" spans="1:26" s="24" customFormat="1" hidden="1" outlineLevel="2" x14ac:dyDescent="0.3">
      <c r="A51" s="29"/>
      <c r="B51" s="11" t="str">
        <f>CONCATENATE("          ", "6116", " - ", "EDUCATIONAL BENEFITS")</f>
        <v xml:space="preserve">          6116 - EDUCATIONAL BENEFITS</v>
      </c>
      <c r="C51" s="11"/>
      <c r="D51" s="8"/>
      <c r="E51" s="3"/>
      <c r="F51" s="7">
        <f t="shared" si="12"/>
        <v>0</v>
      </c>
      <c r="G51" s="3"/>
      <c r="H51" s="8">
        <v>0</v>
      </c>
      <c r="I51" s="3"/>
      <c r="J51" s="7">
        <f t="shared" si="13"/>
        <v>0</v>
      </c>
      <c r="K51" s="3"/>
      <c r="L51" s="8">
        <f t="shared" si="14"/>
        <v>0</v>
      </c>
      <c r="M51" s="3"/>
      <c r="N51" s="7">
        <f t="shared" si="15"/>
        <v>0</v>
      </c>
      <c r="O51" s="11"/>
      <c r="P51" s="8"/>
      <c r="Q51" s="3"/>
      <c r="R51" s="7">
        <f t="shared" si="16"/>
        <v>0</v>
      </c>
      <c r="S51" s="3"/>
      <c r="T51" s="8">
        <v>0</v>
      </c>
      <c r="U51" s="3"/>
      <c r="V51" s="7">
        <f t="shared" si="17"/>
        <v>0</v>
      </c>
      <c r="W51" s="3"/>
      <c r="X51" s="8">
        <f t="shared" si="18"/>
        <v>0</v>
      </c>
      <c r="Y51" s="3"/>
      <c r="Z51" s="7">
        <f t="shared" si="19"/>
        <v>0</v>
      </c>
    </row>
    <row r="52" spans="1:26" s="24" customFormat="1" hidden="1" outlineLevel="2" x14ac:dyDescent="0.3">
      <c r="A52" s="29"/>
      <c r="B52" s="11" t="str">
        <f>CONCATENATE("          ", "6117", " - ", "RETIREMENT STAFF HOURLY")</f>
        <v xml:space="preserve">          6117 - RETIREMENT STAFF HOURLY</v>
      </c>
      <c r="C52" s="11"/>
      <c r="D52" s="8">
        <v>552.85</v>
      </c>
      <c r="E52" s="3"/>
      <c r="F52" s="7">
        <f t="shared" si="12"/>
        <v>2.5072764759733659E-3</v>
      </c>
      <c r="G52" s="3"/>
      <c r="H52" s="8"/>
      <c r="I52" s="3"/>
      <c r="J52" s="7">
        <f t="shared" si="13"/>
        <v>0</v>
      </c>
      <c r="K52" s="3"/>
      <c r="L52" s="8">
        <f t="shared" si="14"/>
        <v>552.85</v>
      </c>
      <c r="M52" s="3"/>
      <c r="N52" s="7">
        <f t="shared" si="15"/>
        <v>0</v>
      </c>
      <c r="O52" s="11"/>
      <c r="P52" s="8">
        <v>552.85</v>
      </c>
      <c r="Q52" s="3"/>
      <c r="R52" s="7">
        <f t="shared" si="16"/>
        <v>2.5072764759733659E-3</v>
      </c>
      <c r="S52" s="3"/>
      <c r="T52" s="8"/>
      <c r="U52" s="3"/>
      <c r="V52" s="7">
        <f t="shared" si="17"/>
        <v>0</v>
      </c>
      <c r="W52" s="3"/>
      <c r="X52" s="8">
        <f t="shared" si="18"/>
        <v>552.85</v>
      </c>
      <c r="Y52" s="3"/>
      <c r="Z52" s="7">
        <f t="shared" si="19"/>
        <v>0</v>
      </c>
    </row>
    <row r="53" spans="1:26" s="24" customFormat="1" hidden="1" outlineLevel="2" x14ac:dyDescent="0.3">
      <c r="A53" s="29"/>
      <c r="B53" s="11" t="str">
        <f>CONCATENATE("          ", "6118", " - ", "VACATION")</f>
        <v xml:space="preserve">          6118 - VACATION</v>
      </c>
      <c r="C53" s="11"/>
      <c r="D53" s="8">
        <v>5400.79</v>
      </c>
      <c r="E53" s="3"/>
      <c r="F53" s="7">
        <f t="shared" si="12"/>
        <v>2.4493576410730206E-2</v>
      </c>
      <c r="G53" s="3"/>
      <c r="H53" s="8">
        <v>5702.1527927596198</v>
      </c>
      <c r="I53" s="3"/>
      <c r="J53" s="7">
        <f t="shared" si="13"/>
        <v>1.7267059296798382E-2</v>
      </c>
      <c r="K53" s="3"/>
      <c r="L53" s="8">
        <f t="shared" si="14"/>
        <v>-301.36279275961988</v>
      </c>
      <c r="M53" s="3"/>
      <c r="N53" s="7">
        <f t="shared" si="15"/>
        <v>-5.285070458692006E-2</v>
      </c>
      <c r="O53" s="11"/>
      <c r="P53" s="8">
        <v>5400.79</v>
      </c>
      <c r="Q53" s="3"/>
      <c r="R53" s="7">
        <f t="shared" si="16"/>
        <v>2.4493576410730206E-2</v>
      </c>
      <c r="S53" s="3"/>
      <c r="T53" s="8">
        <v>5702.1527927596198</v>
      </c>
      <c r="U53" s="3"/>
      <c r="V53" s="7">
        <f t="shared" si="17"/>
        <v>1.7267059296798382E-2</v>
      </c>
      <c r="W53" s="3"/>
      <c r="X53" s="8">
        <f t="shared" si="18"/>
        <v>-301.36279275961988</v>
      </c>
      <c r="Y53" s="3"/>
      <c r="Z53" s="7">
        <f t="shared" si="19"/>
        <v>-5.285070458692006E-2</v>
      </c>
    </row>
    <row r="54" spans="1:26" s="24" customFormat="1" hidden="1" outlineLevel="2" x14ac:dyDescent="0.3">
      <c r="A54" s="29"/>
      <c r="B54" s="11" t="str">
        <f>CONCATENATE("          ", "6119", " - ", "SICK LEAVE")</f>
        <v xml:space="preserve">          6119 - SICK LEAVE</v>
      </c>
      <c r="C54" s="11"/>
      <c r="D54" s="8">
        <v>3886.05</v>
      </c>
      <c r="E54" s="3"/>
      <c r="F54" s="7">
        <f t="shared" si="12"/>
        <v>1.7623951794259379E-2</v>
      </c>
      <c r="G54" s="3"/>
      <c r="H54" s="8">
        <v>7596.2429128269196</v>
      </c>
      <c r="I54" s="3"/>
      <c r="J54" s="7">
        <f t="shared" si="13"/>
        <v>2.3002676633852217E-2</v>
      </c>
      <c r="K54" s="3"/>
      <c r="L54" s="8">
        <f t="shared" si="14"/>
        <v>-3710.1929128269194</v>
      </c>
      <c r="M54" s="3"/>
      <c r="N54" s="7">
        <f t="shared" si="15"/>
        <v>-0.48842473251637786</v>
      </c>
      <c r="O54" s="11"/>
      <c r="P54" s="8">
        <v>3886.05</v>
      </c>
      <c r="Q54" s="3"/>
      <c r="R54" s="7">
        <f t="shared" si="16"/>
        <v>1.7623951794259379E-2</v>
      </c>
      <c r="S54" s="3"/>
      <c r="T54" s="8">
        <v>7596.2429128269196</v>
      </c>
      <c r="U54" s="3"/>
      <c r="V54" s="7">
        <f t="shared" si="17"/>
        <v>2.3002676633852217E-2</v>
      </c>
      <c r="W54" s="3"/>
      <c r="X54" s="8">
        <f t="shared" si="18"/>
        <v>-3710.1929128269194</v>
      </c>
      <c r="Y54" s="3"/>
      <c r="Z54" s="7">
        <f t="shared" si="19"/>
        <v>-0.48842473251637786</v>
      </c>
    </row>
    <row r="55" spans="1:26" s="24" customFormat="1" hidden="1" outlineLevel="2" x14ac:dyDescent="0.3">
      <c r="A55" s="29"/>
      <c r="B55" s="11" t="str">
        <f>CONCATENATE("          ", "6156", " - ", "EMPLOYEE MEALS")</f>
        <v xml:space="preserve">          6156 - EMPLOYEE MEALS</v>
      </c>
      <c r="C55" s="11"/>
      <c r="D55" s="8">
        <v>1434.99</v>
      </c>
      <c r="E55" s="3"/>
      <c r="F55" s="7">
        <f t="shared" si="12"/>
        <v>6.5079436922438642E-3</v>
      </c>
      <c r="G55" s="3"/>
      <c r="H55" s="8">
        <v>2450</v>
      </c>
      <c r="I55" s="3"/>
      <c r="J55" s="7">
        <f t="shared" si="13"/>
        <v>7.4190041576704929E-3</v>
      </c>
      <c r="K55" s="3"/>
      <c r="L55" s="8">
        <f t="shared" si="14"/>
        <v>-1015.01</v>
      </c>
      <c r="M55" s="3"/>
      <c r="N55" s="7">
        <f t="shared" si="15"/>
        <v>-0.41428979591836734</v>
      </c>
      <c r="O55" s="11"/>
      <c r="P55" s="8">
        <v>1434.99</v>
      </c>
      <c r="Q55" s="3"/>
      <c r="R55" s="7">
        <f t="shared" si="16"/>
        <v>6.5079436922438642E-3</v>
      </c>
      <c r="S55" s="3"/>
      <c r="T55" s="8">
        <v>2450</v>
      </c>
      <c r="U55" s="3"/>
      <c r="V55" s="7">
        <f t="shared" si="17"/>
        <v>7.4190041576704929E-3</v>
      </c>
      <c r="W55" s="3"/>
      <c r="X55" s="8">
        <f t="shared" si="18"/>
        <v>-1015.01</v>
      </c>
      <c r="Y55" s="3"/>
      <c r="Z55" s="7">
        <f t="shared" si="19"/>
        <v>-0.41428979591836734</v>
      </c>
    </row>
    <row r="56" spans="1:26" s="27" customFormat="1" outlineLevel="1" collapsed="1" x14ac:dyDescent="0.3">
      <c r="A56" s="28"/>
      <c r="B56" s="14" t="str">
        <f>CONCATENATE("     ","*Payroll                                          ")</f>
        <v xml:space="preserve">     *Payroll                                          </v>
      </c>
      <c r="C56" s="14"/>
      <c r="D56" s="1">
        <f>SUM(OSRRefD22_1x_0)</f>
        <v>166272.59000000003</v>
      </c>
      <c r="E56" s="1"/>
      <c r="F56" s="5">
        <f t="shared" ref="F56:F66" si="20">IF(D$12=0,0,D56/D$12)</f>
        <v>0.75407679027975827</v>
      </c>
      <c r="G56" s="1"/>
      <c r="H56" s="1">
        <f>SUM(OSRRefH22_1x_0)</f>
        <v>192185.16750849041</v>
      </c>
      <c r="I56" s="1"/>
      <c r="J56" s="5">
        <f t="shared" ref="J56:J66" si="21">IF(H$12=0,0,H56/H$12)</f>
        <v>0.58196839052575122</v>
      </c>
      <c r="K56" s="1"/>
      <c r="L56" s="1">
        <f t="shared" ref="L56:L66" si="22">+D56-H56</f>
        <v>-25912.577508490387</v>
      </c>
      <c r="M56" s="1"/>
      <c r="N56" s="5">
        <f t="shared" ref="N56:N66" si="23">IF(H56=0,0,L56/H56)</f>
        <v>-0.13483130797461576</v>
      </c>
      <c r="O56" s="14"/>
      <c r="P56" s="1">
        <f>SUM(OSRRefP22_1x_0)</f>
        <v>166272.59000000003</v>
      </c>
      <c r="Q56" s="1"/>
      <c r="R56" s="5">
        <f t="shared" ref="R56:R66" si="24">IF(P$12=0,0,P56/P$12)</f>
        <v>0.75407679027975827</v>
      </c>
      <c r="S56" s="1"/>
      <c r="T56" s="1">
        <f>SUM(OSRRefT22_1x_0)</f>
        <v>192185.16750849041</v>
      </c>
      <c r="U56" s="1"/>
      <c r="V56" s="5">
        <f t="shared" ref="V56:V66" si="25">IF(T$12=0,0,T56/T$12)</f>
        <v>0.58196839052575122</v>
      </c>
      <c r="W56" s="1"/>
      <c r="X56" s="1">
        <f t="shared" ref="X56:X66" si="26">+P56-T56</f>
        <v>-25912.577508490387</v>
      </c>
      <c r="Y56" s="1"/>
      <c r="Z56" s="5">
        <f t="shared" ref="Z56:Z66" si="27">IF(T56=0,0,X56/T56)</f>
        <v>-0.13483130797461576</v>
      </c>
    </row>
    <row r="57" spans="1:26" s="24" customFormat="1" hidden="1" outlineLevel="2" x14ac:dyDescent="0.3">
      <c r="A57" s="29"/>
      <c r="B57" s="11" t="str">
        <f>CONCATENATE("          ", "6001", " - ", "ADMINISTRATIVE SALARIES")</f>
        <v xml:space="preserve">          6001 - ADMINISTRATIVE SALARIES</v>
      </c>
      <c r="C57" s="11"/>
      <c r="D57" s="8">
        <v>5599.1</v>
      </c>
      <c r="E57" s="3"/>
      <c r="F57" s="7">
        <f t="shared" si="20"/>
        <v>2.5392948750334581E-2</v>
      </c>
      <c r="G57" s="3"/>
      <c r="H57" s="8">
        <v>5174.7596153846198</v>
      </c>
      <c r="I57" s="3"/>
      <c r="J57" s="7">
        <f t="shared" si="21"/>
        <v>1.5670025755707695E-2</v>
      </c>
      <c r="K57" s="3"/>
      <c r="L57" s="8">
        <f t="shared" si="22"/>
        <v>424.34038461538057</v>
      </c>
      <c r="M57" s="3"/>
      <c r="N57" s="7">
        <f t="shared" si="23"/>
        <v>8.2001951038230214E-2</v>
      </c>
      <c r="O57" s="11"/>
      <c r="P57" s="8">
        <v>5599.1</v>
      </c>
      <c r="Q57" s="3"/>
      <c r="R57" s="7">
        <f t="shared" si="24"/>
        <v>2.5392948750334581E-2</v>
      </c>
      <c r="S57" s="3"/>
      <c r="T57" s="8">
        <v>5174.7596153846198</v>
      </c>
      <c r="U57" s="3"/>
      <c r="V57" s="7">
        <f t="shared" si="25"/>
        <v>1.5670025755707695E-2</v>
      </c>
      <c r="W57" s="3"/>
      <c r="X57" s="8">
        <f t="shared" si="26"/>
        <v>424.34038461538057</v>
      </c>
      <c r="Y57" s="3"/>
      <c r="Z57" s="7">
        <f t="shared" si="27"/>
        <v>8.2001951038230214E-2</v>
      </c>
    </row>
    <row r="58" spans="1:26" s="24" customFormat="1" hidden="1" outlineLevel="2" x14ac:dyDescent="0.3">
      <c r="A58" s="29"/>
      <c r="B58" s="11" t="str">
        <f>CONCATENATE("          ", "6002", " - ", "STAFF SALARIES")</f>
        <v xml:space="preserve">          6002 - STAFF SALARIES</v>
      </c>
      <c r="C58" s="11"/>
      <c r="D58" s="8">
        <v>68536.740000000005</v>
      </c>
      <c r="E58" s="3"/>
      <c r="F58" s="7">
        <f t="shared" si="20"/>
        <v>0.31082672685520996</v>
      </c>
      <c r="G58" s="3"/>
      <c r="H58" s="8">
        <v>58249.976933105798</v>
      </c>
      <c r="I58" s="3"/>
      <c r="J58" s="7">
        <f t="shared" si="21"/>
        <v>0.17639053920445805</v>
      </c>
      <c r="K58" s="3"/>
      <c r="L58" s="8">
        <f t="shared" si="22"/>
        <v>10286.763066894207</v>
      </c>
      <c r="M58" s="3"/>
      <c r="N58" s="7">
        <f t="shared" si="23"/>
        <v>0.17659686078000536</v>
      </c>
      <c r="O58" s="11"/>
      <c r="P58" s="8">
        <v>68536.740000000005</v>
      </c>
      <c r="Q58" s="3"/>
      <c r="R58" s="7">
        <f t="shared" si="24"/>
        <v>0.31082672685520996</v>
      </c>
      <c r="S58" s="3"/>
      <c r="T58" s="8">
        <v>58249.976933105798</v>
      </c>
      <c r="U58" s="3"/>
      <c r="V58" s="7">
        <f t="shared" si="25"/>
        <v>0.17639053920445805</v>
      </c>
      <c r="W58" s="3"/>
      <c r="X58" s="8">
        <f t="shared" si="26"/>
        <v>10286.763066894207</v>
      </c>
      <c r="Y58" s="3"/>
      <c r="Z58" s="7">
        <f t="shared" si="27"/>
        <v>0.17659686078000536</v>
      </c>
    </row>
    <row r="59" spans="1:26" s="24" customFormat="1" hidden="1" outlineLevel="2" x14ac:dyDescent="0.3">
      <c r="A59" s="29"/>
      <c r="B59" s="11" t="str">
        <f>CONCATENATE("          ", "6003", " - ", "STAFF HOURLY-9 MONTH")</f>
        <v xml:space="preserve">          6003 - STAFF HOURLY-9 MONTH</v>
      </c>
      <c r="C59" s="11"/>
      <c r="D59" s="8"/>
      <c r="E59" s="3"/>
      <c r="F59" s="7">
        <f t="shared" si="20"/>
        <v>0</v>
      </c>
      <c r="G59" s="3"/>
      <c r="H59" s="8">
        <v>0</v>
      </c>
      <c r="I59" s="3"/>
      <c r="J59" s="7">
        <f t="shared" si="21"/>
        <v>0</v>
      </c>
      <c r="K59" s="3"/>
      <c r="L59" s="8">
        <f t="shared" si="22"/>
        <v>0</v>
      </c>
      <c r="M59" s="3"/>
      <c r="N59" s="7">
        <f t="shared" si="23"/>
        <v>0</v>
      </c>
      <c r="O59" s="11"/>
      <c r="P59" s="8"/>
      <c r="Q59" s="3"/>
      <c r="R59" s="7">
        <f t="shared" si="24"/>
        <v>0</v>
      </c>
      <c r="S59" s="3"/>
      <c r="T59" s="8">
        <v>0</v>
      </c>
      <c r="U59" s="3"/>
      <c r="V59" s="7">
        <f t="shared" si="25"/>
        <v>0</v>
      </c>
      <c r="W59" s="3"/>
      <c r="X59" s="8">
        <f t="shared" si="26"/>
        <v>0</v>
      </c>
      <c r="Y59" s="3"/>
      <c r="Z59" s="7">
        <f t="shared" si="27"/>
        <v>0</v>
      </c>
    </row>
    <row r="60" spans="1:26" s="24" customFormat="1" hidden="1" outlineLevel="2" x14ac:dyDescent="0.3">
      <c r="A60" s="29"/>
      <c r="B60" s="11" t="str">
        <f>CONCATENATE("          ", "6004", " - ", "STAFF HOURLY")</f>
        <v xml:space="preserve">          6004 - STAFF HOURLY</v>
      </c>
      <c r="C60" s="11"/>
      <c r="D60" s="8">
        <v>18084.38</v>
      </c>
      <c r="E60" s="3"/>
      <c r="F60" s="7">
        <f t="shared" si="20"/>
        <v>8.2015990877386674E-2</v>
      </c>
      <c r="G60" s="3"/>
      <c r="H60" s="8">
        <v>41873.018459999999</v>
      </c>
      <c r="I60" s="3"/>
      <c r="J60" s="7">
        <f t="shared" si="21"/>
        <v>0.12679840736691972</v>
      </c>
      <c r="K60" s="3"/>
      <c r="L60" s="8">
        <f t="shared" si="22"/>
        <v>-23788.638459999998</v>
      </c>
      <c r="M60" s="3"/>
      <c r="N60" s="7">
        <f t="shared" si="23"/>
        <v>-0.56811377194420676</v>
      </c>
      <c r="O60" s="11"/>
      <c r="P60" s="8">
        <v>18084.38</v>
      </c>
      <c r="Q60" s="3"/>
      <c r="R60" s="7">
        <f t="shared" si="24"/>
        <v>8.2015990877386674E-2</v>
      </c>
      <c r="S60" s="3"/>
      <c r="T60" s="8">
        <v>41873.018459999999</v>
      </c>
      <c r="U60" s="3"/>
      <c r="V60" s="7">
        <f t="shared" si="25"/>
        <v>0.12679840736691972</v>
      </c>
      <c r="W60" s="3"/>
      <c r="X60" s="8">
        <f t="shared" si="26"/>
        <v>-23788.638459999998</v>
      </c>
      <c r="Y60" s="3"/>
      <c r="Z60" s="7">
        <f t="shared" si="27"/>
        <v>-0.56811377194420676</v>
      </c>
    </row>
    <row r="61" spans="1:26" s="24" customFormat="1" hidden="1" outlineLevel="2" x14ac:dyDescent="0.3">
      <c r="A61" s="29"/>
      <c r="B61" s="11" t="str">
        <f>CONCATENATE("          ", "6005", " - ", "TEMPORARY WAGES-HOURLY")</f>
        <v xml:space="preserve">          6005 - TEMPORARY WAGES-HOURLY</v>
      </c>
      <c r="C61" s="11"/>
      <c r="D61" s="8">
        <v>9447.7999999999993</v>
      </c>
      <c r="E61" s="3"/>
      <c r="F61" s="7">
        <f t="shared" si="20"/>
        <v>4.2847511422087661E-2</v>
      </c>
      <c r="G61" s="3"/>
      <c r="H61" s="8">
        <v>4010</v>
      </c>
      <c r="I61" s="3"/>
      <c r="J61" s="7">
        <f t="shared" si="21"/>
        <v>1.2142941498881094E-2</v>
      </c>
      <c r="K61" s="3"/>
      <c r="L61" s="8">
        <f t="shared" si="22"/>
        <v>5437.7999999999993</v>
      </c>
      <c r="M61" s="3"/>
      <c r="N61" s="7">
        <f t="shared" si="23"/>
        <v>1.3560598503740646</v>
      </c>
      <c r="O61" s="11"/>
      <c r="P61" s="8">
        <v>9447.7999999999993</v>
      </c>
      <c r="Q61" s="3"/>
      <c r="R61" s="7">
        <f t="shared" si="24"/>
        <v>4.2847511422087661E-2</v>
      </c>
      <c r="S61" s="3"/>
      <c r="T61" s="8">
        <v>4010</v>
      </c>
      <c r="U61" s="3"/>
      <c r="V61" s="7">
        <f t="shared" si="25"/>
        <v>1.2142941498881094E-2</v>
      </c>
      <c r="W61" s="3"/>
      <c r="X61" s="8">
        <f t="shared" si="26"/>
        <v>5437.7999999999993</v>
      </c>
      <c r="Y61" s="3"/>
      <c r="Z61" s="7">
        <f t="shared" si="27"/>
        <v>1.3560598503740646</v>
      </c>
    </row>
    <row r="62" spans="1:26" s="24" customFormat="1" hidden="1" outlineLevel="2" x14ac:dyDescent="0.3">
      <c r="A62" s="29"/>
      <c r="B62" s="11" t="str">
        <f>CONCATENATE("          ", "6006", " - ", "TEMPORARY PART TIME")</f>
        <v xml:space="preserve">          6006 - TEMPORARY PART TIME</v>
      </c>
      <c r="C62" s="11"/>
      <c r="D62" s="8">
        <v>2864.4</v>
      </c>
      <c r="E62" s="3"/>
      <c r="F62" s="7">
        <f t="shared" si="20"/>
        <v>1.2990581057751848E-2</v>
      </c>
      <c r="G62" s="3"/>
      <c r="H62" s="8">
        <v>0</v>
      </c>
      <c r="I62" s="3"/>
      <c r="J62" s="7">
        <f t="shared" si="21"/>
        <v>0</v>
      </c>
      <c r="K62" s="3"/>
      <c r="L62" s="8">
        <f t="shared" si="22"/>
        <v>2864.4</v>
      </c>
      <c r="M62" s="3"/>
      <c r="N62" s="7">
        <f t="shared" si="23"/>
        <v>0</v>
      </c>
      <c r="O62" s="11"/>
      <c r="P62" s="8">
        <v>2864.4</v>
      </c>
      <c r="Q62" s="3"/>
      <c r="R62" s="7">
        <f t="shared" si="24"/>
        <v>1.2990581057751848E-2</v>
      </c>
      <c r="S62" s="3"/>
      <c r="T62" s="8">
        <v>0</v>
      </c>
      <c r="U62" s="3"/>
      <c r="V62" s="7">
        <f t="shared" si="25"/>
        <v>0</v>
      </c>
      <c r="W62" s="3"/>
      <c r="X62" s="8">
        <f t="shared" si="26"/>
        <v>2864.4</v>
      </c>
      <c r="Y62" s="3"/>
      <c r="Z62" s="7">
        <f t="shared" si="27"/>
        <v>0</v>
      </c>
    </row>
    <row r="63" spans="1:26" s="24" customFormat="1" hidden="1" outlineLevel="2" x14ac:dyDescent="0.3">
      <c r="A63" s="29"/>
      <c r="B63" s="11" t="str">
        <f>CONCATENATE("          ", "6007", " - ", "STUDENT HOURLY")</f>
        <v xml:space="preserve">          6007 - STUDENT HOURLY</v>
      </c>
      <c r="C63" s="11"/>
      <c r="D63" s="8">
        <v>51955.82</v>
      </c>
      <c r="E63" s="3"/>
      <c r="F63" s="7">
        <f t="shared" si="20"/>
        <v>0.23562920371874199</v>
      </c>
      <c r="G63" s="3"/>
      <c r="H63" s="8">
        <v>48377.412499999999</v>
      </c>
      <c r="I63" s="3"/>
      <c r="J63" s="7">
        <f t="shared" si="21"/>
        <v>0.14649478549993489</v>
      </c>
      <c r="K63" s="3"/>
      <c r="L63" s="8">
        <f t="shared" si="22"/>
        <v>3578.4075000000012</v>
      </c>
      <c r="M63" s="3"/>
      <c r="N63" s="7">
        <f t="shared" si="23"/>
        <v>7.3968559190717389E-2</v>
      </c>
      <c r="O63" s="11"/>
      <c r="P63" s="8">
        <v>51955.82</v>
      </c>
      <c r="Q63" s="3"/>
      <c r="R63" s="7">
        <f t="shared" si="24"/>
        <v>0.23562920371874199</v>
      </c>
      <c r="S63" s="3"/>
      <c r="T63" s="8">
        <v>48377.412499999999</v>
      </c>
      <c r="U63" s="3"/>
      <c r="V63" s="7">
        <f t="shared" si="25"/>
        <v>0.14649478549993489</v>
      </c>
      <c r="W63" s="3"/>
      <c r="X63" s="8">
        <f t="shared" si="26"/>
        <v>3578.4075000000012</v>
      </c>
      <c r="Y63" s="3"/>
      <c r="Z63" s="7">
        <f t="shared" si="27"/>
        <v>7.3968559190717389E-2</v>
      </c>
    </row>
    <row r="64" spans="1:26" s="24" customFormat="1" hidden="1" outlineLevel="2" x14ac:dyDescent="0.3">
      <c r="A64" s="29"/>
      <c r="B64" s="11" t="str">
        <f>CONCATENATE("          ", "6008", " - ", "STUDENT HOURLY-FICA EXEMPT")</f>
        <v xml:space="preserve">          6008 - STUDENT HOURLY-FICA EXEMPT</v>
      </c>
      <c r="C64" s="11"/>
      <c r="D64" s="8">
        <v>9784.35</v>
      </c>
      <c r="E64" s="3"/>
      <c r="F64" s="7">
        <f t="shared" si="20"/>
        <v>4.4373827598245458E-2</v>
      </c>
      <c r="G64" s="3"/>
      <c r="H64" s="8">
        <v>34500</v>
      </c>
      <c r="I64" s="3"/>
      <c r="J64" s="7">
        <f t="shared" si="21"/>
        <v>0.10447169119984981</v>
      </c>
      <c r="K64" s="3"/>
      <c r="L64" s="8">
        <f t="shared" si="22"/>
        <v>-24715.65</v>
      </c>
      <c r="M64" s="3"/>
      <c r="N64" s="7">
        <f t="shared" si="23"/>
        <v>-0.7163956521739131</v>
      </c>
      <c r="O64" s="11"/>
      <c r="P64" s="8">
        <v>9784.35</v>
      </c>
      <c r="Q64" s="3"/>
      <c r="R64" s="7">
        <f t="shared" si="24"/>
        <v>4.4373827598245458E-2</v>
      </c>
      <c r="S64" s="3"/>
      <c r="T64" s="8">
        <v>34500</v>
      </c>
      <c r="U64" s="3"/>
      <c r="V64" s="7">
        <f t="shared" si="25"/>
        <v>0.10447169119984981</v>
      </c>
      <c r="W64" s="3"/>
      <c r="X64" s="8">
        <f t="shared" si="26"/>
        <v>-24715.65</v>
      </c>
      <c r="Y64" s="3"/>
      <c r="Z64" s="7">
        <f t="shared" si="27"/>
        <v>-0.7163956521739131</v>
      </c>
    </row>
    <row r="65" spans="1:26" s="24" customFormat="1" hidden="1" outlineLevel="2" x14ac:dyDescent="0.3">
      <c r="A65" s="29"/>
      <c r="B65" s="11" t="str">
        <f>CONCATENATE("          ", "6009", " - ", "TEMPORARY-SEASONAL")</f>
        <v xml:space="preserve">          6009 - TEMPORARY-SEASONAL</v>
      </c>
      <c r="C65" s="11"/>
      <c r="D65" s="8"/>
      <c r="E65" s="3"/>
      <c r="F65" s="7">
        <f t="shared" si="20"/>
        <v>0</v>
      </c>
      <c r="G65" s="3"/>
      <c r="H65" s="8">
        <v>0</v>
      </c>
      <c r="I65" s="3"/>
      <c r="J65" s="7">
        <f t="shared" si="21"/>
        <v>0</v>
      </c>
      <c r="K65" s="3"/>
      <c r="L65" s="8">
        <f t="shared" si="22"/>
        <v>0</v>
      </c>
      <c r="M65" s="3"/>
      <c r="N65" s="7">
        <f t="shared" si="23"/>
        <v>0</v>
      </c>
      <c r="O65" s="11"/>
      <c r="P65" s="8"/>
      <c r="Q65" s="3"/>
      <c r="R65" s="7">
        <f t="shared" si="24"/>
        <v>0</v>
      </c>
      <c r="S65" s="3"/>
      <c r="T65" s="8">
        <v>0</v>
      </c>
      <c r="U65" s="3"/>
      <c r="V65" s="7">
        <f t="shared" si="25"/>
        <v>0</v>
      </c>
      <c r="W65" s="3"/>
      <c r="X65" s="8">
        <f t="shared" si="26"/>
        <v>0</v>
      </c>
      <c r="Y65" s="3"/>
      <c r="Z65" s="7">
        <f t="shared" si="27"/>
        <v>0</v>
      </c>
    </row>
    <row r="66" spans="1:26" s="24" customFormat="1" hidden="1" outlineLevel="2" x14ac:dyDescent="0.3">
      <c r="A66" s="29"/>
      <c r="B66" s="11" t="str">
        <f>CONCATENATE("          ", "6010", " - ", "GRATUITY")</f>
        <v xml:space="preserve">          6010 - GRATUITY</v>
      </c>
      <c r="C66" s="11"/>
      <c r="D66" s="8"/>
      <c r="E66" s="3"/>
      <c r="F66" s="7">
        <f t="shared" si="20"/>
        <v>0</v>
      </c>
      <c r="G66" s="3"/>
      <c r="H66" s="8">
        <v>0</v>
      </c>
      <c r="I66" s="3"/>
      <c r="J66" s="7">
        <f t="shared" si="21"/>
        <v>0</v>
      </c>
      <c r="K66" s="3"/>
      <c r="L66" s="8">
        <f t="shared" si="22"/>
        <v>0</v>
      </c>
      <c r="M66" s="3"/>
      <c r="N66" s="7">
        <f t="shared" si="23"/>
        <v>0</v>
      </c>
      <c r="O66" s="11"/>
      <c r="P66" s="8"/>
      <c r="Q66" s="3"/>
      <c r="R66" s="7">
        <f t="shared" si="24"/>
        <v>0</v>
      </c>
      <c r="S66" s="3"/>
      <c r="T66" s="8">
        <v>0</v>
      </c>
      <c r="U66" s="3"/>
      <c r="V66" s="7">
        <f t="shared" si="25"/>
        <v>0</v>
      </c>
      <c r="W66" s="3"/>
      <c r="X66" s="8">
        <f t="shared" si="26"/>
        <v>0</v>
      </c>
      <c r="Y66" s="3"/>
      <c r="Z66" s="7">
        <f t="shared" si="27"/>
        <v>0</v>
      </c>
    </row>
    <row r="67" spans="1:26" s="27" customFormat="1" outlineLevel="1" collapsed="1" x14ac:dyDescent="0.3">
      <c r="A67" s="28"/>
      <c r="B67" s="14" t="str">
        <f>CONCATENATE("     ","Advertising/Promo                                 ")</f>
        <v xml:space="preserve">     Advertising/Promo                                 </v>
      </c>
      <c r="C67" s="14"/>
      <c r="D67" s="1">
        <f>SUM(OSRRefD22_2x_0)</f>
        <v>493.63</v>
      </c>
      <c r="E67" s="1"/>
      <c r="F67" s="5">
        <f t="shared" ref="F67:F75" si="28">IF(D$12=0,0,D67/D$12)</f>
        <v>2.2387028793248304E-3</v>
      </c>
      <c r="G67" s="1"/>
      <c r="H67" s="1">
        <f>SUM(OSRRefH22_2x_0)</f>
        <v>3000</v>
      </c>
      <c r="I67" s="1"/>
      <c r="J67" s="5">
        <f t="shared" ref="J67:J75" si="29">IF(H$12=0,0,H67/H$12)</f>
        <v>9.0844948869434616E-3</v>
      </c>
      <c r="K67" s="1"/>
      <c r="L67" s="1">
        <f t="shared" ref="L67:L75" si="30">+D67-H67</f>
        <v>-2506.37</v>
      </c>
      <c r="M67" s="1"/>
      <c r="N67" s="5">
        <f t="shared" ref="N67:N75" si="31">IF(H67=0,0,L67/H67)</f>
        <v>-0.83545666666666663</v>
      </c>
      <c r="O67" s="14"/>
      <c r="P67" s="1">
        <f>SUM(OSRRefP22_2x_0)</f>
        <v>493.63</v>
      </c>
      <c r="Q67" s="1"/>
      <c r="R67" s="5">
        <f t="shared" ref="R67:R75" si="32">IF(P$12=0,0,P67/P$12)</f>
        <v>2.2387028793248304E-3</v>
      </c>
      <c r="S67" s="1"/>
      <c r="T67" s="1">
        <f>SUM(OSRRefT22_2x_0)</f>
        <v>3000</v>
      </c>
      <c r="U67" s="1"/>
      <c r="V67" s="5">
        <f t="shared" ref="V67:V75" si="33">IF(T$12=0,0,T67/T$12)</f>
        <v>9.0844948869434616E-3</v>
      </c>
      <c r="W67" s="1"/>
      <c r="X67" s="1">
        <f t="shared" ref="X67:X75" si="34">+P67-T67</f>
        <v>-2506.37</v>
      </c>
      <c r="Y67" s="1"/>
      <c r="Z67" s="5">
        <f t="shared" ref="Z67:Z75" si="35">IF(T67=0,0,X67/T67)</f>
        <v>-0.83545666666666663</v>
      </c>
    </row>
    <row r="68" spans="1:26" s="24" customFormat="1" hidden="1" outlineLevel="2" x14ac:dyDescent="0.3">
      <c r="A68" s="29"/>
      <c r="B68" s="11" t="str">
        <f>CONCATENATE("          ", "6362", " - ", "ADVERTISING EXPENSE")</f>
        <v xml:space="preserve">          6362 - ADVERTISING EXPENSE</v>
      </c>
      <c r="C68" s="11"/>
      <c r="D68" s="8">
        <v>493.63</v>
      </c>
      <c r="E68" s="3"/>
      <c r="F68" s="7">
        <f t="shared" si="28"/>
        <v>2.2387028793248304E-3</v>
      </c>
      <c r="G68" s="3"/>
      <c r="H68" s="8">
        <v>3000</v>
      </c>
      <c r="I68" s="3"/>
      <c r="J68" s="7">
        <f t="shared" si="29"/>
        <v>9.0844948869434616E-3</v>
      </c>
      <c r="K68" s="3"/>
      <c r="L68" s="8">
        <f t="shared" si="30"/>
        <v>-2506.37</v>
      </c>
      <c r="M68" s="3"/>
      <c r="N68" s="7">
        <f t="shared" si="31"/>
        <v>-0.83545666666666663</v>
      </c>
      <c r="O68" s="11"/>
      <c r="P68" s="8">
        <v>493.63</v>
      </c>
      <c r="Q68" s="3"/>
      <c r="R68" s="7">
        <f t="shared" si="32"/>
        <v>2.2387028793248304E-3</v>
      </c>
      <c r="S68" s="3"/>
      <c r="T68" s="8">
        <v>3000</v>
      </c>
      <c r="U68" s="3"/>
      <c r="V68" s="7">
        <f t="shared" si="33"/>
        <v>9.0844948869434616E-3</v>
      </c>
      <c r="W68" s="3"/>
      <c r="X68" s="8">
        <f t="shared" si="34"/>
        <v>-2506.37</v>
      </c>
      <c r="Y68" s="3"/>
      <c r="Z68" s="7">
        <f t="shared" si="35"/>
        <v>-0.83545666666666663</v>
      </c>
    </row>
    <row r="69" spans="1:26" s="27" customFormat="1" outlineLevel="1" collapsed="1" x14ac:dyDescent="0.3">
      <c r="A69" s="28"/>
      <c r="B69" s="14" t="str">
        <f>CONCATENATE("     ","Bad Debts/Over/Short                              ")</f>
        <v xml:space="preserve">     Bad Debts/Over/Short                              </v>
      </c>
      <c r="C69" s="14"/>
      <c r="D69" s="1">
        <f>SUM(OSRRefD22_3x_0)</f>
        <v>1.27</v>
      </c>
      <c r="E69" s="1"/>
      <c r="F69" s="5">
        <f t="shared" si="28"/>
        <v>5.759683683614316E-6</v>
      </c>
      <c r="G69" s="1"/>
      <c r="H69" s="1">
        <f>SUM(OSRRefH22_3x_0)</f>
        <v>235</v>
      </c>
      <c r="I69" s="1"/>
      <c r="J69" s="5">
        <f t="shared" si="29"/>
        <v>7.1161876614390441E-4</v>
      </c>
      <c r="K69" s="1"/>
      <c r="L69" s="1">
        <f t="shared" si="30"/>
        <v>-233.73</v>
      </c>
      <c r="M69" s="1"/>
      <c r="N69" s="5">
        <f t="shared" si="31"/>
        <v>-0.99459574468085099</v>
      </c>
      <c r="O69" s="14"/>
      <c r="P69" s="1">
        <f>SUM(OSRRefP22_3x_0)</f>
        <v>1.27</v>
      </c>
      <c r="Q69" s="1"/>
      <c r="R69" s="5">
        <f t="shared" si="32"/>
        <v>5.759683683614316E-6</v>
      </c>
      <c r="S69" s="1"/>
      <c r="T69" s="1">
        <f>SUM(OSRRefT22_3x_0)</f>
        <v>235</v>
      </c>
      <c r="U69" s="1"/>
      <c r="V69" s="5">
        <f t="shared" si="33"/>
        <v>7.1161876614390441E-4</v>
      </c>
      <c r="W69" s="1"/>
      <c r="X69" s="1">
        <f t="shared" si="34"/>
        <v>-233.73</v>
      </c>
      <c r="Y69" s="1"/>
      <c r="Z69" s="5">
        <f t="shared" si="35"/>
        <v>-0.99459574468085099</v>
      </c>
    </row>
    <row r="70" spans="1:26" s="24" customFormat="1" hidden="1" outlineLevel="2" x14ac:dyDescent="0.3">
      <c r="A70" s="29"/>
      <c r="B70" s="11" t="str">
        <f>CONCATENATE("          ", "6272", " - ", "CASH (OVER/SHORT)")</f>
        <v xml:space="preserve">          6272 - CASH (OVER/SHORT)</v>
      </c>
      <c r="C70" s="11"/>
      <c r="D70" s="8">
        <v>1.27</v>
      </c>
      <c r="E70" s="3"/>
      <c r="F70" s="7">
        <f t="shared" si="28"/>
        <v>5.759683683614316E-6</v>
      </c>
      <c r="G70" s="3"/>
      <c r="H70" s="8">
        <v>235</v>
      </c>
      <c r="I70" s="3"/>
      <c r="J70" s="7">
        <f t="shared" si="29"/>
        <v>7.1161876614390441E-4</v>
      </c>
      <c r="K70" s="3"/>
      <c r="L70" s="8">
        <f t="shared" si="30"/>
        <v>-233.73</v>
      </c>
      <c r="M70" s="3"/>
      <c r="N70" s="7">
        <f t="shared" si="31"/>
        <v>-0.99459574468085099</v>
      </c>
      <c r="O70" s="11"/>
      <c r="P70" s="8">
        <v>1.27</v>
      </c>
      <c r="Q70" s="3"/>
      <c r="R70" s="7">
        <f t="shared" si="32"/>
        <v>5.759683683614316E-6</v>
      </c>
      <c r="S70" s="3"/>
      <c r="T70" s="8">
        <v>235</v>
      </c>
      <c r="U70" s="3"/>
      <c r="V70" s="7">
        <f t="shared" si="33"/>
        <v>7.1161876614390441E-4</v>
      </c>
      <c r="W70" s="3"/>
      <c r="X70" s="8">
        <f t="shared" si="34"/>
        <v>-233.73</v>
      </c>
      <c r="Y70" s="3"/>
      <c r="Z70" s="7">
        <f t="shared" si="35"/>
        <v>-0.99459574468085099</v>
      </c>
    </row>
    <row r="71" spans="1:26" s="27" customFormat="1" outlineLevel="1" collapsed="1" x14ac:dyDescent="0.3">
      <c r="A71" s="28"/>
      <c r="B71" s="14" t="str">
        <f>CONCATENATE("     ","Bank/card Fees                                    ")</f>
        <v xml:space="preserve">     Bank/card Fees                                    </v>
      </c>
      <c r="C71" s="14"/>
      <c r="D71" s="1">
        <f>SUM(OSRRefD22_4x_0)</f>
        <v>3961.88</v>
      </c>
      <c r="E71" s="1"/>
      <c r="F71" s="5">
        <f t="shared" si="28"/>
        <v>1.7967854797195187E-2</v>
      </c>
      <c r="G71" s="1"/>
      <c r="H71" s="1">
        <f>SUM(OSRRefH22_4x_0)</f>
        <v>11242</v>
      </c>
      <c r="I71" s="1"/>
      <c r="J71" s="5">
        <f t="shared" si="29"/>
        <v>3.4042630506339461E-2</v>
      </c>
      <c r="K71" s="1"/>
      <c r="L71" s="1">
        <f t="shared" si="30"/>
        <v>-7280.12</v>
      </c>
      <c r="M71" s="1"/>
      <c r="N71" s="5">
        <f t="shared" si="31"/>
        <v>-0.64758228073296564</v>
      </c>
      <c r="O71" s="14"/>
      <c r="P71" s="1">
        <f>SUM(OSRRefP22_4x_0)</f>
        <v>3961.88</v>
      </c>
      <c r="Q71" s="1"/>
      <c r="R71" s="5">
        <f t="shared" si="32"/>
        <v>1.7967854797195187E-2</v>
      </c>
      <c r="S71" s="1"/>
      <c r="T71" s="1">
        <f>SUM(OSRRefT22_4x_0)</f>
        <v>11242</v>
      </c>
      <c r="U71" s="1"/>
      <c r="V71" s="5">
        <f t="shared" si="33"/>
        <v>3.4042630506339461E-2</v>
      </c>
      <c r="W71" s="1"/>
      <c r="X71" s="1">
        <f t="shared" si="34"/>
        <v>-7280.12</v>
      </c>
      <c r="Y71" s="1"/>
      <c r="Z71" s="5">
        <f t="shared" si="35"/>
        <v>-0.64758228073296564</v>
      </c>
    </row>
    <row r="72" spans="1:26" s="24" customFormat="1" hidden="1" outlineLevel="2" x14ac:dyDescent="0.3">
      <c r="A72" s="29"/>
      <c r="B72" s="11" t="str">
        <f>CONCATENATE("          ", "6381", " - ", "BANK/CREDIT CARD FEES")</f>
        <v xml:space="preserve">          6381 - BANK/CREDIT CARD FEES</v>
      </c>
      <c r="C72" s="11"/>
      <c r="D72" s="8">
        <v>3961.88</v>
      </c>
      <c r="E72" s="3"/>
      <c r="F72" s="7">
        <f t="shared" si="28"/>
        <v>1.7967854797195187E-2</v>
      </c>
      <c r="G72" s="3"/>
      <c r="H72" s="8">
        <v>11242</v>
      </c>
      <c r="I72" s="3"/>
      <c r="J72" s="7">
        <f t="shared" si="29"/>
        <v>3.4042630506339461E-2</v>
      </c>
      <c r="K72" s="3"/>
      <c r="L72" s="8">
        <f t="shared" si="30"/>
        <v>-7280.12</v>
      </c>
      <c r="M72" s="3"/>
      <c r="N72" s="7">
        <f t="shared" si="31"/>
        <v>-0.64758228073296564</v>
      </c>
      <c r="O72" s="11"/>
      <c r="P72" s="8">
        <v>3961.88</v>
      </c>
      <c r="Q72" s="3"/>
      <c r="R72" s="7">
        <f t="shared" si="32"/>
        <v>1.7967854797195187E-2</v>
      </c>
      <c r="S72" s="3"/>
      <c r="T72" s="8">
        <v>11242</v>
      </c>
      <c r="U72" s="3"/>
      <c r="V72" s="7">
        <f t="shared" si="33"/>
        <v>3.4042630506339461E-2</v>
      </c>
      <c r="W72" s="3"/>
      <c r="X72" s="8">
        <f t="shared" si="34"/>
        <v>-7280.12</v>
      </c>
      <c r="Y72" s="3"/>
      <c r="Z72" s="7">
        <f t="shared" si="35"/>
        <v>-0.64758228073296564</v>
      </c>
    </row>
    <row r="73" spans="1:26" s="27" customFormat="1" outlineLevel="1" collapsed="1" x14ac:dyDescent="0.3">
      <c r="A73" s="28"/>
      <c r="B73" s="14" t="str">
        <f>CONCATENATE("     ","Depreciation                                      ")</f>
        <v xml:space="preserve">     Depreciation                                      </v>
      </c>
      <c r="C73" s="14"/>
      <c r="D73" s="1">
        <f>SUM(OSRRefD22_5x_0)</f>
        <v>30720.68</v>
      </c>
      <c r="E73" s="1"/>
      <c r="F73" s="5">
        <f t="shared" si="28"/>
        <v>0.13932393649254854</v>
      </c>
      <c r="G73" s="1"/>
      <c r="H73" s="1">
        <f>SUM(OSRRefH22_5x_0)</f>
        <v>30600</v>
      </c>
      <c r="I73" s="1"/>
      <c r="J73" s="5">
        <f t="shared" si="29"/>
        <v>9.2661847846823298E-2</v>
      </c>
      <c r="K73" s="1"/>
      <c r="L73" s="1">
        <f t="shared" si="30"/>
        <v>120.68000000000029</v>
      </c>
      <c r="M73" s="1"/>
      <c r="N73" s="5">
        <f t="shared" si="31"/>
        <v>3.943790849673212E-3</v>
      </c>
      <c r="O73" s="14"/>
      <c r="P73" s="1">
        <f>SUM(OSRRefP22_5x_0)</f>
        <v>30720.68</v>
      </c>
      <c r="Q73" s="1"/>
      <c r="R73" s="5">
        <f t="shared" si="32"/>
        <v>0.13932393649254854</v>
      </c>
      <c r="S73" s="1"/>
      <c r="T73" s="1">
        <f>SUM(OSRRefT22_5x_0)</f>
        <v>30600</v>
      </c>
      <c r="U73" s="1"/>
      <c r="V73" s="5">
        <f t="shared" si="33"/>
        <v>9.2661847846823298E-2</v>
      </c>
      <c r="W73" s="1"/>
      <c r="X73" s="1">
        <f t="shared" si="34"/>
        <v>120.68000000000029</v>
      </c>
      <c r="Y73" s="1"/>
      <c r="Z73" s="5">
        <f t="shared" si="35"/>
        <v>3.943790849673212E-3</v>
      </c>
    </row>
    <row r="74" spans="1:26" s="24" customFormat="1" hidden="1" outlineLevel="2" x14ac:dyDescent="0.3">
      <c r="A74" s="29"/>
      <c r="B74" s="11" t="str">
        <f>CONCATENATE("          ", "6321", " - ", "BUILDING DEPRECIATION")</f>
        <v xml:space="preserve">          6321 - BUILDING DEPRECIATION</v>
      </c>
      <c r="C74" s="11"/>
      <c r="D74" s="8">
        <v>16396.52</v>
      </c>
      <c r="E74" s="3"/>
      <c r="F74" s="7">
        <f t="shared" si="28"/>
        <v>7.4361235206343149E-2</v>
      </c>
      <c r="G74" s="3"/>
      <c r="H74" s="8"/>
      <c r="I74" s="3"/>
      <c r="J74" s="7">
        <f t="shared" si="29"/>
        <v>0</v>
      </c>
      <c r="K74" s="3"/>
      <c r="L74" s="8">
        <f t="shared" si="30"/>
        <v>16396.52</v>
      </c>
      <c r="M74" s="3"/>
      <c r="N74" s="7">
        <f t="shared" si="31"/>
        <v>0</v>
      </c>
      <c r="O74" s="11"/>
      <c r="P74" s="8">
        <v>16396.52</v>
      </c>
      <c r="Q74" s="3"/>
      <c r="R74" s="7">
        <f t="shared" si="32"/>
        <v>7.4361235206343149E-2</v>
      </c>
      <c r="S74" s="3"/>
      <c r="T74" s="8"/>
      <c r="U74" s="3"/>
      <c r="V74" s="7">
        <f t="shared" si="33"/>
        <v>0</v>
      </c>
      <c r="W74" s="3"/>
      <c r="X74" s="8">
        <f t="shared" si="34"/>
        <v>16396.52</v>
      </c>
      <c r="Y74" s="3"/>
      <c r="Z74" s="7">
        <f t="shared" si="35"/>
        <v>0</v>
      </c>
    </row>
    <row r="75" spans="1:26" s="24" customFormat="1" hidden="1" outlineLevel="2" x14ac:dyDescent="0.3">
      <c r="A75" s="29"/>
      <c r="B75" s="11" t="str">
        <f>CONCATENATE("          ", "6322", " - ", "EQUIPMENT DEPRECIATION EXPENSE")</f>
        <v xml:space="preserve">          6322 - EQUIPMENT DEPRECIATION EXPENSE</v>
      </c>
      <c r="C75" s="11"/>
      <c r="D75" s="8">
        <v>14324.16</v>
      </c>
      <c r="E75" s="3"/>
      <c r="F75" s="7">
        <f t="shared" si="28"/>
        <v>6.496270128620539E-2</v>
      </c>
      <c r="G75" s="3"/>
      <c r="H75" s="8">
        <v>30600</v>
      </c>
      <c r="I75" s="3"/>
      <c r="J75" s="7">
        <f t="shared" si="29"/>
        <v>9.2661847846823298E-2</v>
      </c>
      <c r="K75" s="3"/>
      <c r="L75" s="8">
        <f t="shared" si="30"/>
        <v>-16275.84</v>
      </c>
      <c r="M75" s="3"/>
      <c r="N75" s="7">
        <f t="shared" si="31"/>
        <v>-0.53189019607843135</v>
      </c>
      <c r="O75" s="11"/>
      <c r="P75" s="8">
        <v>14324.16</v>
      </c>
      <c r="Q75" s="3"/>
      <c r="R75" s="7">
        <f t="shared" si="32"/>
        <v>6.496270128620539E-2</v>
      </c>
      <c r="S75" s="3"/>
      <c r="T75" s="8">
        <v>30600</v>
      </c>
      <c r="U75" s="3"/>
      <c r="V75" s="7">
        <f t="shared" si="33"/>
        <v>9.2661847846823298E-2</v>
      </c>
      <c r="W75" s="3"/>
      <c r="X75" s="8">
        <f t="shared" si="34"/>
        <v>-16275.84</v>
      </c>
      <c r="Y75" s="3"/>
      <c r="Z75" s="7">
        <f t="shared" si="35"/>
        <v>-0.53189019607843135</v>
      </c>
    </row>
    <row r="76" spans="1:26" s="27" customFormat="1" outlineLevel="1" collapsed="1" x14ac:dyDescent="0.3">
      <c r="A76" s="28"/>
      <c r="B76" s="14" t="str">
        <f>CONCATENATE("     ","Discounts and Markdowns                           ")</f>
        <v xml:space="preserve">     Discounts and Markdowns                           </v>
      </c>
      <c r="C76" s="14"/>
      <c r="D76" s="1">
        <f>SUM(OSRRefD22_6x_0)</f>
        <v>-0.68</v>
      </c>
      <c r="E76" s="1"/>
      <c r="F76" s="5">
        <f t="shared" ref="F76:F78" si="36">IF(D$12=0,0,D76/D$12)</f>
        <v>-3.0839251219352245E-6</v>
      </c>
      <c r="G76" s="1"/>
      <c r="H76" s="1">
        <f>SUM(OSRRefH22_6x_0)</f>
        <v>0</v>
      </c>
      <c r="I76" s="1"/>
      <c r="J76" s="5">
        <f t="shared" ref="J76:J78" si="37">IF(H$12=0,0,H76/H$12)</f>
        <v>0</v>
      </c>
      <c r="K76" s="1"/>
      <c r="L76" s="1">
        <f t="shared" ref="L76:L78" si="38">+D76-H76</f>
        <v>-0.68</v>
      </c>
      <c r="M76" s="1"/>
      <c r="N76" s="5">
        <f t="shared" ref="N76:N78" si="39">IF(H76=0,0,L76/H76)</f>
        <v>0</v>
      </c>
      <c r="O76" s="14"/>
      <c r="P76" s="1">
        <f>SUM(OSRRefP22_6x_0)</f>
        <v>-0.68</v>
      </c>
      <c r="Q76" s="1"/>
      <c r="R76" s="5">
        <f t="shared" ref="R76:R78" si="40">IF(P$12=0,0,P76/P$12)</f>
        <v>-3.0839251219352245E-6</v>
      </c>
      <c r="S76" s="1"/>
      <c r="T76" s="1">
        <f>SUM(OSRRefT22_6x_0)</f>
        <v>0</v>
      </c>
      <c r="U76" s="1"/>
      <c r="V76" s="5">
        <f t="shared" ref="V76:V78" si="41">IF(T$12=0,0,T76/T$12)</f>
        <v>0</v>
      </c>
      <c r="W76" s="1"/>
      <c r="X76" s="1">
        <f t="shared" ref="X76:X78" si="42">+P76-T76</f>
        <v>-0.68</v>
      </c>
      <c r="Y76" s="1"/>
      <c r="Z76" s="5">
        <f t="shared" ref="Z76:Z78" si="43">IF(T76=0,0,X76/T76)</f>
        <v>0</v>
      </c>
    </row>
    <row r="77" spans="1:26" s="24" customFormat="1" hidden="1" outlineLevel="2" x14ac:dyDescent="0.3">
      <c r="A77" s="29"/>
      <c r="B77" s="11" t="str">
        <f>CONCATENATE("          ", "6382", " - ", "DISCOUNTS/MARK DOWNS")</f>
        <v xml:space="preserve">          6382 - DISCOUNTS/MARK DOWNS</v>
      </c>
      <c r="C77" s="11"/>
      <c r="D77" s="8"/>
      <c r="E77" s="3"/>
      <c r="F77" s="7">
        <f t="shared" si="36"/>
        <v>0</v>
      </c>
      <c r="G77" s="3"/>
      <c r="H77" s="8">
        <v>0</v>
      </c>
      <c r="I77" s="3"/>
      <c r="J77" s="7">
        <f t="shared" si="37"/>
        <v>0</v>
      </c>
      <c r="K77" s="3"/>
      <c r="L77" s="8">
        <f t="shared" si="38"/>
        <v>0</v>
      </c>
      <c r="M77" s="3"/>
      <c r="N77" s="7">
        <f t="shared" si="39"/>
        <v>0</v>
      </c>
      <c r="O77" s="11"/>
      <c r="P77" s="8"/>
      <c r="Q77" s="3"/>
      <c r="R77" s="7">
        <f t="shared" si="40"/>
        <v>0</v>
      </c>
      <c r="S77" s="3"/>
      <c r="T77" s="8">
        <v>0</v>
      </c>
      <c r="U77" s="3"/>
      <c r="V77" s="7">
        <f t="shared" si="41"/>
        <v>0</v>
      </c>
      <c r="W77" s="3"/>
      <c r="X77" s="8">
        <f t="shared" si="42"/>
        <v>0</v>
      </c>
      <c r="Y77" s="3"/>
      <c r="Z77" s="7">
        <f t="shared" si="43"/>
        <v>0</v>
      </c>
    </row>
    <row r="78" spans="1:26" s="24" customFormat="1" hidden="1" outlineLevel="2" x14ac:dyDescent="0.3">
      <c r="A78" s="29"/>
      <c r="B78" s="11" t="str">
        <f>CONCATENATE("          ", "9175", " - ", "EARNED DISCOUNTS")</f>
        <v xml:space="preserve">          9175 - EARNED DISCOUNTS</v>
      </c>
      <c r="C78" s="11"/>
      <c r="D78" s="8">
        <v>-0.68</v>
      </c>
      <c r="E78" s="3"/>
      <c r="F78" s="7">
        <f t="shared" si="36"/>
        <v>-3.0839251219352245E-6</v>
      </c>
      <c r="G78" s="3"/>
      <c r="H78" s="8"/>
      <c r="I78" s="3"/>
      <c r="J78" s="7">
        <f t="shared" si="37"/>
        <v>0</v>
      </c>
      <c r="K78" s="3"/>
      <c r="L78" s="8">
        <f t="shared" si="38"/>
        <v>-0.68</v>
      </c>
      <c r="M78" s="3"/>
      <c r="N78" s="7">
        <f t="shared" si="39"/>
        <v>0</v>
      </c>
      <c r="O78" s="11"/>
      <c r="P78" s="8">
        <v>-0.68</v>
      </c>
      <c r="Q78" s="3"/>
      <c r="R78" s="7">
        <f t="shared" si="40"/>
        <v>-3.0839251219352245E-6</v>
      </c>
      <c r="S78" s="3"/>
      <c r="T78" s="8"/>
      <c r="U78" s="3"/>
      <c r="V78" s="7">
        <f t="shared" si="41"/>
        <v>0</v>
      </c>
      <c r="W78" s="3"/>
      <c r="X78" s="8">
        <f t="shared" si="42"/>
        <v>-0.68</v>
      </c>
      <c r="Y78" s="3"/>
      <c r="Z78" s="7">
        <f t="shared" si="43"/>
        <v>0</v>
      </c>
    </row>
    <row r="79" spans="1:26" s="27" customFormat="1" outlineLevel="1" collapsed="1" x14ac:dyDescent="0.3">
      <c r="A79" s="28"/>
      <c r="B79" s="14" t="str">
        <f>CONCATENATE("     ","Donations                                         ")</f>
        <v xml:space="preserve">     Donations                                         </v>
      </c>
      <c r="C79" s="14"/>
      <c r="D79" s="1">
        <f>SUM(OSRRefD22_7x_0)</f>
        <v>0</v>
      </c>
      <c r="E79" s="1"/>
      <c r="F79" s="5">
        <f t="shared" ref="F79:F87" si="44">IF(D$12=0,0,D79/D$12)</f>
        <v>0</v>
      </c>
      <c r="G79" s="1"/>
      <c r="H79" s="1">
        <f>SUM(OSRRefH22_7x_0)</f>
        <v>1250</v>
      </c>
      <c r="I79" s="1"/>
      <c r="J79" s="5">
        <f t="shared" ref="J79:J87" si="45">IF(H$12=0,0,H79/H$12)</f>
        <v>3.7852062028931087E-3</v>
      </c>
      <c r="K79" s="1"/>
      <c r="L79" s="1">
        <f t="shared" ref="L79:L87" si="46">+D79-H79</f>
        <v>-1250</v>
      </c>
      <c r="M79" s="1"/>
      <c r="N79" s="5">
        <f t="shared" ref="N79:N87" si="47">IF(H79=0,0,L79/H79)</f>
        <v>-1</v>
      </c>
      <c r="O79" s="14"/>
      <c r="P79" s="1">
        <f>SUM(OSRRefP22_7x_0)</f>
        <v>0</v>
      </c>
      <c r="Q79" s="1"/>
      <c r="R79" s="5">
        <f t="shared" ref="R79:R87" si="48">IF(P$12=0,0,P79/P$12)</f>
        <v>0</v>
      </c>
      <c r="S79" s="1"/>
      <c r="T79" s="1">
        <f>SUM(OSRRefT22_7x_0)</f>
        <v>1250</v>
      </c>
      <c r="U79" s="1"/>
      <c r="V79" s="5">
        <f t="shared" ref="V79:V87" si="49">IF(T$12=0,0,T79/T$12)</f>
        <v>3.7852062028931087E-3</v>
      </c>
      <c r="W79" s="1"/>
      <c r="X79" s="1">
        <f t="shared" ref="X79:X87" si="50">+P79-T79</f>
        <v>-1250</v>
      </c>
      <c r="Y79" s="1"/>
      <c r="Z79" s="5">
        <f t="shared" ref="Z79:Z87" si="51">IF(T79=0,0,X79/T79)</f>
        <v>-1</v>
      </c>
    </row>
    <row r="80" spans="1:26" s="24" customFormat="1" hidden="1" outlineLevel="2" x14ac:dyDescent="0.3">
      <c r="A80" s="29"/>
      <c r="B80" s="11" t="str">
        <f>CONCATENATE("          ", "6399", " - ", "DONATION-ON CAMPUS")</f>
        <v xml:space="preserve">          6399 - DONATION-ON CAMPUS</v>
      </c>
      <c r="C80" s="11"/>
      <c r="D80" s="8"/>
      <c r="E80" s="3"/>
      <c r="F80" s="7">
        <f t="shared" si="44"/>
        <v>0</v>
      </c>
      <c r="G80" s="3"/>
      <c r="H80" s="8">
        <v>1250</v>
      </c>
      <c r="I80" s="3"/>
      <c r="J80" s="7">
        <f t="shared" si="45"/>
        <v>3.7852062028931087E-3</v>
      </c>
      <c r="K80" s="3"/>
      <c r="L80" s="8">
        <f t="shared" si="46"/>
        <v>-1250</v>
      </c>
      <c r="M80" s="3"/>
      <c r="N80" s="7">
        <f t="shared" si="47"/>
        <v>-1</v>
      </c>
      <c r="O80" s="11"/>
      <c r="P80" s="8"/>
      <c r="Q80" s="3"/>
      <c r="R80" s="7">
        <f t="shared" si="48"/>
        <v>0</v>
      </c>
      <c r="S80" s="3"/>
      <c r="T80" s="8">
        <v>1250</v>
      </c>
      <c r="U80" s="3"/>
      <c r="V80" s="7">
        <f t="shared" si="49"/>
        <v>3.7852062028931087E-3</v>
      </c>
      <c r="W80" s="3"/>
      <c r="X80" s="8">
        <f t="shared" si="50"/>
        <v>-1250</v>
      </c>
      <c r="Y80" s="3"/>
      <c r="Z80" s="7">
        <f t="shared" si="51"/>
        <v>-1</v>
      </c>
    </row>
    <row r="81" spans="1:26" s="27" customFormat="1" outlineLevel="1" collapsed="1" x14ac:dyDescent="0.3">
      <c r="A81" s="28"/>
      <c r="B81" s="14" t="str">
        <f>CONCATENATE("     ","Employees' Appreciation                           ")</f>
        <v xml:space="preserve">     Employees' Appreciation                           </v>
      </c>
      <c r="C81" s="14"/>
      <c r="D81" s="1">
        <f>SUM(OSRRefD22_8x_0)</f>
        <v>537.36</v>
      </c>
      <c r="E81" s="1"/>
      <c r="F81" s="5">
        <f t="shared" si="44"/>
        <v>2.4370264757692826E-3</v>
      </c>
      <c r="G81" s="1"/>
      <c r="H81" s="1">
        <f>SUM(OSRRefH22_8x_0)</f>
        <v>225</v>
      </c>
      <c r="I81" s="1"/>
      <c r="J81" s="5">
        <f t="shared" si="45"/>
        <v>6.8133711652075958E-4</v>
      </c>
      <c r="K81" s="1"/>
      <c r="L81" s="1">
        <f t="shared" si="46"/>
        <v>312.36</v>
      </c>
      <c r="M81" s="1"/>
      <c r="N81" s="5">
        <f t="shared" si="47"/>
        <v>1.3882666666666668</v>
      </c>
      <c r="O81" s="14"/>
      <c r="P81" s="1">
        <f>SUM(OSRRefP22_8x_0)</f>
        <v>537.36</v>
      </c>
      <c r="Q81" s="1"/>
      <c r="R81" s="5">
        <f t="shared" si="48"/>
        <v>2.4370264757692826E-3</v>
      </c>
      <c r="S81" s="1"/>
      <c r="T81" s="1">
        <f>SUM(OSRRefT22_8x_0)</f>
        <v>225</v>
      </c>
      <c r="U81" s="1"/>
      <c r="V81" s="5">
        <f t="shared" si="49"/>
        <v>6.8133711652075958E-4</v>
      </c>
      <c r="W81" s="1"/>
      <c r="X81" s="1">
        <f t="shared" si="50"/>
        <v>312.36</v>
      </c>
      <c r="Y81" s="1"/>
      <c r="Z81" s="5">
        <f t="shared" si="51"/>
        <v>1.3882666666666668</v>
      </c>
    </row>
    <row r="82" spans="1:26" s="24" customFormat="1" hidden="1" outlineLevel="2" x14ac:dyDescent="0.3">
      <c r="A82" s="29"/>
      <c r="B82" s="11" t="str">
        <f>CONCATENATE("          ", "6277", " - ", "EMPLOYEE APPRECIATION")</f>
        <v xml:space="preserve">          6277 - EMPLOYEE APPRECIATION</v>
      </c>
      <c r="C82" s="11"/>
      <c r="D82" s="8">
        <v>537.36</v>
      </c>
      <c r="E82" s="3"/>
      <c r="F82" s="7">
        <f t="shared" si="44"/>
        <v>2.4370264757692826E-3</v>
      </c>
      <c r="G82" s="3"/>
      <c r="H82" s="8">
        <v>225</v>
      </c>
      <c r="I82" s="3"/>
      <c r="J82" s="7">
        <f t="shared" si="45"/>
        <v>6.8133711652075958E-4</v>
      </c>
      <c r="K82" s="3"/>
      <c r="L82" s="8">
        <f t="shared" si="46"/>
        <v>312.36</v>
      </c>
      <c r="M82" s="3"/>
      <c r="N82" s="7">
        <f t="shared" si="47"/>
        <v>1.3882666666666668</v>
      </c>
      <c r="O82" s="11"/>
      <c r="P82" s="8">
        <v>537.36</v>
      </c>
      <c r="Q82" s="3"/>
      <c r="R82" s="7">
        <f t="shared" si="48"/>
        <v>2.4370264757692826E-3</v>
      </c>
      <c r="S82" s="3"/>
      <c r="T82" s="8">
        <v>225</v>
      </c>
      <c r="U82" s="3"/>
      <c r="V82" s="7">
        <f t="shared" si="49"/>
        <v>6.8133711652075958E-4</v>
      </c>
      <c r="W82" s="3"/>
      <c r="X82" s="8">
        <f t="shared" si="50"/>
        <v>312.36</v>
      </c>
      <c r="Y82" s="3"/>
      <c r="Z82" s="7">
        <f t="shared" si="51"/>
        <v>1.3882666666666668</v>
      </c>
    </row>
    <row r="83" spans="1:26" s="27" customFormat="1" outlineLevel="1" collapsed="1" x14ac:dyDescent="0.3">
      <c r="A83" s="28"/>
      <c r="B83" s="14" t="str">
        <f>CONCATENATE("     ","Equipment Rental                                  ")</f>
        <v xml:space="preserve">     Equipment Rental                                  </v>
      </c>
      <c r="C83" s="14"/>
      <c r="D83" s="1">
        <f>SUM(OSRRefD22_9x_0)</f>
        <v>1388.16</v>
      </c>
      <c r="E83" s="1"/>
      <c r="F83" s="5">
        <f t="shared" si="44"/>
        <v>6.2955610253905897E-3</v>
      </c>
      <c r="G83" s="1"/>
      <c r="H83" s="1">
        <f>SUM(OSRRefH22_9x_0)</f>
        <v>1600</v>
      </c>
      <c r="I83" s="1"/>
      <c r="J83" s="5">
        <f t="shared" si="45"/>
        <v>4.8450639397031791E-3</v>
      </c>
      <c r="K83" s="1"/>
      <c r="L83" s="1">
        <f t="shared" si="46"/>
        <v>-211.83999999999992</v>
      </c>
      <c r="M83" s="1"/>
      <c r="N83" s="5">
        <f t="shared" si="47"/>
        <v>-0.13239999999999996</v>
      </c>
      <c r="O83" s="14"/>
      <c r="P83" s="1">
        <f>SUM(OSRRefP22_9x_0)</f>
        <v>1388.16</v>
      </c>
      <c r="Q83" s="1"/>
      <c r="R83" s="5">
        <f t="shared" si="48"/>
        <v>6.2955610253905897E-3</v>
      </c>
      <c r="S83" s="1"/>
      <c r="T83" s="1">
        <f>SUM(OSRRefT22_9x_0)</f>
        <v>1600</v>
      </c>
      <c r="U83" s="1"/>
      <c r="V83" s="5">
        <f t="shared" si="49"/>
        <v>4.8450639397031791E-3</v>
      </c>
      <c r="W83" s="1"/>
      <c r="X83" s="1">
        <f t="shared" si="50"/>
        <v>-211.83999999999992</v>
      </c>
      <c r="Y83" s="1"/>
      <c r="Z83" s="5">
        <f t="shared" si="51"/>
        <v>-0.13239999999999996</v>
      </c>
    </row>
    <row r="84" spans="1:26" s="24" customFormat="1" hidden="1" outlineLevel="2" x14ac:dyDescent="0.3">
      <c r="A84" s="29"/>
      <c r="B84" s="11" t="str">
        <f>CONCATENATE("          ", "6351", " - ", "EQUIPMENT RENTAL")</f>
        <v xml:space="preserve">          6351 - EQUIPMENT RENTAL</v>
      </c>
      <c r="C84" s="11"/>
      <c r="D84" s="8">
        <v>1388.16</v>
      </c>
      <c r="E84" s="3"/>
      <c r="F84" s="7">
        <f t="shared" si="44"/>
        <v>6.2955610253905897E-3</v>
      </c>
      <c r="G84" s="3"/>
      <c r="H84" s="8">
        <v>1600</v>
      </c>
      <c r="I84" s="3"/>
      <c r="J84" s="7">
        <f t="shared" si="45"/>
        <v>4.8450639397031791E-3</v>
      </c>
      <c r="K84" s="3"/>
      <c r="L84" s="8">
        <f t="shared" si="46"/>
        <v>-211.83999999999992</v>
      </c>
      <c r="M84" s="3"/>
      <c r="N84" s="7">
        <f t="shared" si="47"/>
        <v>-0.13239999999999996</v>
      </c>
      <c r="O84" s="11"/>
      <c r="P84" s="8">
        <v>1388.16</v>
      </c>
      <c r="Q84" s="3"/>
      <c r="R84" s="7">
        <f t="shared" si="48"/>
        <v>6.2955610253905897E-3</v>
      </c>
      <c r="S84" s="3"/>
      <c r="T84" s="8">
        <v>1600</v>
      </c>
      <c r="U84" s="3"/>
      <c r="V84" s="7">
        <f t="shared" si="49"/>
        <v>4.8450639397031791E-3</v>
      </c>
      <c r="W84" s="3"/>
      <c r="X84" s="8">
        <f t="shared" si="50"/>
        <v>-211.83999999999992</v>
      </c>
      <c r="Y84" s="3"/>
      <c r="Z84" s="7">
        <f t="shared" si="51"/>
        <v>-0.13239999999999996</v>
      </c>
    </row>
    <row r="85" spans="1:26" s="27" customFormat="1" outlineLevel="1" collapsed="1" x14ac:dyDescent="0.3">
      <c r="A85" s="28"/>
      <c r="B85" s="14" t="str">
        <f>CONCATENATE("     ","Freight out/Postage                               ")</f>
        <v xml:space="preserve">     Freight out/Postage                               </v>
      </c>
      <c r="C85" s="14"/>
      <c r="D85" s="1">
        <f>SUM(OSRRefD22_10x_0)</f>
        <v>3589.6099999999997</v>
      </c>
      <c r="E85" s="1"/>
      <c r="F85" s="5">
        <f t="shared" si="44"/>
        <v>1.6279541848455734E-2</v>
      </c>
      <c r="G85" s="1"/>
      <c r="H85" s="1">
        <f>SUM(OSRRefH22_10x_0)</f>
        <v>5450</v>
      </c>
      <c r="I85" s="1"/>
      <c r="J85" s="5">
        <f t="shared" si="45"/>
        <v>1.6503499044613953E-2</v>
      </c>
      <c r="K85" s="1"/>
      <c r="L85" s="1">
        <f t="shared" si="46"/>
        <v>-1860.3900000000003</v>
      </c>
      <c r="M85" s="1"/>
      <c r="N85" s="5">
        <f t="shared" si="47"/>
        <v>-0.34135596330275236</v>
      </c>
      <c r="O85" s="14"/>
      <c r="P85" s="1">
        <f>SUM(OSRRefP22_10x_0)</f>
        <v>3589.6099999999997</v>
      </c>
      <c r="Q85" s="1"/>
      <c r="R85" s="5">
        <f t="shared" si="48"/>
        <v>1.6279541848455734E-2</v>
      </c>
      <c r="S85" s="1"/>
      <c r="T85" s="1">
        <f>SUM(OSRRefT22_10x_0)</f>
        <v>5450</v>
      </c>
      <c r="U85" s="1"/>
      <c r="V85" s="5">
        <f t="shared" si="49"/>
        <v>1.6503499044613953E-2</v>
      </c>
      <c r="W85" s="1"/>
      <c r="X85" s="1">
        <f t="shared" si="50"/>
        <v>-1860.3900000000003</v>
      </c>
      <c r="Y85" s="1"/>
      <c r="Z85" s="5">
        <f t="shared" si="51"/>
        <v>-0.34135596330275236</v>
      </c>
    </row>
    <row r="86" spans="1:26" s="24" customFormat="1" hidden="1" outlineLevel="2" x14ac:dyDescent="0.3">
      <c r="A86" s="29"/>
      <c r="B86" s="11" t="str">
        <f>CONCATENATE("          ", "6305", " - ", "FREIGHT OUT")</f>
        <v xml:space="preserve">          6305 - FREIGHT OUT</v>
      </c>
      <c r="C86" s="11"/>
      <c r="D86" s="8">
        <v>10889.5</v>
      </c>
      <c r="E86" s="3"/>
      <c r="F86" s="7">
        <f t="shared" si="44"/>
        <v>4.9385886198990626E-2</v>
      </c>
      <c r="G86" s="3"/>
      <c r="H86" s="8">
        <v>9350</v>
      </c>
      <c r="I86" s="3"/>
      <c r="J86" s="7">
        <f t="shared" si="45"/>
        <v>2.8313342397640454E-2</v>
      </c>
      <c r="K86" s="3"/>
      <c r="L86" s="8">
        <f t="shared" si="46"/>
        <v>1539.5</v>
      </c>
      <c r="M86" s="3"/>
      <c r="N86" s="7">
        <f t="shared" si="47"/>
        <v>0.16465240641711229</v>
      </c>
      <c r="O86" s="11"/>
      <c r="P86" s="8">
        <v>10889.5</v>
      </c>
      <c r="Q86" s="3"/>
      <c r="R86" s="7">
        <f t="shared" si="48"/>
        <v>4.9385886198990626E-2</v>
      </c>
      <c r="S86" s="3"/>
      <c r="T86" s="8">
        <v>9350</v>
      </c>
      <c r="U86" s="3"/>
      <c r="V86" s="7">
        <f t="shared" si="49"/>
        <v>2.8313342397640454E-2</v>
      </c>
      <c r="W86" s="3"/>
      <c r="X86" s="8">
        <f t="shared" si="50"/>
        <v>1539.5</v>
      </c>
      <c r="Y86" s="3"/>
      <c r="Z86" s="7">
        <f t="shared" si="51"/>
        <v>0.16465240641711229</v>
      </c>
    </row>
    <row r="87" spans="1:26" s="24" customFormat="1" hidden="1" outlineLevel="2" x14ac:dyDescent="0.3">
      <c r="A87" s="29"/>
      <c r="B87" s="11" t="str">
        <f>CONCATENATE("          ", "6307", " - ", "POSTAGE")</f>
        <v xml:space="preserve">          6307 - POSTAGE</v>
      </c>
      <c r="C87" s="11"/>
      <c r="D87" s="8">
        <v>-7299.89</v>
      </c>
      <c r="E87" s="3"/>
      <c r="F87" s="7">
        <f t="shared" si="44"/>
        <v>-3.3106344350534889E-2</v>
      </c>
      <c r="G87" s="3"/>
      <c r="H87" s="8">
        <v>-3900</v>
      </c>
      <c r="I87" s="3"/>
      <c r="J87" s="7">
        <f t="shared" si="45"/>
        <v>-1.1809843353026499E-2</v>
      </c>
      <c r="K87" s="3"/>
      <c r="L87" s="8">
        <f t="shared" si="46"/>
        <v>-3399.8900000000003</v>
      </c>
      <c r="M87" s="3"/>
      <c r="N87" s="7">
        <f t="shared" si="47"/>
        <v>0.8717666666666668</v>
      </c>
      <c r="O87" s="11"/>
      <c r="P87" s="8">
        <v>-7299.89</v>
      </c>
      <c r="Q87" s="3"/>
      <c r="R87" s="7">
        <f t="shared" si="48"/>
        <v>-3.3106344350534889E-2</v>
      </c>
      <c r="S87" s="3"/>
      <c r="T87" s="8">
        <v>-3900</v>
      </c>
      <c r="U87" s="3"/>
      <c r="V87" s="7">
        <f t="shared" si="49"/>
        <v>-1.1809843353026499E-2</v>
      </c>
      <c r="W87" s="3"/>
      <c r="X87" s="8">
        <f t="shared" si="50"/>
        <v>-3399.8900000000003</v>
      </c>
      <c r="Y87" s="3"/>
      <c r="Z87" s="7">
        <f t="shared" si="51"/>
        <v>0.8717666666666668</v>
      </c>
    </row>
    <row r="88" spans="1:26" s="27" customFormat="1" outlineLevel="1" collapsed="1" x14ac:dyDescent="0.3">
      <c r="A88" s="28"/>
      <c r="B88" s="14" t="str">
        <f>CONCATENATE("     ","General                                           ")</f>
        <v xml:space="preserve">     General                                           </v>
      </c>
      <c r="C88" s="14"/>
      <c r="D88" s="1">
        <f>SUM(OSRRefD22_11x_0)</f>
        <v>778</v>
      </c>
      <c r="E88" s="1"/>
      <c r="F88" s="5">
        <f t="shared" ref="F88:F90" si="52">IF(D$12=0,0,D88/D$12)</f>
        <v>3.5283731542141241E-3</v>
      </c>
      <c r="G88" s="1"/>
      <c r="H88" s="1">
        <f>SUM(OSRRefH22_11x_0)</f>
        <v>325</v>
      </c>
      <c r="I88" s="1"/>
      <c r="J88" s="5">
        <f t="shared" ref="J88:J90" si="53">IF(H$12=0,0,H88/H$12)</f>
        <v>9.8415361275220833E-4</v>
      </c>
      <c r="K88" s="1"/>
      <c r="L88" s="1">
        <f t="shared" ref="L88:L90" si="54">+D88-H88</f>
        <v>453</v>
      </c>
      <c r="M88" s="1"/>
      <c r="N88" s="5">
        <f t="shared" ref="N88:N90" si="55">IF(H88=0,0,L88/H88)</f>
        <v>1.393846153846154</v>
      </c>
      <c r="O88" s="14"/>
      <c r="P88" s="1">
        <f>SUM(OSRRefP22_11x_0)</f>
        <v>778</v>
      </c>
      <c r="Q88" s="1"/>
      <c r="R88" s="5">
        <f t="shared" ref="R88:R90" si="56">IF(P$12=0,0,P88/P$12)</f>
        <v>3.5283731542141241E-3</v>
      </c>
      <c r="S88" s="1"/>
      <c r="T88" s="1">
        <f>SUM(OSRRefT22_11x_0)</f>
        <v>325</v>
      </c>
      <c r="U88" s="1"/>
      <c r="V88" s="5">
        <f t="shared" ref="V88:V90" si="57">IF(T$12=0,0,T88/T$12)</f>
        <v>9.8415361275220833E-4</v>
      </c>
      <c r="W88" s="1"/>
      <c r="X88" s="1">
        <f t="shared" ref="X88:X90" si="58">+P88-T88</f>
        <v>453</v>
      </c>
      <c r="Y88" s="1"/>
      <c r="Z88" s="5">
        <f t="shared" ref="Z88:Z90" si="59">IF(T88=0,0,X88/T88)</f>
        <v>1.393846153846154</v>
      </c>
    </row>
    <row r="89" spans="1:26" s="24" customFormat="1" hidden="1" outlineLevel="2" x14ac:dyDescent="0.3">
      <c r="A89" s="29"/>
      <c r="B89" s="11" t="str">
        <f>CONCATENATE("          ", "6276", " - ", "PROPERTY TAX")</f>
        <v xml:space="preserve">          6276 - PROPERTY TAX</v>
      </c>
      <c r="C89" s="11"/>
      <c r="D89" s="8"/>
      <c r="E89" s="3"/>
      <c r="F89" s="7">
        <f t="shared" si="52"/>
        <v>0</v>
      </c>
      <c r="G89" s="3"/>
      <c r="H89" s="8">
        <v>125</v>
      </c>
      <c r="I89" s="3"/>
      <c r="J89" s="7">
        <f t="shared" si="53"/>
        <v>3.7852062028931088E-4</v>
      </c>
      <c r="K89" s="3"/>
      <c r="L89" s="8">
        <f t="shared" si="54"/>
        <v>-125</v>
      </c>
      <c r="M89" s="3"/>
      <c r="N89" s="7">
        <f t="shared" si="55"/>
        <v>-1</v>
      </c>
      <c r="O89" s="11"/>
      <c r="P89" s="8"/>
      <c r="Q89" s="3"/>
      <c r="R89" s="7">
        <f t="shared" si="56"/>
        <v>0</v>
      </c>
      <c r="S89" s="3"/>
      <c r="T89" s="8">
        <v>125</v>
      </c>
      <c r="U89" s="3"/>
      <c r="V89" s="7">
        <f t="shared" si="57"/>
        <v>3.7852062028931088E-4</v>
      </c>
      <c r="W89" s="3"/>
      <c r="X89" s="8">
        <f t="shared" si="58"/>
        <v>-125</v>
      </c>
      <c r="Y89" s="3"/>
      <c r="Z89" s="7">
        <f t="shared" si="59"/>
        <v>-1</v>
      </c>
    </row>
    <row r="90" spans="1:26" s="24" customFormat="1" hidden="1" outlineLevel="2" x14ac:dyDescent="0.3">
      <c r="A90" s="29"/>
      <c r="B90" s="11" t="str">
        <f>CONCATENATE("          ", "6279", " - ", "GENERAL EXPENSE")</f>
        <v xml:space="preserve">          6279 - GENERAL EXPENSE</v>
      </c>
      <c r="C90" s="11"/>
      <c r="D90" s="8">
        <v>778</v>
      </c>
      <c r="E90" s="3"/>
      <c r="F90" s="7">
        <f t="shared" si="52"/>
        <v>3.5283731542141241E-3</v>
      </c>
      <c r="G90" s="3"/>
      <c r="H90" s="8">
        <v>200</v>
      </c>
      <c r="I90" s="3"/>
      <c r="J90" s="7">
        <f t="shared" si="53"/>
        <v>6.0563299246289739E-4</v>
      </c>
      <c r="K90" s="3"/>
      <c r="L90" s="8">
        <f t="shared" si="54"/>
        <v>578</v>
      </c>
      <c r="M90" s="3"/>
      <c r="N90" s="7">
        <f t="shared" si="55"/>
        <v>2.89</v>
      </c>
      <c r="O90" s="11"/>
      <c r="P90" s="8">
        <v>778</v>
      </c>
      <c r="Q90" s="3"/>
      <c r="R90" s="7">
        <f t="shared" si="56"/>
        <v>3.5283731542141241E-3</v>
      </c>
      <c r="S90" s="3"/>
      <c r="T90" s="8">
        <v>200</v>
      </c>
      <c r="U90" s="3"/>
      <c r="V90" s="7">
        <f t="shared" si="57"/>
        <v>6.0563299246289739E-4</v>
      </c>
      <c r="W90" s="3"/>
      <c r="X90" s="8">
        <f t="shared" si="58"/>
        <v>578</v>
      </c>
      <c r="Y90" s="3"/>
      <c r="Z90" s="7">
        <f t="shared" si="59"/>
        <v>2.89</v>
      </c>
    </row>
    <row r="91" spans="1:26" s="27" customFormat="1" outlineLevel="1" collapsed="1" x14ac:dyDescent="0.3">
      <c r="A91" s="28"/>
      <c r="B91" s="14" t="str">
        <f>CONCATENATE("     ","Insurance                                         ")</f>
        <v xml:space="preserve">     Insurance                                         </v>
      </c>
      <c r="C91" s="14"/>
      <c r="D91" s="1">
        <f>SUM(OSRRefD22_12x_0)</f>
        <v>5494.57</v>
      </c>
      <c r="E91" s="1"/>
      <c r="F91" s="5">
        <f t="shared" ref="F91:F103" si="60">IF(D$12=0,0,D91/D$12)</f>
        <v>2.4918885966517094E-2</v>
      </c>
      <c r="G91" s="1"/>
      <c r="H91" s="1">
        <f>SUM(OSRRefH22_12x_0)</f>
        <v>5375</v>
      </c>
      <c r="I91" s="1"/>
      <c r="J91" s="5">
        <f t="shared" ref="J91:J103" si="61">IF(H$12=0,0,H91/H$12)</f>
        <v>1.6276386672440368E-2</v>
      </c>
      <c r="K91" s="1"/>
      <c r="L91" s="1">
        <f t="shared" ref="L91:L103" si="62">+D91-H91</f>
        <v>119.56999999999971</v>
      </c>
      <c r="M91" s="1"/>
      <c r="N91" s="5">
        <f t="shared" ref="N91:N103" si="63">IF(H91=0,0,L91/H91)</f>
        <v>2.2245581395348782E-2</v>
      </c>
      <c r="O91" s="14"/>
      <c r="P91" s="1">
        <f>SUM(OSRRefP22_12x_0)</f>
        <v>5494.57</v>
      </c>
      <c r="Q91" s="1"/>
      <c r="R91" s="5">
        <f t="shared" ref="R91:R103" si="64">IF(P$12=0,0,P91/P$12)</f>
        <v>2.4918885966517094E-2</v>
      </c>
      <c r="S91" s="1"/>
      <c r="T91" s="1">
        <f>SUM(OSRRefT22_12x_0)</f>
        <v>5375</v>
      </c>
      <c r="U91" s="1"/>
      <c r="V91" s="5">
        <f t="shared" ref="V91:V103" si="65">IF(T$12=0,0,T91/T$12)</f>
        <v>1.6276386672440368E-2</v>
      </c>
      <c r="W91" s="1"/>
      <c r="X91" s="1">
        <f t="shared" ref="X91:X103" si="66">+P91-T91</f>
        <v>119.56999999999971</v>
      </c>
      <c r="Y91" s="1"/>
      <c r="Z91" s="5">
        <f t="shared" ref="Z91:Z103" si="67">IF(T91=0,0,X91/T91)</f>
        <v>2.2245581395348782E-2</v>
      </c>
    </row>
    <row r="92" spans="1:26" s="24" customFormat="1" hidden="1" outlineLevel="2" x14ac:dyDescent="0.3">
      <c r="A92" s="29"/>
      <c r="B92" s="11" t="str">
        <f>CONCATENATE("          ", "6314", " - ", "LIABILITY INSURANCE")</f>
        <v xml:space="preserve">          6314 - LIABILITY INSURANCE</v>
      </c>
      <c r="C92" s="11"/>
      <c r="D92" s="8">
        <v>5494.57</v>
      </c>
      <c r="E92" s="3"/>
      <c r="F92" s="7">
        <f t="shared" si="60"/>
        <v>2.4918885966517094E-2</v>
      </c>
      <c r="G92" s="3"/>
      <c r="H92" s="8">
        <v>5375</v>
      </c>
      <c r="I92" s="3"/>
      <c r="J92" s="7">
        <f t="shared" si="61"/>
        <v>1.6276386672440368E-2</v>
      </c>
      <c r="K92" s="3"/>
      <c r="L92" s="8">
        <f t="shared" si="62"/>
        <v>119.56999999999971</v>
      </c>
      <c r="M92" s="3"/>
      <c r="N92" s="7">
        <f t="shared" si="63"/>
        <v>2.2245581395348782E-2</v>
      </c>
      <c r="O92" s="11"/>
      <c r="P92" s="8">
        <v>5494.57</v>
      </c>
      <c r="Q92" s="3"/>
      <c r="R92" s="7">
        <f t="shared" si="64"/>
        <v>2.4918885966517094E-2</v>
      </c>
      <c r="S92" s="3"/>
      <c r="T92" s="8">
        <v>5375</v>
      </c>
      <c r="U92" s="3"/>
      <c r="V92" s="7">
        <f t="shared" si="65"/>
        <v>1.6276386672440368E-2</v>
      </c>
      <c r="W92" s="3"/>
      <c r="X92" s="8">
        <f t="shared" si="66"/>
        <v>119.56999999999971</v>
      </c>
      <c r="Y92" s="3"/>
      <c r="Z92" s="7">
        <f t="shared" si="67"/>
        <v>2.2245581395348782E-2</v>
      </c>
    </row>
    <row r="93" spans="1:26" s="27" customFormat="1" outlineLevel="1" collapsed="1" x14ac:dyDescent="0.3">
      <c r="A93" s="28"/>
      <c r="B93" s="14" t="str">
        <f>CONCATENATE("     ","Inventory Adjustment                              ")</f>
        <v xml:space="preserve">     Inventory Adjustment                              </v>
      </c>
      <c r="C93" s="14"/>
      <c r="D93" s="1">
        <f>SUM(OSRRefD22_13x_0)</f>
        <v>5100</v>
      </c>
      <c r="E93" s="1"/>
      <c r="F93" s="5">
        <f t="shared" si="60"/>
        <v>2.3129438414514182E-2</v>
      </c>
      <c r="G93" s="1"/>
      <c r="H93" s="1">
        <f>SUM(OSRRefH22_13x_0)</f>
        <v>5100</v>
      </c>
      <c r="I93" s="1"/>
      <c r="J93" s="5">
        <f t="shared" si="61"/>
        <v>1.5443641307803884E-2</v>
      </c>
      <c r="K93" s="1"/>
      <c r="L93" s="1">
        <f t="shared" si="62"/>
        <v>0</v>
      </c>
      <c r="M93" s="1"/>
      <c r="N93" s="5">
        <f t="shared" si="63"/>
        <v>0</v>
      </c>
      <c r="O93" s="14"/>
      <c r="P93" s="1">
        <f>SUM(OSRRefP22_13x_0)</f>
        <v>5100</v>
      </c>
      <c r="Q93" s="1"/>
      <c r="R93" s="5">
        <f t="shared" si="64"/>
        <v>2.3129438414514182E-2</v>
      </c>
      <c r="S93" s="1"/>
      <c r="T93" s="1">
        <f>SUM(OSRRefT22_13x_0)</f>
        <v>5100</v>
      </c>
      <c r="U93" s="1"/>
      <c r="V93" s="5">
        <f t="shared" si="65"/>
        <v>1.5443641307803884E-2</v>
      </c>
      <c r="W93" s="1"/>
      <c r="X93" s="1">
        <f t="shared" si="66"/>
        <v>0</v>
      </c>
      <c r="Y93" s="1"/>
      <c r="Z93" s="5">
        <f t="shared" si="67"/>
        <v>0</v>
      </c>
    </row>
    <row r="94" spans="1:26" s="24" customFormat="1" hidden="1" outlineLevel="2" x14ac:dyDescent="0.3">
      <c r="A94" s="29"/>
      <c r="B94" s="11" t="str">
        <f>CONCATENATE("          ", "6408", " - ", "INVENTORY ADJUSTMENT")</f>
        <v xml:space="preserve">          6408 - INVENTORY ADJUSTMENT</v>
      </c>
      <c r="C94" s="11"/>
      <c r="D94" s="8">
        <v>5100</v>
      </c>
      <c r="E94" s="3"/>
      <c r="F94" s="7">
        <f t="shared" si="60"/>
        <v>2.3129438414514182E-2</v>
      </c>
      <c r="G94" s="3"/>
      <c r="H94" s="8">
        <v>5100</v>
      </c>
      <c r="I94" s="3"/>
      <c r="J94" s="7">
        <f t="shared" si="61"/>
        <v>1.5443641307803884E-2</v>
      </c>
      <c r="K94" s="3"/>
      <c r="L94" s="8">
        <f t="shared" si="62"/>
        <v>0</v>
      </c>
      <c r="M94" s="3"/>
      <c r="N94" s="7">
        <f t="shared" si="63"/>
        <v>0</v>
      </c>
      <c r="O94" s="11"/>
      <c r="P94" s="8">
        <v>5100</v>
      </c>
      <c r="Q94" s="3"/>
      <c r="R94" s="7">
        <f t="shared" si="64"/>
        <v>2.3129438414514182E-2</v>
      </c>
      <c r="S94" s="3"/>
      <c r="T94" s="8">
        <v>5100</v>
      </c>
      <c r="U94" s="3"/>
      <c r="V94" s="7">
        <f t="shared" si="65"/>
        <v>1.5443641307803884E-2</v>
      </c>
      <c r="W94" s="3"/>
      <c r="X94" s="8">
        <f t="shared" si="66"/>
        <v>0</v>
      </c>
      <c r="Y94" s="3"/>
      <c r="Z94" s="7">
        <f t="shared" si="67"/>
        <v>0</v>
      </c>
    </row>
    <row r="95" spans="1:26" s="27" customFormat="1" outlineLevel="1" collapsed="1" x14ac:dyDescent="0.3">
      <c r="A95" s="28"/>
      <c r="B95" s="14" t="str">
        <f>CONCATENATE("     ","Professional Services                             ")</f>
        <v xml:space="preserve">     Professional Services                             </v>
      </c>
      <c r="C95" s="14"/>
      <c r="D95" s="1">
        <f>SUM(OSRRefD22_14x_0)</f>
        <v>0</v>
      </c>
      <c r="E95" s="1"/>
      <c r="F95" s="5">
        <f t="shared" si="60"/>
        <v>0</v>
      </c>
      <c r="G95" s="1"/>
      <c r="H95" s="1">
        <f>SUM(OSRRefH22_14x_0)</f>
        <v>1000</v>
      </c>
      <c r="I95" s="1"/>
      <c r="J95" s="5">
        <f t="shared" si="61"/>
        <v>3.0281649623144871E-3</v>
      </c>
      <c r="K95" s="1"/>
      <c r="L95" s="1">
        <f t="shared" si="62"/>
        <v>-1000</v>
      </c>
      <c r="M95" s="1"/>
      <c r="N95" s="5">
        <f t="shared" si="63"/>
        <v>-1</v>
      </c>
      <c r="O95" s="14"/>
      <c r="P95" s="1">
        <f>SUM(OSRRefP22_14x_0)</f>
        <v>0</v>
      </c>
      <c r="Q95" s="1"/>
      <c r="R95" s="5">
        <f t="shared" si="64"/>
        <v>0</v>
      </c>
      <c r="S95" s="1"/>
      <c r="T95" s="1">
        <f>SUM(OSRRefT22_14x_0)</f>
        <v>1000</v>
      </c>
      <c r="U95" s="1"/>
      <c r="V95" s="5">
        <f t="shared" si="65"/>
        <v>3.0281649623144871E-3</v>
      </c>
      <c r="W95" s="1"/>
      <c r="X95" s="1">
        <f t="shared" si="66"/>
        <v>-1000</v>
      </c>
      <c r="Y95" s="1"/>
      <c r="Z95" s="5">
        <f t="shared" si="67"/>
        <v>-1</v>
      </c>
    </row>
    <row r="96" spans="1:26" s="24" customFormat="1" hidden="1" outlineLevel="2" x14ac:dyDescent="0.3">
      <c r="A96" s="29"/>
      <c r="B96" s="11" t="str">
        <f>CONCATENATE("          ", "6336", " - ", "PROFESSIONAL SERVICES")</f>
        <v xml:space="preserve">          6336 - PROFESSIONAL SERVICES</v>
      </c>
      <c r="C96" s="11"/>
      <c r="D96" s="8"/>
      <c r="E96" s="3"/>
      <c r="F96" s="7">
        <f t="shared" si="60"/>
        <v>0</v>
      </c>
      <c r="G96" s="3"/>
      <c r="H96" s="8">
        <v>1000</v>
      </c>
      <c r="I96" s="3"/>
      <c r="J96" s="7">
        <f t="shared" si="61"/>
        <v>3.0281649623144871E-3</v>
      </c>
      <c r="K96" s="3"/>
      <c r="L96" s="8">
        <f t="shared" si="62"/>
        <v>-1000</v>
      </c>
      <c r="M96" s="3"/>
      <c r="N96" s="7">
        <f t="shared" si="63"/>
        <v>-1</v>
      </c>
      <c r="O96" s="11"/>
      <c r="P96" s="8"/>
      <c r="Q96" s="3"/>
      <c r="R96" s="7">
        <f t="shared" si="64"/>
        <v>0</v>
      </c>
      <c r="S96" s="3"/>
      <c r="T96" s="8">
        <v>1000</v>
      </c>
      <c r="U96" s="3"/>
      <c r="V96" s="7">
        <f t="shared" si="65"/>
        <v>3.0281649623144871E-3</v>
      </c>
      <c r="W96" s="3"/>
      <c r="X96" s="8">
        <f t="shared" si="66"/>
        <v>-1000</v>
      </c>
      <c r="Y96" s="3"/>
      <c r="Z96" s="7">
        <f t="shared" si="67"/>
        <v>-1</v>
      </c>
    </row>
    <row r="97" spans="1:26" s="27" customFormat="1" outlineLevel="1" collapsed="1" x14ac:dyDescent="0.3">
      <c r="A97" s="28"/>
      <c r="B97" s="14" t="str">
        <f>CONCATENATE("     ","Rent                                              ")</f>
        <v xml:space="preserve">     Rent                                              </v>
      </c>
      <c r="C97" s="14"/>
      <c r="D97" s="1">
        <f>SUM(OSRRefD22_15x_0)</f>
        <v>6100</v>
      </c>
      <c r="E97" s="1"/>
      <c r="F97" s="5">
        <f t="shared" si="60"/>
        <v>2.7664622417360101E-2</v>
      </c>
      <c r="G97" s="1"/>
      <c r="H97" s="1">
        <f>SUM(OSRRefH22_15x_0)</f>
        <v>6100</v>
      </c>
      <c r="I97" s="1"/>
      <c r="J97" s="5">
        <f t="shared" si="61"/>
        <v>1.8471806270118372E-2</v>
      </c>
      <c r="K97" s="1"/>
      <c r="L97" s="1">
        <f t="shared" si="62"/>
        <v>0</v>
      </c>
      <c r="M97" s="1"/>
      <c r="N97" s="5">
        <f t="shared" si="63"/>
        <v>0</v>
      </c>
      <c r="O97" s="14"/>
      <c r="P97" s="1">
        <f>SUM(OSRRefP22_15x_0)</f>
        <v>6100</v>
      </c>
      <c r="Q97" s="1"/>
      <c r="R97" s="5">
        <f t="shared" si="64"/>
        <v>2.7664622417360101E-2</v>
      </c>
      <c r="S97" s="1"/>
      <c r="T97" s="1">
        <f>SUM(OSRRefT22_15x_0)</f>
        <v>6100</v>
      </c>
      <c r="U97" s="1"/>
      <c r="V97" s="5">
        <f t="shared" si="65"/>
        <v>1.8471806270118372E-2</v>
      </c>
      <c r="W97" s="1"/>
      <c r="X97" s="1">
        <f t="shared" si="66"/>
        <v>0</v>
      </c>
      <c r="Y97" s="1"/>
      <c r="Z97" s="5">
        <f t="shared" si="67"/>
        <v>0</v>
      </c>
    </row>
    <row r="98" spans="1:26" s="24" customFormat="1" hidden="1" outlineLevel="2" x14ac:dyDescent="0.3">
      <c r="A98" s="29"/>
      <c r="B98" s="11" t="str">
        <f>CONCATENATE("          ", "6273", " - ", "RENT")</f>
        <v xml:space="preserve">          6273 - RENT</v>
      </c>
      <c r="C98" s="11"/>
      <c r="D98" s="8">
        <v>6100</v>
      </c>
      <c r="E98" s="3"/>
      <c r="F98" s="7">
        <f t="shared" si="60"/>
        <v>2.7664622417360101E-2</v>
      </c>
      <c r="G98" s="3"/>
      <c r="H98" s="8">
        <v>6100</v>
      </c>
      <c r="I98" s="3"/>
      <c r="J98" s="7">
        <f t="shared" si="61"/>
        <v>1.8471806270118372E-2</v>
      </c>
      <c r="K98" s="3"/>
      <c r="L98" s="8">
        <f t="shared" si="62"/>
        <v>0</v>
      </c>
      <c r="M98" s="3"/>
      <c r="N98" s="7">
        <f t="shared" si="63"/>
        <v>0</v>
      </c>
      <c r="O98" s="11"/>
      <c r="P98" s="8">
        <v>6100</v>
      </c>
      <c r="Q98" s="3"/>
      <c r="R98" s="7">
        <f t="shared" si="64"/>
        <v>2.7664622417360101E-2</v>
      </c>
      <c r="S98" s="3"/>
      <c r="T98" s="8">
        <v>6100</v>
      </c>
      <c r="U98" s="3"/>
      <c r="V98" s="7">
        <f t="shared" si="65"/>
        <v>1.8471806270118372E-2</v>
      </c>
      <c r="W98" s="3"/>
      <c r="X98" s="8">
        <f t="shared" si="66"/>
        <v>0</v>
      </c>
      <c r="Y98" s="3"/>
      <c r="Z98" s="7">
        <f t="shared" si="67"/>
        <v>0</v>
      </c>
    </row>
    <row r="99" spans="1:26" s="27" customFormat="1" outlineLevel="1" collapsed="1" x14ac:dyDescent="0.3">
      <c r="A99" s="28"/>
      <c r="B99" s="14" t="str">
        <f>CONCATENATE("     ","Repair and Maintenance                            ")</f>
        <v xml:space="preserve">     Repair and Maintenance                            </v>
      </c>
      <c r="C99" s="14"/>
      <c r="D99" s="1">
        <f>SUM(OSRRefD22_16x_0)</f>
        <v>64762.729999999996</v>
      </c>
      <c r="E99" s="1"/>
      <c r="F99" s="5">
        <f t="shared" si="60"/>
        <v>0.2937108970766294</v>
      </c>
      <c r="G99" s="1"/>
      <c r="H99" s="1">
        <f>SUM(OSRRefH22_16x_0)</f>
        <v>46765</v>
      </c>
      <c r="I99" s="1"/>
      <c r="J99" s="5">
        <f t="shared" si="61"/>
        <v>0.14161213446263698</v>
      </c>
      <c r="K99" s="1"/>
      <c r="L99" s="1">
        <f t="shared" si="62"/>
        <v>17997.729999999996</v>
      </c>
      <c r="M99" s="1"/>
      <c r="N99" s="5">
        <f t="shared" si="63"/>
        <v>0.38485469902705005</v>
      </c>
      <c r="O99" s="14"/>
      <c r="P99" s="1">
        <f>SUM(OSRRefP22_16x_0)</f>
        <v>64762.729999999996</v>
      </c>
      <c r="Q99" s="1"/>
      <c r="R99" s="5">
        <f t="shared" si="64"/>
        <v>0.2937108970766294</v>
      </c>
      <c r="S99" s="1"/>
      <c r="T99" s="1">
        <f>SUM(OSRRefT22_16x_0)</f>
        <v>46765</v>
      </c>
      <c r="U99" s="1"/>
      <c r="V99" s="5">
        <f t="shared" si="65"/>
        <v>0.14161213446263698</v>
      </c>
      <c r="W99" s="1"/>
      <c r="X99" s="1">
        <f t="shared" si="66"/>
        <v>17997.729999999996</v>
      </c>
      <c r="Y99" s="1"/>
      <c r="Z99" s="5">
        <f t="shared" si="67"/>
        <v>0.38485469902705005</v>
      </c>
    </row>
    <row r="100" spans="1:26" s="24" customFormat="1" hidden="1" outlineLevel="2" x14ac:dyDescent="0.3">
      <c r="A100" s="29"/>
      <c r="B100" s="11" t="str">
        <f>CONCATENATE("          ", "6371", " - ", "COMPUTER SOFTWARE MAINTENANCE")</f>
        <v xml:space="preserve">          6371 - COMPUTER SOFTWARE MAINTENANCE</v>
      </c>
      <c r="C100" s="11"/>
      <c r="D100" s="8">
        <v>59623.5</v>
      </c>
      <c r="E100" s="3"/>
      <c r="F100" s="7">
        <f t="shared" si="60"/>
        <v>0.27040354339368361</v>
      </c>
      <c r="G100" s="3"/>
      <c r="H100" s="8">
        <v>40000</v>
      </c>
      <c r="I100" s="3"/>
      <c r="J100" s="7">
        <f t="shared" si="61"/>
        <v>0.12112659849257948</v>
      </c>
      <c r="K100" s="3"/>
      <c r="L100" s="8">
        <f t="shared" si="62"/>
        <v>19623.5</v>
      </c>
      <c r="M100" s="3"/>
      <c r="N100" s="7">
        <f t="shared" si="63"/>
        <v>0.49058750000000001</v>
      </c>
      <c r="O100" s="11"/>
      <c r="P100" s="8">
        <v>59623.5</v>
      </c>
      <c r="Q100" s="3"/>
      <c r="R100" s="7">
        <f t="shared" si="64"/>
        <v>0.27040354339368361</v>
      </c>
      <c r="S100" s="3"/>
      <c r="T100" s="8">
        <v>40000</v>
      </c>
      <c r="U100" s="3"/>
      <c r="V100" s="7">
        <f t="shared" si="65"/>
        <v>0.12112659849257948</v>
      </c>
      <c r="W100" s="3"/>
      <c r="X100" s="8">
        <f t="shared" si="66"/>
        <v>19623.5</v>
      </c>
      <c r="Y100" s="3"/>
      <c r="Z100" s="7">
        <f t="shared" si="67"/>
        <v>0.49058750000000001</v>
      </c>
    </row>
    <row r="101" spans="1:26" s="24" customFormat="1" hidden="1" outlineLevel="2" x14ac:dyDescent="0.3">
      <c r="A101" s="29"/>
      <c r="B101" s="11" t="str">
        <f>CONCATENATE("          ", "6372", " - ", "COMPUTER HARDWARE MAINTENANCE")</f>
        <v xml:space="preserve">          6372 - COMPUTER HARDWARE MAINTENANCE</v>
      </c>
      <c r="C101" s="11"/>
      <c r="D101" s="8"/>
      <c r="E101" s="3"/>
      <c r="F101" s="7">
        <f t="shared" si="60"/>
        <v>0</v>
      </c>
      <c r="G101" s="3"/>
      <c r="H101" s="8">
        <v>370</v>
      </c>
      <c r="I101" s="3"/>
      <c r="J101" s="7">
        <f t="shared" si="61"/>
        <v>1.1204210360563603E-3</v>
      </c>
      <c r="K101" s="3"/>
      <c r="L101" s="8">
        <f t="shared" si="62"/>
        <v>-370</v>
      </c>
      <c r="M101" s="3"/>
      <c r="N101" s="7">
        <f t="shared" si="63"/>
        <v>-1</v>
      </c>
      <c r="O101" s="11"/>
      <c r="P101" s="8"/>
      <c r="Q101" s="3"/>
      <c r="R101" s="7">
        <f t="shared" si="64"/>
        <v>0</v>
      </c>
      <c r="S101" s="3"/>
      <c r="T101" s="8">
        <v>370</v>
      </c>
      <c r="U101" s="3"/>
      <c r="V101" s="7">
        <f t="shared" si="65"/>
        <v>1.1204210360563603E-3</v>
      </c>
      <c r="W101" s="3"/>
      <c r="X101" s="8">
        <f t="shared" si="66"/>
        <v>-370</v>
      </c>
      <c r="Y101" s="3"/>
      <c r="Z101" s="7">
        <f t="shared" si="67"/>
        <v>-1</v>
      </c>
    </row>
    <row r="102" spans="1:26" s="24" customFormat="1" hidden="1" outlineLevel="2" x14ac:dyDescent="0.3">
      <c r="A102" s="29"/>
      <c r="B102" s="11" t="str">
        <f>CONCATENATE("          ", "6373", " - ", "MAINTENANCE CONTRACTS")</f>
        <v xml:space="preserve">          6373 - MAINTENANCE CONTRACTS</v>
      </c>
      <c r="C102" s="11"/>
      <c r="D102" s="8">
        <v>654.63</v>
      </c>
      <c r="E102" s="3"/>
      <c r="F102" s="7">
        <f t="shared" si="60"/>
        <v>2.9688675037830231E-3</v>
      </c>
      <c r="G102" s="3"/>
      <c r="H102" s="8">
        <v>6355</v>
      </c>
      <c r="I102" s="3"/>
      <c r="J102" s="7">
        <f t="shared" si="61"/>
        <v>1.9243988335508565E-2</v>
      </c>
      <c r="K102" s="3"/>
      <c r="L102" s="8">
        <f t="shared" si="62"/>
        <v>-5700.37</v>
      </c>
      <c r="M102" s="3"/>
      <c r="N102" s="7">
        <f t="shared" si="63"/>
        <v>-0.89698977183320217</v>
      </c>
      <c r="O102" s="11"/>
      <c r="P102" s="8">
        <v>654.63</v>
      </c>
      <c r="Q102" s="3"/>
      <c r="R102" s="7">
        <f t="shared" si="64"/>
        <v>2.9688675037830231E-3</v>
      </c>
      <c r="S102" s="3"/>
      <c r="T102" s="8">
        <v>6355</v>
      </c>
      <c r="U102" s="3"/>
      <c r="V102" s="7">
        <f t="shared" si="65"/>
        <v>1.9243988335508565E-2</v>
      </c>
      <c r="W102" s="3"/>
      <c r="X102" s="8">
        <f t="shared" si="66"/>
        <v>-5700.37</v>
      </c>
      <c r="Y102" s="3"/>
      <c r="Z102" s="7">
        <f t="shared" si="67"/>
        <v>-0.89698977183320217</v>
      </c>
    </row>
    <row r="103" spans="1:26" s="24" customFormat="1" hidden="1" outlineLevel="2" x14ac:dyDescent="0.3">
      <c r="A103" s="29"/>
      <c r="B103" s="11" t="str">
        <f>CONCATENATE("          ", "6375", " - ", "OUTSIDE REPAIRS &amp; MAINTENANCE")</f>
        <v xml:space="preserve">          6375 - OUTSIDE REPAIRS &amp; MAINTENANCE</v>
      </c>
      <c r="C103" s="11"/>
      <c r="D103" s="8">
        <v>4484.6000000000004</v>
      </c>
      <c r="E103" s="3"/>
      <c r="F103" s="7">
        <f t="shared" si="60"/>
        <v>2.0338486179162805E-2</v>
      </c>
      <c r="G103" s="3"/>
      <c r="H103" s="8">
        <v>40</v>
      </c>
      <c r="I103" s="3"/>
      <c r="J103" s="7">
        <f t="shared" si="61"/>
        <v>1.2112659849257948E-4</v>
      </c>
      <c r="K103" s="3"/>
      <c r="L103" s="8">
        <f t="shared" si="62"/>
        <v>4444.6000000000004</v>
      </c>
      <c r="M103" s="3"/>
      <c r="N103" s="7">
        <f t="shared" si="63"/>
        <v>111.11500000000001</v>
      </c>
      <c r="O103" s="11"/>
      <c r="P103" s="8">
        <v>4484.6000000000004</v>
      </c>
      <c r="Q103" s="3"/>
      <c r="R103" s="7">
        <f t="shared" si="64"/>
        <v>2.0338486179162805E-2</v>
      </c>
      <c r="S103" s="3"/>
      <c r="T103" s="8">
        <v>40</v>
      </c>
      <c r="U103" s="3"/>
      <c r="V103" s="7">
        <f t="shared" si="65"/>
        <v>1.2112659849257948E-4</v>
      </c>
      <c r="W103" s="3"/>
      <c r="X103" s="8">
        <f t="shared" si="66"/>
        <v>4444.6000000000004</v>
      </c>
      <c r="Y103" s="3"/>
      <c r="Z103" s="7">
        <f t="shared" si="67"/>
        <v>111.11500000000001</v>
      </c>
    </row>
    <row r="104" spans="1:26" s="27" customFormat="1" outlineLevel="1" collapsed="1" x14ac:dyDescent="0.3">
      <c r="A104" s="28"/>
      <c r="B104" s="14" t="str">
        <f>CONCATENATE("     ","Royalty &amp; Commissions                             ")</f>
        <v xml:space="preserve">     Royalty &amp; Commissions                             </v>
      </c>
      <c r="C104" s="14"/>
      <c r="D104" s="1">
        <f>SUM(OSRRefD22_17x_0)</f>
        <v>7355.1000000000013</v>
      </c>
      <c r="E104" s="1"/>
      <c r="F104" s="5">
        <f t="shared" ref="F104:F108" si="68">IF(D$12=0,0,D104/D$12)</f>
        <v>3.3356731859332016E-2</v>
      </c>
      <c r="G104" s="1"/>
      <c r="H104" s="1">
        <f>SUM(OSRRefH22_17x_0)</f>
        <v>12514</v>
      </c>
      <c r="I104" s="1"/>
      <c r="J104" s="5">
        <f t="shared" ref="J104:J108" si="69">IF(H$12=0,0,H104/H$12)</f>
        <v>3.7894456338403493E-2</v>
      </c>
      <c r="K104" s="1"/>
      <c r="L104" s="1">
        <f t="shared" ref="L104:L108" si="70">+D104-H104</f>
        <v>-5158.8999999999987</v>
      </c>
      <c r="M104" s="1"/>
      <c r="N104" s="5">
        <f t="shared" ref="N104:N108" si="71">IF(H104=0,0,L104/H104)</f>
        <v>-0.41225027968675076</v>
      </c>
      <c r="O104" s="14"/>
      <c r="P104" s="1">
        <f>SUM(OSRRefP22_17x_0)</f>
        <v>7355.1000000000013</v>
      </c>
      <c r="Q104" s="1"/>
      <c r="R104" s="5">
        <f t="shared" ref="R104:R108" si="72">IF(P$12=0,0,P104/P$12)</f>
        <v>3.3356731859332016E-2</v>
      </c>
      <c r="S104" s="1"/>
      <c r="T104" s="1">
        <f>SUM(OSRRefT22_17x_0)</f>
        <v>12514</v>
      </c>
      <c r="U104" s="1"/>
      <c r="V104" s="5">
        <f t="shared" ref="V104:V108" si="73">IF(T$12=0,0,T104/T$12)</f>
        <v>3.7894456338403493E-2</v>
      </c>
      <c r="W104" s="1"/>
      <c r="X104" s="1">
        <f t="shared" ref="X104:X108" si="74">+P104-T104</f>
        <v>-5158.8999999999987</v>
      </c>
      <c r="Y104" s="1"/>
      <c r="Z104" s="5">
        <f t="shared" ref="Z104:Z108" si="75">IF(T104=0,0,X104/T104)</f>
        <v>-0.41225027968675076</v>
      </c>
    </row>
    <row r="105" spans="1:26" s="24" customFormat="1" hidden="1" outlineLevel="2" x14ac:dyDescent="0.3">
      <c r="A105" s="29"/>
      <c r="B105" s="11" t="str">
        <f>CONCATENATE("          ", "6252", " - ", "ROYALTY DUE CSTV")</f>
        <v xml:space="preserve">          6252 - ROYALTY DUE CSTV</v>
      </c>
      <c r="C105" s="11"/>
      <c r="D105" s="8"/>
      <c r="E105" s="3"/>
      <c r="F105" s="7">
        <f t="shared" si="68"/>
        <v>0</v>
      </c>
      <c r="G105" s="3"/>
      <c r="H105" s="8">
        <v>842</v>
      </c>
      <c r="I105" s="3"/>
      <c r="J105" s="7">
        <f t="shared" si="69"/>
        <v>2.5497148982687981E-3</v>
      </c>
      <c r="K105" s="3"/>
      <c r="L105" s="8">
        <f t="shared" si="70"/>
        <v>-842</v>
      </c>
      <c r="M105" s="3"/>
      <c r="N105" s="7">
        <f t="shared" si="71"/>
        <v>-1</v>
      </c>
      <c r="O105" s="11"/>
      <c r="P105" s="8"/>
      <c r="Q105" s="3"/>
      <c r="R105" s="7">
        <f t="shared" si="72"/>
        <v>0</v>
      </c>
      <c r="S105" s="3"/>
      <c r="T105" s="8">
        <v>842</v>
      </c>
      <c r="U105" s="3"/>
      <c r="V105" s="7">
        <f t="shared" si="73"/>
        <v>2.5497148982687981E-3</v>
      </c>
      <c r="W105" s="3"/>
      <c r="X105" s="8">
        <f t="shared" si="74"/>
        <v>-842</v>
      </c>
      <c r="Y105" s="3"/>
      <c r="Z105" s="7">
        <f t="shared" si="75"/>
        <v>-1</v>
      </c>
    </row>
    <row r="106" spans="1:26" s="24" customFormat="1" hidden="1" outlineLevel="2" x14ac:dyDescent="0.3">
      <c r="A106" s="29"/>
      <c r="B106" s="11" t="str">
        <f>CONCATENATE("          ", "6253", " - ", "ROYALTY DUE ATHLETICS-LRG")</f>
        <v xml:space="preserve">          6253 - ROYALTY DUE ATHLETICS-LRG</v>
      </c>
      <c r="C106" s="11"/>
      <c r="D106" s="8">
        <v>14376.54</v>
      </c>
      <c r="E106" s="3"/>
      <c r="F106" s="7">
        <f t="shared" si="68"/>
        <v>6.5200254224274459E-2</v>
      </c>
      <c r="G106" s="3"/>
      <c r="H106" s="8">
        <v>5672</v>
      </c>
      <c r="I106" s="3"/>
      <c r="J106" s="7">
        <f t="shared" si="69"/>
        <v>1.7175751666247772E-2</v>
      </c>
      <c r="K106" s="3"/>
      <c r="L106" s="8">
        <f t="shared" si="70"/>
        <v>8704.5400000000009</v>
      </c>
      <c r="M106" s="3"/>
      <c r="N106" s="7">
        <f t="shared" si="71"/>
        <v>1.5346509167842033</v>
      </c>
      <c r="O106" s="11"/>
      <c r="P106" s="8">
        <v>14376.54</v>
      </c>
      <c r="Q106" s="3"/>
      <c r="R106" s="7">
        <f t="shared" si="72"/>
        <v>6.5200254224274459E-2</v>
      </c>
      <c r="S106" s="3"/>
      <c r="T106" s="8">
        <v>5672</v>
      </c>
      <c r="U106" s="3"/>
      <c r="V106" s="7">
        <f t="shared" si="73"/>
        <v>1.7175751666247772E-2</v>
      </c>
      <c r="W106" s="3"/>
      <c r="X106" s="8">
        <f t="shared" si="74"/>
        <v>8704.5400000000009</v>
      </c>
      <c r="Y106" s="3"/>
      <c r="Z106" s="7">
        <f t="shared" si="75"/>
        <v>1.5346509167842033</v>
      </c>
    </row>
    <row r="107" spans="1:26" s="24" customFormat="1" hidden="1" outlineLevel="2" x14ac:dyDescent="0.3">
      <c r="A107" s="29"/>
      <c r="B107" s="11" t="str">
        <f>CONCATENATE("          ", "6254", " - ", "ROYALTY &amp; COMMISSIONS")</f>
        <v xml:space="preserve">          6254 - ROYALTY &amp; COMMISSIONS</v>
      </c>
      <c r="C107" s="11"/>
      <c r="D107" s="8">
        <v>-7027.5</v>
      </c>
      <c r="E107" s="3"/>
      <c r="F107" s="7">
        <f t="shared" si="68"/>
        <v>-3.1871005579999688E-2</v>
      </c>
      <c r="G107" s="3"/>
      <c r="H107" s="8">
        <v>0</v>
      </c>
      <c r="I107" s="3"/>
      <c r="J107" s="7">
        <f t="shared" si="69"/>
        <v>0</v>
      </c>
      <c r="K107" s="3"/>
      <c r="L107" s="8">
        <f t="shared" si="70"/>
        <v>-7027.5</v>
      </c>
      <c r="M107" s="3"/>
      <c r="N107" s="7">
        <f t="shared" si="71"/>
        <v>0</v>
      </c>
      <c r="O107" s="11"/>
      <c r="P107" s="8">
        <v>-7027.5</v>
      </c>
      <c r="Q107" s="3"/>
      <c r="R107" s="7">
        <f t="shared" si="72"/>
        <v>-3.1871005579999688E-2</v>
      </c>
      <c r="S107" s="3"/>
      <c r="T107" s="8">
        <v>0</v>
      </c>
      <c r="U107" s="3"/>
      <c r="V107" s="7">
        <f t="shared" si="73"/>
        <v>0</v>
      </c>
      <c r="W107" s="3"/>
      <c r="X107" s="8">
        <f t="shared" si="74"/>
        <v>-7027.5</v>
      </c>
      <c r="Y107" s="3"/>
      <c r="Z107" s="7">
        <f t="shared" si="75"/>
        <v>0</v>
      </c>
    </row>
    <row r="108" spans="1:26" s="24" customFormat="1" hidden="1" outlineLevel="2" x14ac:dyDescent="0.3">
      <c r="A108" s="29"/>
      <c r="B108" s="11" t="str">
        <f>CONCATENATE("          ", "6259", " - ", "ROYALTY &amp; COMMISSIONS")</f>
        <v xml:space="preserve">          6259 - ROYALTY &amp; COMMISSIONS</v>
      </c>
      <c r="C108" s="11"/>
      <c r="D108" s="8">
        <v>6.06</v>
      </c>
      <c r="E108" s="3"/>
      <c r="F108" s="7">
        <f t="shared" si="68"/>
        <v>2.748321505724626E-5</v>
      </c>
      <c r="G108" s="3"/>
      <c r="H108" s="8">
        <v>6000</v>
      </c>
      <c r="I108" s="3"/>
      <c r="J108" s="7">
        <f t="shared" si="69"/>
        <v>1.8168989773886923E-2</v>
      </c>
      <c r="K108" s="3"/>
      <c r="L108" s="8">
        <f t="shared" si="70"/>
        <v>-5993.94</v>
      </c>
      <c r="M108" s="3"/>
      <c r="N108" s="7">
        <f t="shared" si="71"/>
        <v>-0.99898999999999993</v>
      </c>
      <c r="O108" s="11"/>
      <c r="P108" s="8">
        <v>6.06</v>
      </c>
      <c r="Q108" s="3"/>
      <c r="R108" s="7">
        <f t="shared" si="72"/>
        <v>2.748321505724626E-5</v>
      </c>
      <c r="S108" s="3"/>
      <c r="T108" s="8">
        <v>6000</v>
      </c>
      <c r="U108" s="3"/>
      <c r="V108" s="7">
        <f t="shared" si="73"/>
        <v>1.8168989773886923E-2</v>
      </c>
      <c r="W108" s="3"/>
      <c r="X108" s="8">
        <f t="shared" si="74"/>
        <v>-5993.94</v>
      </c>
      <c r="Y108" s="3"/>
      <c r="Z108" s="7">
        <f t="shared" si="75"/>
        <v>-0.99898999999999993</v>
      </c>
    </row>
    <row r="109" spans="1:26" s="27" customFormat="1" outlineLevel="1" collapsed="1" x14ac:dyDescent="0.3">
      <c r="A109" s="28"/>
      <c r="B109" s="14" t="str">
        <f>CONCATENATE("     ","Services                                          ")</f>
        <v xml:space="preserve">     Services                                          </v>
      </c>
      <c r="C109" s="14"/>
      <c r="D109" s="1">
        <f>SUM(OSRRefD22_18x_0)</f>
        <v>4006.32</v>
      </c>
      <c r="E109" s="1"/>
      <c r="F109" s="5">
        <f t="shared" ref="F109:F112" si="76">IF(D$12=0,0,D109/D$12)</f>
        <v>1.8169398374281658E-2</v>
      </c>
      <c r="G109" s="1"/>
      <c r="H109" s="1">
        <f>SUM(OSRRefH22_18x_0)</f>
        <v>4360</v>
      </c>
      <c r="I109" s="1"/>
      <c r="J109" s="5">
        <f t="shared" ref="J109:J112" si="77">IF(H$12=0,0,H109/H$12)</f>
        <v>1.3202799235691164E-2</v>
      </c>
      <c r="K109" s="1"/>
      <c r="L109" s="1">
        <f t="shared" ref="L109:L112" si="78">+D109-H109</f>
        <v>-353.67999999999984</v>
      </c>
      <c r="M109" s="1"/>
      <c r="N109" s="5">
        <f t="shared" ref="N109:N112" si="79">IF(H109=0,0,L109/H109)</f>
        <v>-8.1119266055045838E-2</v>
      </c>
      <c r="O109" s="14"/>
      <c r="P109" s="1">
        <f>SUM(OSRRefP22_18x_0)</f>
        <v>4006.32</v>
      </c>
      <c r="Q109" s="1"/>
      <c r="R109" s="5">
        <f t="shared" ref="R109:R112" si="80">IF(P$12=0,0,P109/P$12)</f>
        <v>1.8169398374281658E-2</v>
      </c>
      <c r="S109" s="1"/>
      <c r="T109" s="1">
        <f>SUM(OSRRefT22_18x_0)</f>
        <v>4360</v>
      </c>
      <c r="U109" s="1"/>
      <c r="V109" s="5">
        <f t="shared" ref="V109:V112" si="81">IF(T$12=0,0,T109/T$12)</f>
        <v>1.3202799235691164E-2</v>
      </c>
      <c r="W109" s="1"/>
      <c r="X109" s="1">
        <f t="shared" ref="X109:X112" si="82">+P109-T109</f>
        <v>-353.67999999999984</v>
      </c>
      <c r="Y109" s="1"/>
      <c r="Z109" s="5">
        <f t="shared" ref="Z109:Z112" si="83">IF(T109=0,0,X109/T109)</f>
        <v>-8.1119266055045838E-2</v>
      </c>
    </row>
    <row r="110" spans="1:26" s="24" customFormat="1" hidden="1" outlineLevel="2" x14ac:dyDescent="0.3">
      <c r="A110" s="29"/>
      <c r="B110" s="11" t="str">
        <f>CONCATENATE("          ", "6282", " - ", "JANITORIAL/EXTERMINATOR EXPENS")</f>
        <v xml:space="preserve">          6282 - JANITORIAL/EXTERMINATOR EXPENS</v>
      </c>
      <c r="C110" s="11"/>
      <c r="D110" s="8"/>
      <c r="E110" s="3"/>
      <c r="F110" s="7">
        <f t="shared" si="76"/>
        <v>0</v>
      </c>
      <c r="G110" s="3"/>
      <c r="H110" s="8">
        <v>4300</v>
      </c>
      <c r="I110" s="3"/>
      <c r="J110" s="7">
        <f t="shared" si="77"/>
        <v>1.3021109337952294E-2</v>
      </c>
      <c r="K110" s="3"/>
      <c r="L110" s="8">
        <f t="shared" si="78"/>
        <v>-4300</v>
      </c>
      <c r="M110" s="3"/>
      <c r="N110" s="7">
        <f t="shared" si="79"/>
        <v>-1</v>
      </c>
      <c r="O110" s="11"/>
      <c r="P110" s="8"/>
      <c r="Q110" s="3"/>
      <c r="R110" s="7">
        <f t="shared" si="80"/>
        <v>0</v>
      </c>
      <c r="S110" s="3"/>
      <c r="T110" s="8">
        <v>4300</v>
      </c>
      <c r="U110" s="3"/>
      <c r="V110" s="7">
        <f t="shared" si="81"/>
        <v>1.3021109337952294E-2</v>
      </c>
      <c r="W110" s="3"/>
      <c r="X110" s="8">
        <f t="shared" si="82"/>
        <v>-4300</v>
      </c>
      <c r="Y110" s="3"/>
      <c r="Z110" s="7">
        <f t="shared" si="83"/>
        <v>-1</v>
      </c>
    </row>
    <row r="111" spans="1:26" s="24" customFormat="1" hidden="1" outlineLevel="2" x14ac:dyDescent="0.3">
      <c r="A111" s="29"/>
      <c r="B111" s="11" t="str">
        <f>CONCATENATE("          ", "6284", " - ", "TRASH REMOVAL EXPENSE")</f>
        <v xml:space="preserve">          6284 - TRASH REMOVAL EXPENSE</v>
      </c>
      <c r="C111" s="11"/>
      <c r="D111" s="8">
        <v>142.57</v>
      </c>
      <c r="E111" s="3"/>
      <c r="F111" s="7">
        <f t="shared" si="76"/>
        <v>6.4658118328574251E-4</v>
      </c>
      <c r="G111" s="3"/>
      <c r="H111" s="8">
        <v>60</v>
      </c>
      <c r="I111" s="3"/>
      <c r="J111" s="7">
        <f t="shared" si="77"/>
        <v>1.8168989773886923E-4</v>
      </c>
      <c r="K111" s="3"/>
      <c r="L111" s="8">
        <f t="shared" si="78"/>
        <v>82.57</v>
      </c>
      <c r="M111" s="3"/>
      <c r="N111" s="7">
        <f t="shared" si="79"/>
        <v>1.3761666666666665</v>
      </c>
      <c r="O111" s="11"/>
      <c r="P111" s="8">
        <v>142.57</v>
      </c>
      <c r="Q111" s="3"/>
      <c r="R111" s="7">
        <f t="shared" si="80"/>
        <v>6.4658118328574251E-4</v>
      </c>
      <c r="S111" s="3"/>
      <c r="T111" s="8">
        <v>60</v>
      </c>
      <c r="U111" s="3"/>
      <c r="V111" s="7">
        <f t="shared" si="81"/>
        <v>1.8168989773886923E-4</v>
      </c>
      <c r="W111" s="3"/>
      <c r="X111" s="8">
        <f t="shared" si="82"/>
        <v>82.57</v>
      </c>
      <c r="Y111" s="3"/>
      <c r="Z111" s="7">
        <f t="shared" si="83"/>
        <v>1.3761666666666665</v>
      </c>
    </row>
    <row r="112" spans="1:26" s="24" customFormat="1" hidden="1" outlineLevel="2" x14ac:dyDescent="0.3">
      <c r="A112" s="29"/>
      <c r="B112" s="11" t="str">
        <f>CONCATENATE("          ", "6285", " - ", "JANITORIAL SERVICES")</f>
        <v xml:space="preserve">          6285 - JANITORIAL SERVICES</v>
      </c>
      <c r="C112" s="11"/>
      <c r="D112" s="8">
        <v>3863.75</v>
      </c>
      <c r="E112" s="3"/>
      <c r="F112" s="7">
        <f t="shared" si="76"/>
        <v>1.7522817190995917E-2</v>
      </c>
      <c r="G112" s="3"/>
      <c r="H112" s="8"/>
      <c r="I112" s="3"/>
      <c r="J112" s="7">
        <f t="shared" si="77"/>
        <v>0</v>
      </c>
      <c r="K112" s="3"/>
      <c r="L112" s="8">
        <f t="shared" si="78"/>
        <v>3863.75</v>
      </c>
      <c r="M112" s="3"/>
      <c r="N112" s="7">
        <f t="shared" si="79"/>
        <v>0</v>
      </c>
      <c r="O112" s="11"/>
      <c r="P112" s="8">
        <v>3863.75</v>
      </c>
      <c r="Q112" s="3"/>
      <c r="R112" s="7">
        <f t="shared" si="80"/>
        <v>1.7522817190995917E-2</v>
      </c>
      <c r="S112" s="3"/>
      <c r="T112" s="8"/>
      <c r="U112" s="3"/>
      <c r="V112" s="7">
        <f t="shared" si="81"/>
        <v>0</v>
      </c>
      <c r="W112" s="3"/>
      <c r="X112" s="8">
        <f t="shared" si="82"/>
        <v>3863.75</v>
      </c>
      <c r="Y112" s="3"/>
      <c r="Z112" s="7">
        <f t="shared" si="83"/>
        <v>0</v>
      </c>
    </row>
    <row r="113" spans="1:26" s="27" customFormat="1" outlineLevel="1" collapsed="1" x14ac:dyDescent="0.3">
      <c r="A113" s="28"/>
      <c r="B113" s="14" t="str">
        <f>CONCATENATE("     ","Subscriptions &amp; Dues                              ")</f>
        <v xml:space="preserve">     Subscriptions &amp; Dues                              </v>
      </c>
      <c r="C113" s="14"/>
      <c r="D113" s="1">
        <f>SUM(OSRRefD22_19x_0)</f>
        <v>68.319999999999993</v>
      </c>
      <c r="E113" s="1"/>
      <c r="F113" s="5">
        <f t="shared" ref="F113:F115" si="84">IF(D$12=0,0,D113/D$12)</f>
        <v>3.0984377107443311E-4</v>
      </c>
      <c r="G113" s="1"/>
      <c r="H113" s="1">
        <f>SUM(OSRRefH22_19x_0)</f>
        <v>1776</v>
      </c>
      <c r="I113" s="1"/>
      <c r="J113" s="5">
        <f t="shared" ref="J113:J115" si="85">IF(H$12=0,0,H113/H$12)</f>
        <v>5.3780209730705294E-3</v>
      </c>
      <c r="K113" s="1"/>
      <c r="L113" s="1">
        <f t="shared" ref="L113:L115" si="86">+D113-H113</f>
        <v>-1707.68</v>
      </c>
      <c r="M113" s="1"/>
      <c r="N113" s="5">
        <f t="shared" ref="N113:N115" si="87">IF(H113=0,0,L113/H113)</f>
        <v>-0.96153153153153159</v>
      </c>
      <c r="O113" s="14"/>
      <c r="P113" s="1">
        <f>SUM(OSRRefP22_19x_0)</f>
        <v>68.319999999999993</v>
      </c>
      <c r="Q113" s="1"/>
      <c r="R113" s="5">
        <f t="shared" ref="R113:R115" si="88">IF(P$12=0,0,P113/P$12)</f>
        <v>3.0984377107443311E-4</v>
      </c>
      <c r="S113" s="1"/>
      <c r="T113" s="1">
        <f>SUM(OSRRefT22_19x_0)</f>
        <v>1776</v>
      </c>
      <c r="U113" s="1"/>
      <c r="V113" s="5">
        <f t="shared" ref="V113:V115" si="89">IF(T$12=0,0,T113/T$12)</f>
        <v>5.3780209730705294E-3</v>
      </c>
      <c r="W113" s="1"/>
      <c r="X113" s="1">
        <f t="shared" ref="X113:X115" si="90">+P113-T113</f>
        <v>-1707.68</v>
      </c>
      <c r="Y113" s="1"/>
      <c r="Z113" s="5">
        <f t="shared" ref="Z113:Z115" si="91">IF(T113=0,0,X113/T113)</f>
        <v>-0.96153153153153159</v>
      </c>
    </row>
    <row r="114" spans="1:26" s="24" customFormat="1" hidden="1" outlineLevel="2" x14ac:dyDescent="0.3">
      <c r="A114" s="29"/>
      <c r="B114" s="11" t="str">
        <f>CONCATENATE("          ", "6258", " - ", "MEMBERSHIP DUES")</f>
        <v xml:space="preserve">          6258 - MEMBERSHIP DUES</v>
      </c>
      <c r="C114" s="11"/>
      <c r="D114" s="8">
        <v>68.319999999999993</v>
      </c>
      <c r="E114" s="3"/>
      <c r="F114" s="7">
        <f t="shared" si="84"/>
        <v>3.0984377107443311E-4</v>
      </c>
      <c r="G114" s="3"/>
      <c r="H114" s="8">
        <v>1695</v>
      </c>
      <c r="I114" s="3"/>
      <c r="J114" s="7">
        <f t="shared" si="85"/>
        <v>5.1327396111230557E-3</v>
      </c>
      <c r="K114" s="3"/>
      <c r="L114" s="8">
        <f t="shared" si="86"/>
        <v>-1626.68</v>
      </c>
      <c r="M114" s="3"/>
      <c r="N114" s="7">
        <f t="shared" si="87"/>
        <v>-0.95969321533923313</v>
      </c>
      <c r="O114" s="11"/>
      <c r="P114" s="8">
        <v>68.319999999999993</v>
      </c>
      <c r="Q114" s="3"/>
      <c r="R114" s="7">
        <f t="shared" si="88"/>
        <v>3.0984377107443311E-4</v>
      </c>
      <c r="S114" s="3"/>
      <c r="T114" s="8">
        <v>1695</v>
      </c>
      <c r="U114" s="3"/>
      <c r="V114" s="7">
        <f t="shared" si="89"/>
        <v>5.1327396111230557E-3</v>
      </c>
      <c r="W114" s="3"/>
      <c r="X114" s="8">
        <f t="shared" si="90"/>
        <v>-1626.68</v>
      </c>
      <c r="Y114" s="3"/>
      <c r="Z114" s="7">
        <f t="shared" si="91"/>
        <v>-0.95969321533923313</v>
      </c>
    </row>
    <row r="115" spans="1:26" s="24" customFormat="1" hidden="1" outlineLevel="2" x14ac:dyDescent="0.3">
      <c r="A115" s="29"/>
      <c r="B115" s="11" t="str">
        <f>CONCATENATE("          ", "6275", " - ", "SUBSCRIPTIONS")</f>
        <v xml:space="preserve">          6275 - SUBSCRIPTIONS</v>
      </c>
      <c r="C115" s="11"/>
      <c r="D115" s="8"/>
      <c r="E115" s="3"/>
      <c r="F115" s="7">
        <f t="shared" si="84"/>
        <v>0</v>
      </c>
      <c r="G115" s="3"/>
      <c r="H115" s="8">
        <v>81</v>
      </c>
      <c r="I115" s="3"/>
      <c r="J115" s="7">
        <f t="shared" si="85"/>
        <v>2.4528136194747343E-4</v>
      </c>
      <c r="K115" s="3"/>
      <c r="L115" s="8">
        <f t="shared" si="86"/>
        <v>-81</v>
      </c>
      <c r="M115" s="3"/>
      <c r="N115" s="7">
        <f t="shared" si="87"/>
        <v>-1</v>
      </c>
      <c r="O115" s="11"/>
      <c r="P115" s="8"/>
      <c r="Q115" s="3"/>
      <c r="R115" s="7">
        <f t="shared" si="88"/>
        <v>0</v>
      </c>
      <c r="S115" s="3"/>
      <c r="T115" s="8">
        <v>81</v>
      </c>
      <c r="U115" s="3"/>
      <c r="V115" s="7">
        <f t="shared" si="89"/>
        <v>2.4528136194747343E-4</v>
      </c>
      <c r="W115" s="3"/>
      <c r="X115" s="8">
        <f t="shared" si="90"/>
        <v>-81</v>
      </c>
      <c r="Y115" s="3"/>
      <c r="Z115" s="7">
        <f t="shared" si="91"/>
        <v>-1</v>
      </c>
    </row>
    <row r="116" spans="1:26" s="27" customFormat="1" outlineLevel="1" collapsed="1" x14ac:dyDescent="0.3">
      <c r="A116" s="28"/>
      <c r="B116" s="14" t="str">
        <f>CONCATENATE("     ","Supplies                                          ")</f>
        <v xml:space="preserve">     Supplies                                          </v>
      </c>
      <c r="C116" s="14"/>
      <c r="D116" s="1">
        <f>SUM(OSRRefD22_20x_0)</f>
        <v>7086.3600000000006</v>
      </c>
      <c r="E116" s="1"/>
      <c r="F116" s="5">
        <f t="shared" ref="F116:F122" si="92">IF(D$12=0,0,D116/D$12)</f>
        <v>3.2137946510407203E-2</v>
      </c>
      <c r="G116" s="1"/>
      <c r="H116" s="1">
        <f>SUM(OSRRefH22_20x_0)</f>
        <v>10550</v>
      </c>
      <c r="I116" s="1"/>
      <c r="J116" s="5">
        <f t="shared" ref="J116:J122" si="93">IF(H$12=0,0,H116/H$12)</f>
        <v>3.1947140352417837E-2</v>
      </c>
      <c r="K116" s="1"/>
      <c r="L116" s="1">
        <f t="shared" ref="L116:L122" si="94">+D116-H116</f>
        <v>-3463.6399999999994</v>
      </c>
      <c r="M116" s="1"/>
      <c r="N116" s="5">
        <f t="shared" ref="N116:N122" si="95">IF(H116=0,0,L116/H116)</f>
        <v>-0.32830710900473931</v>
      </c>
      <c r="O116" s="14"/>
      <c r="P116" s="1">
        <f>SUM(OSRRefP22_20x_0)</f>
        <v>7086.3600000000006</v>
      </c>
      <c r="Q116" s="1"/>
      <c r="R116" s="5">
        <f t="shared" ref="R116:R122" si="96">IF(P$12=0,0,P116/P$12)</f>
        <v>3.2137946510407203E-2</v>
      </c>
      <c r="S116" s="1"/>
      <c r="T116" s="1">
        <f>SUM(OSRRefT22_20x_0)</f>
        <v>10550</v>
      </c>
      <c r="U116" s="1"/>
      <c r="V116" s="5">
        <f t="shared" ref="V116:V122" si="97">IF(T$12=0,0,T116/T$12)</f>
        <v>3.1947140352417837E-2</v>
      </c>
      <c r="W116" s="1"/>
      <c r="X116" s="1">
        <f t="shared" ref="X116:X122" si="98">+P116-T116</f>
        <v>-3463.6399999999994</v>
      </c>
      <c r="Y116" s="1"/>
      <c r="Z116" s="5">
        <f t="shared" ref="Z116:Z122" si="99">IF(T116=0,0,X116/T116)</f>
        <v>-0.32830710900473931</v>
      </c>
    </row>
    <row r="117" spans="1:26" s="24" customFormat="1" hidden="1" outlineLevel="2" x14ac:dyDescent="0.3">
      <c r="A117" s="29"/>
      <c r="B117" s="11" t="str">
        <f>CONCATENATE("          ", "6235", " - ", "COVID-19 EXPENSES")</f>
        <v xml:space="preserve">          6235 - COVID-19 EXPENSES</v>
      </c>
      <c r="C117" s="11"/>
      <c r="D117" s="8">
        <v>272.22000000000003</v>
      </c>
      <c r="E117" s="3"/>
      <c r="F117" s="7">
        <f t="shared" si="92"/>
        <v>1.2345677892547158E-3</v>
      </c>
      <c r="G117" s="3"/>
      <c r="H117" s="8">
        <v>125</v>
      </c>
      <c r="I117" s="3"/>
      <c r="J117" s="7">
        <f t="shared" si="93"/>
        <v>3.7852062028931088E-4</v>
      </c>
      <c r="K117" s="3"/>
      <c r="L117" s="8">
        <f t="shared" si="94"/>
        <v>147.22000000000003</v>
      </c>
      <c r="M117" s="3"/>
      <c r="N117" s="7">
        <f t="shared" si="95"/>
        <v>1.1777600000000001</v>
      </c>
      <c r="O117" s="11"/>
      <c r="P117" s="8">
        <v>272.22000000000003</v>
      </c>
      <c r="Q117" s="3"/>
      <c r="R117" s="7">
        <f t="shared" si="96"/>
        <v>1.2345677892547158E-3</v>
      </c>
      <c r="S117" s="3"/>
      <c r="T117" s="8">
        <v>125</v>
      </c>
      <c r="U117" s="3"/>
      <c r="V117" s="7">
        <f t="shared" si="97"/>
        <v>3.7852062028931088E-4</v>
      </c>
      <c r="W117" s="3"/>
      <c r="X117" s="8">
        <f t="shared" si="98"/>
        <v>147.22000000000003</v>
      </c>
      <c r="Y117" s="3"/>
      <c r="Z117" s="7">
        <f t="shared" si="99"/>
        <v>1.1777600000000001</v>
      </c>
    </row>
    <row r="118" spans="1:26" s="24" customFormat="1" hidden="1" outlineLevel="2" x14ac:dyDescent="0.3">
      <c r="A118" s="29"/>
      <c r="B118" s="11" t="str">
        <f>CONCATENATE("          ", "6237", " - ", "JANITORIAL SUPPLIES")</f>
        <v xml:space="preserve">          6237 - JANITORIAL SUPPLIES</v>
      </c>
      <c r="C118" s="11"/>
      <c r="D118" s="8">
        <v>655.97</v>
      </c>
      <c r="E118" s="3"/>
      <c r="F118" s="7">
        <f t="shared" si="92"/>
        <v>2.9749446503468369E-3</v>
      </c>
      <c r="G118" s="3"/>
      <c r="H118" s="8">
        <v>50</v>
      </c>
      <c r="I118" s="3"/>
      <c r="J118" s="7">
        <f t="shared" si="93"/>
        <v>1.5140824811572435E-4</v>
      </c>
      <c r="K118" s="3"/>
      <c r="L118" s="8">
        <f t="shared" si="94"/>
        <v>605.97</v>
      </c>
      <c r="M118" s="3"/>
      <c r="N118" s="7">
        <f t="shared" si="95"/>
        <v>12.119400000000001</v>
      </c>
      <c r="O118" s="11"/>
      <c r="P118" s="8">
        <v>655.97</v>
      </c>
      <c r="Q118" s="3"/>
      <c r="R118" s="7">
        <f t="shared" si="96"/>
        <v>2.9749446503468369E-3</v>
      </c>
      <c r="S118" s="3"/>
      <c r="T118" s="8">
        <v>50</v>
      </c>
      <c r="U118" s="3"/>
      <c r="V118" s="7">
        <f t="shared" si="97"/>
        <v>1.5140824811572435E-4</v>
      </c>
      <c r="W118" s="3"/>
      <c r="X118" s="8">
        <f t="shared" si="98"/>
        <v>605.97</v>
      </c>
      <c r="Y118" s="3"/>
      <c r="Z118" s="7">
        <f t="shared" si="99"/>
        <v>12.119400000000001</v>
      </c>
    </row>
    <row r="119" spans="1:26" s="24" customFormat="1" hidden="1" outlineLevel="2" x14ac:dyDescent="0.3">
      <c r="A119" s="29"/>
      <c r="B119" s="11" t="str">
        <f>CONCATENATE("          ", "6241", " - ", "OFFICE EXPENSE")</f>
        <v xml:space="preserve">          6241 - OFFICE EXPENSE</v>
      </c>
      <c r="C119" s="11"/>
      <c r="D119" s="8">
        <v>406.41</v>
      </c>
      <c r="E119" s="3"/>
      <c r="F119" s="7">
        <f t="shared" si="92"/>
        <v>1.8431441305966096E-3</v>
      </c>
      <c r="G119" s="3"/>
      <c r="H119" s="8">
        <v>470</v>
      </c>
      <c r="I119" s="3"/>
      <c r="J119" s="7">
        <f t="shared" si="93"/>
        <v>1.4232375322878088E-3</v>
      </c>
      <c r="K119" s="3"/>
      <c r="L119" s="8">
        <f t="shared" si="94"/>
        <v>-63.589999999999975</v>
      </c>
      <c r="M119" s="3"/>
      <c r="N119" s="7">
        <f t="shared" si="95"/>
        <v>-0.13529787234042548</v>
      </c>
      <c r="O119" s="11"/>
      <c r="P119" s="8">
        <v>406.41</v>
      </c>
      <c r="Q119" s="3"/>
      <c r="R119" s="7">
        <f t="shared" si="96"/>
        <v>1.8431441305966096E-3</v>
      </c>
      <c r="S119" s="3"/>
      <c r="T119" s="8">
        <v>470</v>
      </c>
      <c r="U119" s="3"/>
      <c r="V119" s="7">
        <f t="shared" si="97"/>
        <v>1.4232375322878088E-3</v>
      </c>
      <c r="W119" s="3"/>
      <c r="X119" s="8">
        <f t="shared" si="98"/>
        <v>-63.589999999999975</v>
      </c>
      <c r="Y119" s="3"/>
      <c r="Z119" s="7">
        <f t="shared" si="99"/>
        <v>-0.13529787234042548</v>
      </c>
    </row>
    <row r="120" spans="1:26" s="24" customFormat="1" hidden="1" outlineLevel="2" x14ac:dyDescent="0.3">
      <c r="A120" s="29"/>
      <c r="B120" s="11" t="str">
        <f>CONCATENATE("          ", "6243", " - ", "PAPER SUPPLIES")</f>
        <v xml:space="preserve">          6243 - PAPER SUPPLIES</v>
      </c>
      <c r="C120" s="11"/>
      <c r="D120" s="8">
        <v>1649.24</v>
      </c>
      <c r="E120" s="3"/>
      <c r="F120" s="7">
        <f t="shared" si="92"/>
        <v>7.4796068648536017E-3</v>
      </c>
      <c r="G120" s="3"/>
      <c r="H120" s="8">
        <v>4200</v>
      </c>
      <c r="I120" s="3"/>
      <c r="J120" s="7">
        <f t="shared" si="93"/>
        <v>1.2718292841720845E-2</v>
      </c>
      <c r="K120" s="3"/>
      <c r="L120" s="8">
        <f t="shared" si="94"/>
        <v>-2550.7600000000002</v>
      </c>
      <c r="M120" s="3"/>
      <c r="N120" s="7">
        <f t="shared" si="95"/>
        <v>-0.6073238095238096</v>
      </c>
      <c r="O120" s="11"/>
      <c r="P120" s="8">
        <v>1649.24</v>
      </c>
      <c r="Q120" s="3"/>
      <c r="R120" s="7">
        <f t="shared" si="96"/>
        <v>7.4796068648536017E-3</v>
      </c>
      <c r="S120" s="3"/>
      <c r="T120" s="8">
        <v>4200</v>
      </c>
      <c r="U120" s="3"/>
      <c r="V120" s="7">
        <f t="shared" si="97"/>
        <v>1.2718292841720845E-2</v>
      </c>
      <c r="W120" s="3"/>
      <c r="X120" s="8">
        <f t="shared" si="98"/>
        <v>-2550.7600000000002</v>
      </c>
      <c r="Y120" s="3"/>
      <c r="Z120" s="7">
        <f t="shared" si="99"/>
        <v>-0.6073238095238096</v>
      </c>
    </row>
    <row r="121" spans="1:26" s="24" customFormat="1" hidden="1" outlineLevel="2" x14ac:dyDescent="0.3">
      <c r="A121" s="29"/>
      <c r="B121" s="11" t="str">
        <f>CONCATENATE("          ", "6245", " - ", "PRINTING")</f>
        <v xml:space="preserve">          6245 - PRINTING</v>
      </c>
      <c r="C121" s="11"/>
      <c r="D121" s="8">
        <v>251.64</v>
      </c>
      <c r="E121" s="3"/>
      <c r="F121" s="7">
        <f t="shared" si="92"/>
        <v>1.1412337024761467E-3</v>
      </c>
      <c r="G121" s="3"/>
      <c r="H121" s="8">
        <v>25</v>
      </c>
      <c r="I121" s="3"/>
      <c r="J121" s="7">
        <f t="shared" si="93"/>
        <v>7.5704124057862174E-5</v>
      </c>
      <c r="K121" s="3"/>
      <c r="L121" s="8">
        <f t="shared" si="94"/>
        <v>226.64</v>
      </c>
      <c r="M121" s="3"/>
      <c r="N121" s="7">
        <f t="shared" si="95"/>
        <v>9.0655999999999999</v>
      </c>
      <c r="O121" s="11"/>
      <c r="P121" s="8">
        <v>251.64</v>
      </c>
      <c r="Q121" s="3"/>
      <c r="R121" s="7">
        <f t="shared" si="96"/>
        <v>1.1412337024761467E-3</v>
      </c>
      <c r="S121" s="3"/>
      <c r="T121" s="8">
        <v>25</v>
      </c>
      <c r="U121" s="3"/>
      <c r="V121" s="7">
        <f t="shared" si="97"/>
        <v>7.5704124057862174E-5</v>
      </c>
      <c r="W121" s="3"/>
      <c r="X121" s="8">
        <f t="shared" si="98"/>
        <v>226.64</v>
      </c>
      <c r="Y121" s="3"/>
      <c r="Z121" s="7">
        <f t="shared" si="99"/>
        <v>9.0655999999999999</v>
      </c>
    </row>
    <row r="122" spans="1:26" s="24" customFormat="1" hidden="1" outlineLevel="2" x14ac:dyDescent="0.3">
      <c r="A122" s="29"/>
      <c r="B122" s="11" t="str">
        <f>CONCATENATE("          ", "6247", " - ", "STORE SUPPLIES")</f>
        <v xml:space="preserve">          6247 - STORE SUPPLIES</v>
      </c>
      <c r="C122" s="11"/>
      <c r="D122" s="8">
        <v>3850.88</v>
      </c>
      <c r="E122" s="3"/>
      <c r="F122" s="7">
        <f t="shared" si="92"/>
        <v>1.746444937287929E-2</v>
      </c>
      <c r="G122" s="3"/>
      <c r="H122" s="8">
        <v>5680</v>
      </c>
      <c r="I122" s="3"/>
      <c r="J122" s="7">
        <f t="shared" si="93"/>
        <v>1.7199976985946285E-2</v>
      </c>
      <c r="K122" s="3"/>
      <c r="L122" s="8">
        <f t="shared" si="94"/>
        <v>-1829.12</v>
      </c>
      <c r="M122" s="3"/>
      <c r="N122" s="7">
        <f t="shared" si="95"/>
        <v>-0.32202816901408449</v>
      </c>
      <c r="O122" s="11"/>
      <c r="P122" s="8">
        <v>3850.88</v>
      </c>
      <c r="Q122" s="3"/>
      <c r="R122" s="7">
        <f t="shared" si="96"/>
        <v>1.746444937287929E-2</v>
      </c>
      <c r="S122" s="3"/>
      <c r="T122" s="8">
        <v>5680</v>
      </c>
      <c r="U122" s="3"/>
      <c r="V122" s="7">
        <f t="shared" si="97"/>
        <v>1.7199976985946285E-2</v>
      </c>
      <c r="W122" s="3"/>
      <c r="X122" s="8">
        <f t="shared" si="98"/>
        <v>-1829.12</v>
      </c>
      <c r="Y122" s="3"/>
      <c r="Z122" s="7">
        <f t="shared" si="99"/>
        <v>-0.32202816901408449</v>
      </c>
    </row>
    <row r="123" spans="1:26" s="27" customFormat="1" outlineLevel="1" collapsed="1" x14ac:dyDescent="0.3">
      <c r="A123" s="28"/>
      <c r="B123" s="14" t="str">
        <f>CONCATENATE("     ","Telephone/Data Lines                              ")</f>
        <v xml:space="preserve">     Telephone/Data Lines                              </v>
      </c>
      <c r="C123" s="14"/>
      <c r="D123" s="1">
        <f>SUM(OSRRefD22_21x_0)</f>
        <v>1568.44</v>
      </c>
      <c r="E123" s="1"/>
      <c r="F123" s="5">
        <f t="shared" ref="F123:F125" si="100">IF(D$12=0,0,D123/D$12)</f>
        <v>7.113163997423652E-3</v>
      </c>
      <c r="G123" s="1"/>
      <c r="H123" s="1">
        <f>SUM(OSRRefH22_21x_0)</f>
        <v>1735</v>
      </c>
      <c r="I123" s="1"/>
      <c r="J123" s="5">
        <f t="shared" ref="J123:J125" si="101">IF(H$12=0,0,H123/H$12)</f>
        <v>5.253866209615635E-3</v>
      </c>
      <c r="K123" s="1"/>
      <c r="L123" s="1">
        <f t="shared" ref="L123:L125" si="102">+D123-H123</f>
        <v>-166.55999999999995</v>
      </c>
      <c r="M123" s="1"/>
      <c r="N123" s="5">
        <f t="shared" ref="N123:N125" si="103">IF(H123=0,0,L123/H123)</f>
        <v>-9.5999999999999974E-2</v>
      </c>
      <c r="O123" s="14"/>
      <c r="P123" s="1">
        <f>SUM(OSRRefP22_21x_0)</f>
        <v>1568.44</v>
      </c>
      <c r="Q123" s="1"/>
      <c r="R123" s="5">
        <f t="shared" ref="R123:R125" si="104">IF(P$12=0,0,P123/P$12)</f>
        <v>7.113163997423652E-3</v>
      </c>
      <c r="S123" s="1"/>
      <c r="T123" s="1">
        <f>SUM(OSRRefT22_21x_0)</f>
        <v>1735</v>
      </c>
      <c r="U123" s="1"/>
      <c r="V123" s="5">
        <f t="shared" ref="V123:V125" si="105">IF(T$12=0,0,T123/T$12)</f>
        <v>5.253866209615635E-3</v>
      </c>
      <c r="W123" s="1"/>
      <c r="X123" s="1">
        <f t="shared" ref="X123:X125" si="106">+P123-T123</f>
        <v>-166.55999999999995</v>
      </c>
      <c r="Y123" s="1"/>
      <c r="Z123" s="5">
        <f t="shared" ref="Z123:Z125" si="107">IF(T123=0,0,X123/T123)</f>
        <v>-9.5999999999999974E-2</v>
      </c>
    </row>
    <row r="124" spans="1:26" s="24" customFormat="1" hidden="1" outlineLevel="2" x14ac:dyDescent="0.3">
      <c r="A124" s="29"/>
      <c r="B124" s="11" t="str">
        <f>CONCATENATE("          ", "6303", " - ", "DATA PHONE LINES")</f>
        <v xml:space="preserve">          6303 - DATA PHONE LINES</v>
      </c>
      <c r="C124" s="11"/>
      <c r="D124" s="8">
        <v>295</v>
      </c>
      <c r="E124" s="3"/>
      <c r="F124" s="7">
        <f t="shared" si="100"/>
        <v>1.3378792808395458E-3</v>
      </c>
      <c r="G124" s="3"/>
      <c r="H124" s="8">
        <v>0</v>
      </c>
      <c r="I124" s="3"/>
      <c r="J124" s="7">
        <f t="shared" si="101"/>
        <v>0</v>
      </c>
      <c r="K124" s="3"/>
      <c r="L124" s="8">
        <f t="shared" si="102"/>
        <v>295</v>
      </c>
      <c r="M124" s="3"/>
      <c r="N124" s="7">
        <f t="shared" si="103"/>
        <v>0</v>
      </c>
      <c r="O124" s="11"/>
      <c r="P124" s="8">
        <v>295</v>
      </c>
      <c r="Q124" s="3"/>
      <c r="R124" s="7">
        <f t="shared" si="104"/>
        <v>1.3378792808395458E-3</v>
      </c>
      <c r="S124" s="3"/>
      <c r="T124" s="8">
        <v>0</v>
      </c>
      <c r="U124" s="3"/>
      <c r="V124" s="7">
        <f t="shared" si="105"/>
        <v>0</v>
      </c>
      <c r="W124" s="3"/>
      <c r="X124" s="8">
        <f t="shared" si="106"/>
        <v>295</v>
      </c>
      <c r="Y124" s="3"/>
      <c r="Z124" s="7">
        <f t="shared" si="107"/>
        <v>0</v>
      </c>
    </row>
    <row r="125" spans="1:26" s="24" customFormat="1" hidden="1" outlineLevel="2" x14ac:dyDescent="0.3">
      <c r="A125" s="29"/>
      <c r="B125" s="11" t="str">
        <f>CONCATENATE("          ", "6309", " - ", "TELEPHONE")</f>
        <v xml:space="preserve">          6309 - TELEPHONE</v>
      </c>
      <c r="C125" s="11"/>
      <c r="D125" s="8">
        <v>1273.44</v>
      </c>
      <c r="E125" s="3"/>
      <c r="F125" s="7">
        <f t="shared" si="100"/>
        <v>5.7752847165841057E-3</v>
      </c>
      <c r="G125" s="3"/>
      <c r="H125" s="8">
        <v>1735</v>
      </c>
      <c r="I125" s="3"/>
      <c r="J125" s="7">
        <f t="shared" si="101"/>
        <v>5.253866209615635E-3</v>
      </c>
      <c r="K125" s="3"/>
      <c r="L125" s="8">
        <f t="shared" si="102"/>
        <v>-461.55999999999995</v>
      </c>
      <c r="M125" s="3"/>
      <c r="N125" s="7">
        <f t="shared" si="103"/>
        <v>-0.26602881844380399</v>
      </c>
      <c r="O125" s="11"/>
      <c r="P125" s="8">
        <v>1273.44</v>
      </c>
      <c r="Q125" s="3"/>
      <c r="R125" s="7">
        <f t="shared" si="104"/>
        <v>5.7752847165841057E-3</v>
      </c>
      <c r="S125" s="3"/>
      <c r="T125" s="8">
        <v>1735</v>
      </c>
      <c r="U125" s="3"/>
      <c r="V125" s="7">
        <f t="shared" si="105"/>
        <v>5.253866209615635E-3</v>
      </c>
      <c r="W125" s="3"/>
      <c r="X125" s="8">
        <f t="shared" si="106"/>
        <v>-461.55999999999995</v>
      </c>
      <c r="Y125" s="3"/>
      <c r="Z125" s="7">
        <f t="shared" si="107"/>
        <v>-0.26602881844380399</v>
      </c>
    </row>
    <row r="126" spans="1:26" s="27" customFormat="1" outlineLevel="1" collapsed="1" x14ac:dyDescent="0.3">
      <c r="A126" s="28"/>
      <c r="B126" s="14" t="str">
        <f>CONCATENATE("     ","Travel                                            ")</f>
        <v xml:space="preserve">     Travel                                            </v>
      </c>
      <c r="C126" s="14"/>
      <c r="D126" s="1">
        <f>SUM(OSRRefD22_22x_0)</f>
        <v>683.14</v>
      </c>
      <c r="E126" s="1"/>
      <c r="F126" s="5">
        <f t="shared" ref="F126:F129" si="108">IF(D$12=0,0,D126/D$12)</f>
        <v>3.0981655997041604E-3</v>
      </c>
      <c r="G126" s="1"/>
      <c r="H126" s="1">
        <f>SUM(OSRRefH22_22x_0)</f>
        <v>175</v>
      </c>
      <c r="I126" s="1"/>
      <c r="J126" s="5">
        <f t="shared" ref="J126:J129" si="109">IF(H$12=0,0,H126/H$12)</f>
        <v>5.299288684050352E-4</v>
      </c>
      <c r="K126" s="1"/>
      <c r="L126" s="1">
        <f t="shared" ref="L126:L129" si="110">+D126-H126</f>
        <v>508.14</v>
      </c>
      <c r="M126" s="1"/>
      <c r="N126" s="5">
        <f t="shared" ref="N126:N129" si="111">IF(H126=0,0,L126/H126)</f>
        <v>2.9036571428571429</v>
      </c>
      <c r="O126" s="14"/>
      <c r="P126" s="1">
        <f>SUM(OSRRefP22_22x_0)</f>
        <v>683.14</v>
      </c>
      <c r="Q126" s="1"/>
      <c r="R126" s="5">
        <f t="shared" ref="R126:R129" si="112">IF(P$12=0,0,P126/P$12)</f>
        <v>3.0981655997041604E-3</v>
      </c>
      <c r="S126" s="1"/>
      <c r="T126" s="1">
        <f>SUM(OSRRefT22_22x_0)</f>
        <v>175</v>
      </c>
      <c r="U126" s="1"/>
      <c r="V126" s="5">
        <f t="shared" ref="V126:V129" si="113">IF(T$12=0,0,T126/T$12)</f>
        <v>5.299288684050352E-4</v>
      </c>
      <c r="W126" s="1"/>
      <c r="X126" s="1">
        <f t="shared" ref="X126:X129" si="114">+P126-T126</f>
        <v>508.14</v>
      </c>
      <c r="Y126" s="1"/>
      <c r="Z126" s="5">
        <f t="shared" ref="Z126:Z129" si="115">IF(T126=0,0,X126/T126)</f>
        <v>2.9036571428571429</v>
      </c>
    </row>
    <row r="127" spans="1:26" s="24" customFormat="1" hidden="1" outlineLevel="2" x14ac:dyDescent="0.3">
      <c r="A127" s="29"/>
      <c r="B127" s="11" t="str">
        <f>CONCATENATE("          ", "6292", " - ", "TRAVEL/CONFERENCE")</f>
        <v xml:space="preserve">          6292 - TRAVEL/CONFERENCE</v>
      </c>
      <c r="C127" s="11"/>
      <c r="D127" s="8">
        <v>495</v>
      </c>
      <c r="E127" s="3"/>
      <c r="F127" s="7">
        <f t="shared" si="108"/>
        <v>2.2449160814087296E-3</v>
      </c>
      <c r="G127" s="3"/>
      <c r="H127" s="8">
        <v>125</v>
      </c>
      <c r="I127" s="3"/>
      <c r="J127" s="7">
        <f t="shared" si="109"/>
        <v>3.7852062028931088E-4</v>
      </c>
      <c r="K127" s="3"/>
      <c r="L127" s="8">
        <f t="shared" si="110"/>
        <v>370</v>
      </c>
      <c r="M127" s="3"/>
      <c r="N127" s="7">
        <f t="shared" si="111"/>
        <v>2.96</v>
      </c>
      <c r="O127" s="11"/>
      <c r="P127" s="8">
        <v>495</v>
      </c>
      <c r="Q127" s="3"/>
      <c r="R127" s="7">
        <f t="shared" si="112"/>
        <v>2.2449160814087296E-3</v>
      </c>
      <c r="S127" s="3"/>
      <c r="T127" s="8">
        <v>125</v>
      </c>
      <c r="U127" s="3"/>
      <c r="V127" s="7">
        <f t="shared" si="113"/>
        <v>3.7852062028931088E-4</v>
      </c>
      <c r="W127" s="3"/>
      <c r="X127" s="8">
        <f t="shared" si="114"/>
        <v>370</v>
      </c>
      <c r="Y127" s="3"/>
      <c r="Z127" s="7">
        <f t="shared" si="115"/>
        <v>2.96</v>
      </c>
    </row>
    <row r="128" spans="1:26" s="24" customFormat="1" hidden="1" outlineLevel="2" x14ac:dyDescent="0.3">
      <c r="A128" s="29"/>
      <c r="B128" s="11" t="str">
        <f>CONCATENATE("          ", "6294", " - ", "TRAVEL OPERATIONAL")</f>
        <v xml:space="preserve">          6294 - TRAVEL OPERATIONAL</v>
      </c>
      <c r="C128" s="11"/>
      <c r="D128" s="8">
        <v>188.14</v>
      </c>
      <c r="E128" s="3"/>
      <c r="F128" s="7">
        <f t="shared" si="108"/>
        <v>8.5324951829543092E-4</v>
      </c>
      <c r="G128" s="3"/>
      <c r="H128" s="8">
        <v>25</v>
      </c>
      <c r="I128" s="3"/>
      <c r="J128" s="7">
        <f t="shared" si="109"/>
        <v>7.5704124057862174E-5</v>
      </c>
      <c r="K128" s="3"/>
      <c r="L128" s="8">
        <f t="shared" si="110"/>
        <v>163.13999999999999</v>
      </c>
      <c r="M128" s="3"/>
      <c r="N128" s="7">
        <f t="shared" si="111"/>
        <v>6.5255999999999998</v>
      </c>
      <c r="O128" s="11"/>
      <c r="P128" s="8">
        <v>188.14</v>
      </c>
      <c r="Q128" s="3"/>
      <c r="R128" s="7">
        <f t="shared" si="112"/>
        <v>8.5324951829543092E-4</v>
      </c>
      <c r="S128" s="3"/>
      <c r="T128" s="8">
        <v>25</v>
      </c>
      <c r="U128" s="3"/>
      <c r="V128" s="7">
        <f t="shared" si="113"/>
        <v>7.5704124057862174E-5</v>
      </c>
      <c r="W128" s="3"/>
      <c r="X128" s="8">
        <f t="shared" si="114"/>
        <v>163.13999999999999</v>
      </c>
      <c r="Y128" s="3"/>
      <c r="Z128" s="7">
        <f t="shared" si="115"/>
        <v>6.5255999999999998</v>
      </c>
    </row>
    <row r="129" spans="1:26" s="24" customFormat="1" hidden="1" outlineLevel="2" x14ac:dyDescent="0.3">
      <c r="A129" s="29"/>
      <c r="B129" s="11" t="str">
        <f>CONCATENATE("          ", "6298", " - ", "VEHICLE MILEAGE")</f>
        <v xml:space="preserve">          6298 - VEHICLE MILEAGE</v>
      </c>
      <c r="C129" s="11"/>
      <c r="D129" s="8"/>
      <c r="E129" s="3"/>
      <c r="F129" s="7">
        <f t="shared" si="108"/>
        <v>0</v>
      </c>
      <c r="G129" s="3"/>
      <c r="H129" s="8">
        <v>25</v>
      </c>
      <c r="I129" s="3"/>
      <c r="J129" s="7">
        <f t="shared" si="109"/>
        <v>7.5704124057862174E-5</v>
      </c>
      <c r="K129" s="3"/>
      <c r="L129" s="8">
        <f t="shared" si="110"/>
        <v>-25</v>
      </c>
      <c r="M129" s="3"/>
      <c r="N129" s="7">
        <f t="shared" si="111"/>
        <v>-1</v>
      </c>
      <c r="O129" s="11"/>
      <c r="P129" s="8"/>
      <c r="Q129" s="3"/>
      <c r="R129" s="7">
        <f t="shared" si="112"/>
        <v>0</v>
      </c>
      <c r="S129" s="3"/>
      <c r="T129" s="8">
        <v>25</v>
      </c>
      <c r="U129" s="3"/>
      <c r="V129" s="7">
        <f t="shared" si="113"/>
        <v>7.5704124057862174E-5</v>
      </c>
      <c r="W129" s="3"/>
      <c r="X129" s="8">
        <f t="shared" si="114"/>
        <v>-25</v>
      </c>
      <c r="Y129" s="3"/>
      <c r="Z129" s="7">
        <f t="shared" si="115"/>
        <v>-1</v>
      </c>
    </row>
    <row r="130" spans="1:26" s="27" customFormat="1" outlineLevel="1" collapsed="1" x14ac:dyDescent="0.3">
      <c r="A130" s="28"/>
      <c r="B130" s="14" t="str">
        <f>CONCATENATE("     ","Utilities                                         ")</f>
        <v xml:space="preserve">     Utilities                                         </v>
      </c>
      <c r="C130" s="14"/>
      <c r="D130" s="1">
        <f>SUM(OSRRefD22_23x_0)</f>
        <v>6036.49</v>
      </c>
      <c r="E130" s="1"/>
      <c r="F130" s="5">
        <f t="shared" ref="F130:F131" si="116">IF(D$12=0,0,D130/D$12)</f>
        <v>2.7376592881339354E-2</v>
      </c>
      <c r="G130" s="1"/>
      <c r="H130" s="1">
        <f>SUM(OSRRefH22_23x_0)</f>
        <v>6120</v>
      </c>
      <c r="I130" s="1"/>
      <c r="J130" s="5">
        <f t="shared" ref="J130:J131" si="117">IF(H$12=0,0,H130/H$12)</f>
        <v>1.853236956936466E-2</v>
      </c>
      <c r="K130" s="1"/>
      <c r="L130" s="1">
        <f t="shared" ref="L130:L131" si="118">+D130-H130</f>
        <v>-83.510000000000218</v>
      </c>
      <c r="M130" s="1"/>
      <c r="N130" s="5">
        <f t="shared" ref="N130:N131" si="119">IF(H130=0,0,L130/H130)</f>
        <v>-1.3645424836601344E-2</v>
      </c>
      <c r="O130" s="14"/>
      <c r="P130" s="1">
        <f>SUM(OSRRefP22_23x_0)</f>
        <v>6036.49</v>
      </c>
      <c r="Q130" s="1"/>
      <c r="R130" s="5">
        <f t="shared" ref="R130:R131" si="120">IF(P$12=0,0,P130/P$12)</f>
        <v>2.7376592881339354E-2</v>
      </c>
      <c r="S130" s="1"/>
      <c r="T130" s="1">
        <f>SUM(OSRRefT22_23x_0)</f>
        <v>6120</v>
      </c>
      <c r="U130" s="1"/>
      <c r="V130" s="5">
        <f t="shared" ref="V130:V131" si="121">IF(T$12=0,0,T130/T$12)</f>
        <v>1.853236956936466E-2</v>
      </c>
      <c r="W130" s="1"/>
      <c r="X130" s="1">
        <f t="shared" ref="X130:X131" si="122">+P130-T130</f>
        <v>-83.510000000000218</v>
      </c>
      <c r="Y130" s="1"/>
      <c r="Z130" s="5">
        <f t="shared" ref="Z130:Z131" si="123">IF(T130=0,0,X130/T130)</f>
        <v>-1.3645424836601344E-2</v>
      </c>
    </row>
    <row r="131" spans="1:26" s="24" customFormat="1" hidden="1" outlineLevel="2" x14ac:dyDescent="0.3">
      <c r="A131" s="29"/>
      <c r="B131" s="11" t="str">
        <f>CONCATENATE("          ", "6274", " - ", "UTILITIES")</f>
        <v xml:space="preserve">          6274 - UTILITIES</v>
      </c>
      <c r="C131" s="11"/>
      <c r="D131" s="8">
        <v>6036.49</v>
      </c>
      <c r="E131" s="3"/>
      <c r="F131" s="7">
        <f t="shared" si="116"/>
        <v>2.7376592881339354E-2</v>
      </c>
      <c r="G131" s="3"/>
      <c r="H131" s="8">
        <v>6120</v>
      </c>
      <c r="I131" s="3"/>
      <c r="J131" s="7">
        <f t="shared" si="117"/>
        <v>1.853236956936466E-2</v>
      </c>
      <c r="K131" s="3"/>
      <c r="L131" s="8">
        <f t="shared" si="118"/>
        <v>-83.510000000000218</v>
      </c>
      <c r="M131" s="3"/>
      <c r="N131" s="7">
        <f t="shared" si="119"/>
        <v>-1.3645424836601344E-2</v>
      </c>
      <c r="O131" s="11"/>
      <c r="P131" s="8">
        <v>6036.49</v>
      </c>
      <c r="Q131" s="3"/>
      <c r="R131" s="7">
        <f t="shared" si="120"/>
        <v>2.7376592881339354E-2</v>
      </c>
      <c r="S131" s="3"/>
      <c r="T131" s="8">
        <v>6120</v>
      </c>
      <c r="U131" s="3"/>
      <c r="V131" s="7">
        <f t="shared" si="121"/>
        <v>1.853236956936466E-2</v>
      </c>
      <c r="W131" s="3"/>
      <c r="X131" s="8">
        <f t="shared" si="122"/>
        <v>-83.510000000000218</v>
      </c>
      <c r="Y131" s="3"/>
      <c r="Z131" s="7">
        <f t="shared" si="123"/>
        <v>-1.3645424836601344E-2</v>
      </c>
    </row>
    <row r="132" spans="1:26" s="62" customFormat="1" x14ac:dyDescent="0.3">
      <c r="A132" s="36"/>
      <c r="B132" s="36"/>
      <c r="C132" s="36"/>
      <c r="D132" s="1"/>
      <c r="E132" s="1"/>
      <c r="F132" s="5"/>
      <c r="G132" s="1"/>
      <c r="H132" s="1"/>
      <c r="I132" s="1"/>
      <c r="J132" s="5"/>
      <c r="K132" s="1"/>
      <c r="L132" s="1"/>
      <c r="M132" s="1"/>
      <c r="N132" s="5"/>
      <c r="O132" s="36"/>
      <c r="P132" s="1"/>
      <c r="Q132" s="1"/>
      <c r="R132" s="5"/>
      <c r="S132" s="1"/>
      <c r="T132" s="1"/>
      <c r="U132" s="1"/>
      <c r="V132" s="5"/>
      <c r="W132" s="1"/>
      <c r="X132" s="1"/>
      <c r="Y132" s="1"/>
      <c r="Z132" s="5"/>
    </row>
    <row r="133" spans="1:26" s="23" customFormat="1" collapsed="1" x14ac:dyDescent="0.3">
      <c r="A133" s="10"/>
      <c r="B133" s="25" t="s">
        <v>293</v>
      </c>
      <c r="C133" s="10"/>
      <c r="D133" s="4">
        <f>SUM(OSRRefD25x_0)</f>
        <v>39640.85</v>
      </c>
      <c r="E133" s="4"/>
      <c r="F133" s="12">
        <f t="shared" ref="F133:F137" si="124">IF(D$12=0,0,D133/D$12)</f>
        <v>0.17977854877921459</v>
      </c>
      <c r="G133" s="4"/>
      <c r="H133" s="4">
        <f>SUM(OSRRefH25x_0)</f>
        <v>21702</v>
      </c>
      <c r="I133" s="4"/>
      <c r="J133" s="12">
        <f t="shared" ref="J133:J137" si="125">IF(H$12=0,0,H133/H$12)</f>
        <v>6.5717236012149002E-2</v>
      </c>
      <c r="K133" s="4"/>
      <c r="L133" s="4">
        <f t="shared" ref="L133:L137" si="126">+D133-H133</f>
        <v>17938.849999999999</v>
      </c>
      <c r="M133" s="4"/>
      <c r="N133" s="12">
        <f t="shared" ref="N133:N137" si="127">IF(H133=0,0,L133/H133)</f>
        <v>0.82659893097410375</v>
      </c>
      <c r="O133" s="10"/>
      <c r="P133" s="4">
        <f>SUM(OSRRefP25x_0)</f>
        <v>39640.85</v>
      </c>
      <c r="Q133" s="4"/>
      <c r="R133" s="12">
        <f t="shared" ref="R133:R137" si="128">IF(P$12=0,0,P133/P$12)</f>
        <v>0.17977854877921459</v>
      </c>
      <c r="S133" s="4"/>
      <c r="T133" s="4">
        <f>SUM(OSRRefT25x_0)</f>
        <v>21702</v>
      </c>
      <c r="U133" s="4"/>
      <c r="V133" s="12">
        <f t="shared" ref="V133:V137" si="129">IF(T$12=0,0,T133/T$12)</f>
        <v>6.5717236012149002E-2</v>
      </c>
      <c r="W133" s="4"/>
      <c r="X133" s="4">
        <f t="shared" ref="X133:X137" si="130">+P133-T133</f>
        <v>17938.849999999999</v>
      </c>
      <c r="Y133" s="4"/>
      <c r="Z133" s="12">
        <f t="shared" ref="Z133:Z137" si="131">IF(T133=0,0,X133/T133)</f>
        <v>0.82659893097410375</v>
      </c>
    </row>
    <row r="134" spans="1:26" s="24" customFormat="1" hidden="1" outlineLevel="1" x14ac:dyDescent="0.3">
      <c r="A134" s="44"/>
      <c r="B134" s="11" t="str">
        <f>CONCATENATE("          ", "9150", " - ", "MISC. INCOME")</f>
        <v xml:space="preserve">          9150 - MISC. INCOME</v>
      </c>
      <c r="C134" s="11"/>
      <c r="D134" s="3">
        <f>--33244.99</f>
        <v>33244.99</v>
      </c>
      <c r="E134" s="3"/>
      <c r="F134" s="19">
        <f t="shared" si="124"/>
        <v>0.15077214682277251</v>
      </c>
      <c r="G134" s="3"/>
      <c r="H134" s="3">
        <v>21702</v>
      </c>
      <c r="I134" s="3"/>
      <c r="J134" s="19">
        <f t="shared" si="125"/>
        <v>6.5717236012149002E-2</v>
      </c>
      <c r="K134" s="3"/>
      <c r="L134" s="3">
        <f t="shared" si="126"/>
        <v>11542.989999999998</v>
      </c>
      <c r="M134" s="3"/>
      <c r="N134" s="19">
        <f t="shared" si="127"/>
        <v>0.53188600129020358</v>
      </c>
      <c r="O134" s="11"/>
      <c r="P134" s="3">
        <f>--33244.99</f>
        <v>33244.99</v>
      </c>
      <c r="Q134" s="3"/>
      <c r="R134" s="19">
        <f t="shared" si="128"/>
        <v>0.15077214682277251</v>
      </c>
      <c r="S134" s="3"/>
      <c r="T134" s="3">
        <v>21702</v>
      </c>
      <c r="U134" s="3"/>
      <c r="V134" s="19">
        <f t="shared" si="129"/>
        <v>6.5717236012149002E-2</v>
      </c>
      <c r="W134" s="3"/>
      <c r="X134" s="3">
        <f t="shared" si="130"/>
        <v>11542.989999999998</v>
      </c>
      <c r="Y134" s="3"/>
      <c r="Z134" s="19">
        <f t="shared" si="131"/>
        <v>0.53188600129020358</v>
      </c>
    </row>
    <row r="135" spans="1:26" s="24" customFormat="1" hidden="1" outlineLevel="1" x14ac:dyDescent="0.3">
      <c r="A135" s="44"/>
      <c r="B135" s="11" t="str">
        <f>CONCATENATE("          ", "9152", " - ", "MISC. INCOME")</f>
        <v xml:space="preserve">          9152 - MISC. INCOME</v>
      </c>
      <c r="C135" s="11"/>
      <c r="D135" s="3">
        <f>--66.92</f>
        <v>66.92</v>
      </c>
      <c r="E135" s="3"/>
      <c r="F135" s="19">
        <f t="shared" si="124"/>
        <v>3.0349451347044885E-4</v>
      </c>
      <c r="G135" s="3"/>
      <c r="H135" s="3"/>
      <c r="I135" s="3"/>
      <c r="J135" s="19">
        <f t="shared" si="125"/>
        <v>0</v>
      </c>
      <c r="K135" s="3"/>
      <c r="L135" s="3">
        <f t="shared" si="126"/>
        <v>66.92</v>
      </c>
      <c r="M135" s="3"/>
      <c r="N135" s="19">
        <f t="shared" si="127"/>
        <v>0</v>
      </c>
      <c r="O135" s="11"/>
      <c r="P135" s="3">
        <f>--66.92</f>
        <v>66.92</v>
      </c>
      <c r="Q135" s="3"/>
      <c r="R135" s="19">
        <f t="shared" si="128"/>
        <v>3.0349451347044885E-4</v>
      </c>
      <c r="S135" s="3"/>
      <c r="T135" s="3"/>
      <c r="U135" s="3"/>
      <c r="V135" s="19">
        <f t="shared" si="129"/>
        <v>0</v>
      </c>
      <c r="W135" s="3"/>
      <c r="X135" s="3">
        <f t="shared" si="130"/>
        <v>66.92</v>
      </c>
      <c r="Y135" s="3"/>
      <c r="Z135" s="19">
        <f t="shared" si="131"/>
        <v>0</v>
      </c>
    </row>
    <row r="136" spans="1:26" s="24" customFormat="1" hidden="1" outlineLevel="1" x14ac:dyDescent="0.3">
      <c r="A136" s="44"/>
      <c r="B136" s="11" t="str">
        <f>CONCATENATE("          ", "9160", " - ", "MISC. INCOME")</f>
        <v xml:space="preserve">          9160 - MISC. INCOME</v>
      </c>
      <c r="C136" s="11"/>
      <c r="D136" s="3">
        <f>0</f>
        <v>0</v>
      </c>
      <c r="E136" s="3"/>
      <c r="F136" s="19">
        <f t="shared" si="124"/>
        <v>0</v>
      </c>
      <c r="G136" s="3"/>
      <c r="H136" s="3">
        <v>0</v>
      </c>
      <c r="I136" s="3"/>
      <c r="J136" s="19">
        <f t="shared" si="125"/>
        <v>0</v>
      </c>
      <c r="K136" s="3"/>
      <c r="L136" s="3">
        <f t="shared" si="126"/>
        <v>0</v>
      </c>
      <c r="M136" s="3"/>
      <c r="N136" s="19">
        <f t="shared" si="127"/>
        <v>0</v>
      </c>
      <c r="O136" s="11"/>
      <c r="P136" s="3">
        <f>0</f>
        <v>0</v>
      </c>
      <c r="Q136" s="3"/>
      <c r="R136" s="19">
        <f t="shared" si="128"/>
        <v>0</v>
      </c>
      <c r="S136" s="3"/>
      <c r="T136" s="3">
        <v>0</v>
      </c>
      <c r="U136" s="3"/>
      <c r="V136" s="19">
        <f t="shared" si="129"/>
        <v>0</v>
      </c>
      <c r="W136" s="3"/>
      <c r="X136" s="3">
        <f t="shared" si="130"/>
        <v>0</v>
      </c>
      <c r="Y136" s="3"/>
      <c r="Z136" s="19">
        <f t="shared" si="131"/>
        <v>0</v>
      </c>
    </row>
    <row r="137" spans="1:26" s="24" customFormat="1" hidden="1" outlineLevel="1" x14ac:dyDescent="0.3">
      <c r="A137" s="44"/>
      <c r="B137" s="11" t="str">
        <f>CONCATENATE("          ", "9163", " - ", "MISC. INCOME")</f>
        <v xml:space="preserve">          9163 - MISC. INCOME</v>
      </c>
      <c r="C137" s="11"/>
      <c r="D137" s="3">
        <f>--6328.94</f>
        <v>6328.94</v>
      </c>
      <c r="E137" s="3"/>
      <c r="F137" s="19">
        <f t="shared" si="124"/>
        <v>2.8702907442971642E-2</v>
      </c>
      <c r="G137" s="3"/>
      <c r="H137" s="3"/>
      <c r="I137" s="3"/>
      <c r="J137" s="19">
        <f t="shared" si="125"/>
        <v>0</v>
      </c>
      <c r="K137" s="3"/>
      <c r="L137" s="3">
        <f t="shared" si="126"/>
        <v>6328.94</v>
      </c>
      <c r="M137" s="3"/>
      <c r="N137" s="19">
        <f t="shared" si="127"/>
        <v>0</v>
      </c>
      <c r="O137" s="11"/>
      <c r="P137" s="3">
        <f>--6328.94</f>
        <v>6328.94</v>
      </c>
      <c r="Q137" s="3"/>
      <c r="R137" s="19">
        <f t="shared" si="128"/>
        <v>2.8702907442971642E-2</v>
      </c>
      <c r="S137" s="3"/>
      <c r="T137" s="3"/>
      <c r="U137" s="3"/>
      <c r="V137" s="19">
        <f t="shared" si="129"/>
        <v>0</v>
      </c>
      <c r="W137" s="3"/>
      <c r="X137" s="3">
        <f t="shared" si="130"/>
        <v>6328.94</v>
      </c>
      <c r="Y137" s="3"/>
      <c r="Z137" s="19">
        <f t="shared" si="131"/>
        <v>0</v>
      </c>
    </row>
    <row r="138" spans="1:26" x14ac:dyDescent="0.3">
      <c r="A138" s="9"/>
      <c r="B138" s="10"/>
      <c r="C138" s="10"/>
      <c r="D138" s="2"/>
      <c r="E138" s="2"/>
      <c r="F138" s="6"/>
      <c r="G138" s="2"/>
      <c r="H138" s="2"/>
      <c r="I138" s="2"/>
      <c r="J138" s="6"/>
      <c r="K138" s="2"/>
      <c r="L138" s="2"/>
      <c r="M138" s="2"/>
      <c r="N138" s="6"/>
      <c r="O138" s="10"/>
      <c r="P138" s="2"/>
      <c r="Q138" s="2"/>
      <c r="R138" s="6"/>
      <c r="S138" s="2"/>
      <c r="T138" s="2"/>
      <c r="U138" s="2"/>
      <c r="V138" s="6"/>
      <c r="W138" s="2"/>
      <c r="X138" s="2"/>
      <c r="Y138" s="2"/>
      <c r="Z138" s="6"/>
    </row>
    <row r="139" spans="1:26" s="23" customFormat="1" x14ac:dyDescent="0.3">
      <c r="A139" s="10"/>
      <c r="B139" s="26" t="s">
        <v>277</v>
      </c>
      <c r="C139" s="26"/>
      <c r="D139" s="21">
        <f>+D42-D44+D133</f>
        <v>-230712.69999999981</v>
      </c>
      <c r="E139" s="13"/>
      <c r="F139" s="22">
        <f>IF(D$12=0,0,D139/D$12)</f>
        <v>-1.0463245462933886</v>
      </c>
      <c r="G139" s="13"/>
      <c r="H139" s="21">
        <f>+H42-H44+H133</f>
        <v>-256236.00200652564</v>
      </c>
      <c r="I139" s="13"/>
      <c r="J139" s="22">
        <f>IF(H$12=0,0,H139/H$12)</f>
        <v>-0.77592488335970555</v>
      </c>
      <c r="K139" s="16"/>
      <c r="L139" s="21">
        <f>+D139-H139</f>
        <v>25523.302006525832</v>
      </c>
      <c r="M139" s="16"/>
      <c r="N139" s="22">
        <f>IF(H139=0,0,L139/H139)</f>
        <v>-9.9608571030841406E-2</v>
      </c>
      <c r="O139" s="25"/>
      <c r="P139" s="21">
        <f>+P42-P44+P133</f>
        <v>-230712.69999999981</v>
      </c>
      <c r="Q139" s="13"/>
      <c r="R139" s="22">
        <f>IF(P$12=0,0,P139/P$12)</f>
        <v>-1.0463245462933886</v>
      </c>
      <c r="S139" s="13"/>
      <c r="T139" s="21">
        <f>+T42-T44+T133</f>
        <v>-256236.00200652564</v>
      </c>
      <c r="U139" s="13"/>
      <c r="V139" s="22">
        <f>IF(T$12=0,0,T139/T$12)</f>
        <v>-0.77592488335970555</v>
      </c>
      <c r="W139" s="16"/>
      <c r="X139" s="21">
        <f>+P139-T139</f>
        <v>25523.302006525832</v>
      </c>
      <c r="Y139" s="16"/>
      <c r="Z139" s="22">
        <f>IF(T139=0,0,X139/T139)</f>
        <v>-9.9608571030841406E-2</v>
      </c>
    </row>
    <row r="140" spans="1:26" x14ac:dyDescent="0.3">
      <c r="A140" s="9"/>
      <c r="B140" s="10"/>
      <c r="C140" s="9"/>
      <c r="D140" s="2"/>
      <c r="E140" s="2"/>
      <c r="F140" s="6"/>
      <c r="G140" s="2"/>
      <c r="H140" s="2"/>
      <c r="I140" s="2"/>
      <c r="J140" s="6"/>
      <c r="K140" s="2"/>
      <c r="L140" s="2"/>
      <c r="M140" s="2"/>
      <c r="N140" s="6"/>
      <c r="P140" s="2"/>
      <c r="Q140" s="2"/>
      <c r="R140" s="6"/>
      <c r="S140" s="2"/>
      <c r="T140" s="2"/>
      <c r="U140" s="2"/>
      <c r="V140" s="6"/>
      <c r="W140" s="2"/>
      <c r="X140" s="2"/>
      <c r="Y140" s="2"/>
      <c r="Z140" s="6"/>
    </row>
    <row r="141" spans="1:26" s="23" customFormat="1" x14ac:dyDescent="0.3">
      <c r="A141" s="52"/>
      <c r="B141" s="10" t="s">
        <v>128</v>
      </c>
      <c r="C141" s="10"/>
      <c r="D141" s="4">
        <v>101869.27</v>
      </c>
      <c r="E141" s="4"/>
      <c r="F141" s="12">
        <f>IF(D$12=0,0,D141/D$12)</f>
        <v>0.46199588368559164</v>
      </c>
      <c r="G141" s="4"/>
      <c r="H141" s="4">
        <v>119594</v>
      </c>
      <c r="I141" s="4"/>
      <c r="J141" s="12">
        <f>IF(H$12=0,0,H141/H$12)</f>
        <v>0.36215036050303878</v>
      </c>
      <c r="K141" s="4"/>
      <c r="L141" s="4">
        <f>+D141-H141</f>
        <v>-17724.729999999996</v>
      </c>
      <c r="M141" s="4"/>
      <c r="N141" s="12">
        <f>IF(H141=0,0,L141/H141)</f>
        <v>-0.14820751877184471</v>
      </c>
      <c r="O141" s="10"/>
      <c r="P141" s="4">
        <v>101869.27</v>
      </c>
      <c r="Q141" s="4"/>
      <c r="R141" s="12">
        <f>IF(P$12=0,0,P141/P$12)</f>
        <v>0.46199588368559164</v>
      </c>
      <c r="S141" s="4"/>
      <c r="T141" s="4">
        <v>119594</v>
      </c>
      <c r="U141" s="4"/>
      <c r="V141" s="12">
        <f>IF(T$12=0,0,T141/T$12)</f>
        <v>0.36215036050303878</v>
      </c>
      <c r="W141" s="4"/>
      <c r="X141" s="4">
        <f>+P141-T141</f>
        <v>-17724.729999999996</v>
      </c>
      <c r="Y141" s="4"/>
      <c r="Z141" s="12">
        <f>IF(T141=0,0,X141/T141)</f>
        <v>-0.14820751877184471</v>
      </c>
    </row>
    <row r="142" spans="1:26" x14ac:dyDescent="0.3">
      <c r="A142" s="9"/>
      <c r="B142" s="10"/>
      <c r="C142" s="10"/>
      <c r="D142" s="2"/>
      <c r="E142" s="2"/>
      <c r="F142" s="6"/>
      <c r="G142" s="2"/>
      <c r="H142" s="2"/>
      <c r="I142" s="2"/>
      <c r="J142" s="6"/>
      <c r="K142" s="2"/>
      <c r="L142" s="2"/>
      <c r="M142" s="2"/>
      <c r="N142" s="6"/>
      <c r="O142" s="10"/>
      <c r="P142" s="2"/>
      <c r="Q142" s="2"/>
      <c r="R142" s="6"/>
      <c r="S142" s="2"/>
      <c r="T142" s="2"/>
      <c r="U142" s="2"/>
      <c r="V142" s="6"/>
      <c r="W142" s="2"/>
      <c r="X142" s="2"/>
      <c r="Y142" s="2"/>
      <c r="Z142" s="6"/>
    </row>
    <row r="143" spans="1:26" s="23" customFormat="1" ht="15" thickBot="1" x14ac:dyDescent="0.35">
      <c r="A143" s="10"/>
      <c r="B143" s="26" t="s">
        <v>126</v>
      </c>
      <c r="C143" s="26"/>
      <c r="D143" s="35">
        <f>+D139-D141</f>
        <v>-332581.9699999998</v>
      </c>
      <c r="E143" s="13"/>
      <c r="F143" s="30">
        <f>IF(D$12=0,0,D143/D$12)</f>
        <v>-1.5083204299789801</v>
      </c>
      <c r="G143" s="13"/>
      <c r="H143" s="35">
        <f>+H139-H141</f>
        <v>-375830.00200652564</v>
      </c>
      <c r="I143" s="13"/>
      <c r="J143" s="30">
        <f>IF(H$12=0,0,H143/H$12)</f>
        <v>-1.1380752438627444</v>
      </c>
      <c r="K143" s="16"/>
      <c r="L143" s="35">
        <f>D143-H143</f>
        <v>43248.032006525842</v>
      </c>
      <c r="M143" s="16"/>
      <c r="N143" s="30">
        <f>IF(H143=0,0,L143/H143)</f>
        <v>-0.11507338896742712</v>
      </c>
      <c r="O143" s="25"/>
      <c r="P143" s="35">
        <f>+P139-P141</f>
        <v>-332581.9699999998</v>
      </c>
      <c r="Q143" s="13"/>
      <c r="R143" s="30">
        <f>IF(P$12=0,0,P143/P$12)</f>
        <v>-1.5083204299789801</v>
      </c>
      <c r="S143" s="13"/>
      <c r="T143" s="35">
        <f>+T139-T141</f>
        <v>-375830.00200652564</v>
      </c>
      <c r="U143" s="13"/>
      <c r="V143" s="30">
        <f>IF(T$12=0,0,T143/T$12)</f>
        <v>-1.1380752438627444</v>
      </c>
      <c r="W143" s="16"/>
      <c r="X143" s="35">
        <f>P143-T143</f>
        <v>43248.032006525842</v>
      </c>
      <c r="Y143" s="16"/>
      <c r="Z143" s="30">
        <f>IF(T143=0,0,X143/T143)</f>
        <v>-0.11507338896742712</v>
      </c>
    </row>
    <row r="144" spans="1:26" ht="15" thickTop="1" x14ac:dyDescent="0.3">
      <c r="A144" s="9"/>
      <c r="B144" s="9"/>
      <c r="C144" s="9"/>
      <c r="D144" s="2"/>
      <c r="E144" s="2"/>
      <c r="F144" s="6"/>
      <c r="G144" s="2"/>
      <c r="H144" s="2"/>
      <c r="I144" s="2"/>
      <c r="J144" s="6"/>
      <c r="K144" s="2"/>
      <c r="L144" s="2"/>
      <c r="M144" s="2"/>
      <c r="N144" s="6"/>
      <c r="P144" s="2"/>
      <c r="Q144" s="2"/>
      <c r="R144" s="6"/>
      <c r="S144" s="2"/>
      <c r="T144" s="2"/>
      <c r="U144" s="2"/>
      <c r="V144" s="6"/>
      <c r="W144" s="2"/>
      <c r="X144" s="2"/>
      <c r="Y144" s="2"/>
      <c r="Z144" s="6"/>
    </row>
    <row r="145" spans="1:26" x14ac:dyDescent="0.3">
      <c r="A145" s="9"/>
      <c r="B145" s="9"/>
      <c r="C145" s="9"/>
      <c r="D145" s="2"/>
      <c r="E145" s="2"/>
      <c r="F145" s="6"/>
      <c r="G145" s="2"/>
      <c r="H145" s="2"/>
      <c r="I145" s="2"/>
      <c r="J145" s="6"/>
      <c r="K145" s="2"/>
      <c r="L145" s="2"/>
      <c r="M145" s="2"/>
      <c r="N145" s="6"/>
      <c r="P145" s="2"/>
      <c r="Q145" s="2"/>
      <c r="R145" s="6"/>
      <c r="S145" s="2"/>
      <c r="T145" s="2"/>
      <c r="U145" s="2"/>
      <c r="V145" s="6"/>
      <c r="W145" s="2"/>
      <c r="X145" s="2"/>
      <c r="Y145" s="2"/>
      <c r="Z145" s="6"/>
    </row>
    <row r="146" spans="1:26" s="23" customFormat="1" ht="15" thickBot="1" x14ac:dyDescent="0.35">
      <c r="A146" s="10"/>
      <c r="B146" s="26" t="s">
        <v>294</v>
      </c>
      <c r="C146" s="26"/>
      <c r="D146" s="33">
        <f>SUM(D143:D145)</f>
        <v>-332581.9699999998</v>
      </c>
      <c r="E146" s="13"/>
      <c r="F146" s="31">
        <f>IF(D$12=0,0,D146/D$12)</f>
        <v>-1.5083204299789801</v>
      </c>
      <c r="G146" s="13"/>
      <c r="H146" s="33">
        <f>SUM(H143:H145)</f>
        <v>-375830.00200652564</v>
      </c>
      <c r="I146" s="13"/>
      <c r="J146" s="31">
        <f>IF(H$12=0,0,H146/H$12)</f>
        <v>-1.1380752438627444</v>
      </c>
      <c r="K146" s="16"/>
      <c r="L146" s="33">
        <f>+D146-H146</f>
        <v>43248.032006525842</v>
      </c>
      <c r="M146" s="16"/>
      <c r="N146" s="31">
        <f>IF(H146=0,0,L146/H146)</f>
        <v>-0.11507338896742712</v>
      </c>
      <c r="O146" s="25"/>
      <c r="P146" s="33">
        <f>SUM(P143:P145)</f>
        <v>-332581.9699999998</v>
      </c>
      <c r="Q146" s="13"/>
      <c r="R146" s="31">
        <f>IF(P$12=0,0,P146/P$12)</f>
        <v>-1.5083204299789801</v>
      </c>
      <c r="S146" s="13"/>
      <c r="T146" s="33">
        <f>SUM(T143:T145)</f>
        <v>-375830.00200652564</v>
      </c>
      <c r="U146" s="13"/>
      <c r="V146" s="31">
        <f>IF(T$12=0,0,T146/T$12)</f>
        <v>-1.1380752438627444</v>
      </c>
      <c r="W146" s="16"/>
      <c r="X146" s="33">
        <f>+P146-T146</f>
        <v>43248.032006525842</v>
      </c>
      <c r="Y146" s="16"/>
      <c r="Z146" s="31">
        <f>IF(T146=0,0,X146/T146)</f>
        <v>-0.11507338896742712</v>
      </c>
    </row>
    <row r="147" spans="1:26" ht="15" thickTop="1" x14ac:dyDescent="0.3">
      <c r="A147" s="9"/>
      <c r="C147" s="9"/>
      <c r="D147" s="18"/>
      <c r="E147" s="18"/>
      <c r="G147" s="18"/>
      <c r="H147" s="18"/>
      <c r="I147" s="18"/>
      <c r="J147" s="43"/>
      <c r="K147" s="18"/>
      <c r="L147" s="18"/>
      <c r="M147" s="18"/>
      <c r="P147" s="18"/>
      <c r="Q147" s="18"/>
      <c r="R147" s="43"/>
      <c r="S147" s="18"/>
      <c r="T147" s="18"/>
      <c r="U147" s="18"/>
      <c r="V147" s="43"/>
      <c r="W147" s="18"/>
      <c r="X147" s="18"/>
    </row>
    <row r="148" spans="1:26" x14ac:dyDescent="0.3">
      <c r="A148" s="9"/>
      <c r="B148" s="54">
        <v>44462.645459490741</v>
      </c>
      <c r="D148" s="18"/>
      <c r="E148" s="18"/>
      <c r="G148" s="18"/>
      <c r="H148" s="18"/>
      <c r="I148" s="18"/>
      <c r="J148" s="43"/>
      <c r="K148" s="18"/>
      <c r="L148" s="18"/>
      <c r="M148" s="18"/>
      <c r="P148" s="18"/>
      <c r="Q148" s="18"/>
      <c r="R148" s="43"/>
      <c r="S148" s="18"/>
      <c r="T148" s="18"/>
      <c r="U148" s="18"/>
      <c r="V148" s="43"/>
      <c r="W148" s="18"/>
      <c r="X148" s="18"/>
    </row>
    <row r="149" spans="1:26" x14ac:dyDescent="0.3">
      <c r="A149" s="9"/>
      <c r="B149" s="59" t="s">
        <v>56</v>
      </c>
      <c r="D149" s="18"/>
      <c r="E149" s="18"/>
      <c r="G149" s="18"/>
      <c r="H149" s="18"/>
      <c r="I149" s="18"/>
      <c r="J149" s="43"/>
      <c r="K149" s="18"/>
      <c r="L149" s="18"/>
      <c r="M149" s="18"/>
      <c r="P149" s="18"/>
      <c r="Q149" s="18"/>
      <c r="R149" s="43"/>
      <c r="S149" s="18"/>
      <c r="T149" s="18"/>
      <c r="U149" s="18"/>
      <c r="V149" s="43"/>
      <c r="W149" s="18"/>
      <c r="X149" s="18"/>
    </row>
    <row r="150" spans="1:26" x14ac:dyDescent="0.3">
      <c r="A150" s="9"/>
      <c r="B150" s="55"/>
      <c r="D150" s="18"/>
      <c r="E150" s="18"/>
      <c r="G150" s="18"/>
      <c r="H150" s="18"/>
      <c r="I150" s="18"/>
      <c r="J150" s="43"/>
      <c r="K150" s="18"/>
      <c r="L150" s="18"/>
      <c r="M150" s="18"/>
      <c r="P150" s="18"/>
      <c r="Q150" s="18"/>
      <c r="R150" s="43"/>
      <c r="S150" s="18"/>
      <c r="T150" s="18"/>
      <c r="U150" s="18"/>
      <c r="V150" s="43"/>
      <c r="W150" s="18"/>
      <c r="X150" s="18"/>
    </row>
    <row r="151" spans="1:26" x14ac:dyDescent="0.3">
      <c r="D151" s="18"/>
      <c r="E151" s="18"/>
      <c r="G151" s="18"/>
      <c r="H151" s="18"/>
      <c r="I151" s="18"/>
      <c r="J151" s="43"/>
      <c r="K151" s="18"/>
      <c r="L151" s="18"/>
      <c r="M151" s="18"/>
      <c r="P151" s="18"/>
      <c r="Q151" s="18"/>
      <c r="R151" s="43"/>
      <c r="S151" s="18"/>
      <c r="T151" s="18"/>
      <c r="U151" s="18"/>
      <c r="V151" s="43"/>
      <c r="W151" s="18"/>
      <c r="X151" s="18"/>
    </row>
  </sheetData>
  <pageMargins left="0.25" right="0.25" top="0.75" bottom="0.75" header="0.3" footer="0.3"/>
  <pageSetup scale="55" fitToWidth="2" orientation="landscape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00B0F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50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7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50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7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7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7" customWidth="1" outlineLevel="1"/>
  </cols>
  <sheetData>
    <row r="2" spans="1:26" x14ac:dyDescent="0.3">
      <c r="D2" s="57" t="s">
        <v>23</v>
      </c>
    </row>
    <row r="3" spans="1:26" x14ac:dyDescent="0.3">
      <c r="D3" s="57" t="s">
        <v>237</v>
      </c>
      <c r="E3" s="17"/>
      <c r="F3" s="51"/>
      <c r="G3" s="17"/>
      <c r="H3" s="17"/>
      <c r="I3" s="17"/>
      <c r="J3" s="39"/>
      <c r="K3" s="17"/>
      <c r="L3" s="17"/>
      <c r="M3" s="17"/>
      <c r="N3" s="51"/>
      <c r="O3" s="61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3">
      <c r="D4" s="57" t="e">
        <f ca="1">CONCATENATE("Period ",RIGHT(_xll.OneStop.ReportPlayer.OSRFunctions.OSRGet("Period","PeriodId"),2),", ",_xll.OneStop.ReportPlayer.OSRFunctions.OSRGet("Period","Year"))</f>
        <v>#NAME?</v>
      </c>
      <c r="E4" s="17"/>
      <c r="F4" s="51"/>
      <c r="G4" s="17"/>
      <c r="H4" s="17"/>
      <c r="I4" s="17"/>
      <c r="J4" s="39"/>
      <c r="K4" s="17"/>
      <c r="L4" s="17"/>
      <c r="M4" s="17"/>
      <c r="N4" s="51"/>
      <c r="O4" s="61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3">
      <c r="A5" s="23"/>
      <c r="D5" s="65" t="e">
        <f ca="1">_xll.OneStop.ReportPlayer.OSRFunctions.OSRGet("Period","PeriodEnd")</f>
        <v>#NAME?</v>
      </c>
      <c r="E5" s="17"/>
      <c r="F5" s="51"/>
      <c r="G5" s="17"/>
      <c r="H5" s="17"/>
      <c r="I5" s="17"/>
      <c r="J5" s="39"/>
      <c r="K5" s="17"/>
      <c r="L5" s="17"/>
      <c r="M5" s="17"/>
      <c r="N5" s="51"/>
      <c r="O5" s="61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3">
      <c r="A6" s="23"/>
      <c r="B6" s="47"/>
      <c r="C6" s="47"/>
      <c r="D6" s="23" t="s">
        <v>313</v>
      </c>
      <c r="E6" s="17"/>
      <c r="F6" s="51"/>
      <c r="G6" s="17"/>
      <c r="H6" s="17"/>
      <c r="I6" s="17"/>
      <c r="J6" s="39"/>
      <c r="K6" s="17"/>
      <c r="L6" s="17"/>
      <c r="M6" s="17"/>
      <c r="N6" s="51"/>
      <c r="O6" s="60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3">
      <c r="B7" s="63"/>
    </row>
    <row r="8" spans="1:26" x14ac:dyDescent="0.3">
      <c r="B8" s="63"/>
    </row>
    <row r="9" spans="1:26" x14ac:dyDescent="0.3">
      <c r="B9" s="9"/>
      <c r="C9" s="9"/>
      <c r="D9" s="15" t="s">
        <v>292</v>
      </c>
      <c r="E9" s="15"/>
      <c r="F9" s="38"/>
      <c r="G9" s="15"/>
      <c r="H9" s="15"/>
      <c r="I9" s="15"/>
      <c r="J9" s="49"/>
      <c r="K9" s="15"/>
      <c r="L9" s="15"/>
      <c r="M9" s="15"/>
      <c r="N9" s="38"/>
      <c r="P9" s="15" t="s">
        <v>39</v>
      </c>
      <c r="Q9" s="15"/>
      <c r="R9" s="38"/>
      <c r="S9" s="15"/>
      <c r="T9" s="15"/>
      <c r="U9" s="15"/>
      <c r="V9" s="49"/>
      <c r="W9" s="15"/>
      <c r="X9" s="15"/>
      <c r="Y9" s="15"/>
      <c r="Z9" s="38"/>
    </row>
    <row r="10" spans="1:26" x14ac:dyDescent="0.3">
      <c r="A10" s="10"/>
      <c r="B10" s="53"/>
      <c r="C10" s="10"/>
      <c r="D10" s="42" t="s">
        <v>57</v>
      </c>
      <c r="E10" s="34"/>
      <c r="F10" s="40" t="s">
        <v>40</v>
      </c>
      <c r="G10" s="34"/>
      <c r="H10" s="45" t="s">
        <v>238</v>
      </c>
      <c r="I10" s="34"/>
      <c r="J10" s="48" t="s">
        <v>58</v>
      </c>
      <c r="K10" s="10"/>
      <c r="L10" s="42" t="s">
        <v>127</v>
      </c>
      <c r="M10" s="10"/>
      <c r="N10" s="40" t="s">
        <v>258</v>
      </c>
      <c r="O10" s="10"/>
      <c r="P10" s="56" t="s">
        <v>57</v>
      </c>
      <c r="Q10" s="34"/>
      <c r="R10" s="40" t="s">
        <v>40</v>
      </c>
      <c r="S10" s="34"/>
      <c r="T10" s="45" t="s">
        <v>238</v>
      </c>
      <c r="U10" s="34"/>
      <c r="V10" s="48" t="s">
        <v>58</v>
      </c>
      <c r="W10" s="10"/>
      <c r="X10" s="42" t="s">
        <v>127</v>
      </c>
      <c r="Y10" s="10"/>
      <c r="Z10" s="40" t="s">
        <v>258</v>
      </c>
    </row>
    <row r="11" spans="1:26" ht="15.6" x14ac:dyDescent="0.3">
      <c r="A11" s="9"/>
      <c r="B11" s="58"/>
      <c r="C11" s="9"/>
      <c r="D11" s="9"/>
      <c r="E11" s="9"/>
      <c r="F11" s="6"/>
      <c r="G11" s="9"/>
      <c r="H11" s="9"/>
      <c r="I11" s="9"/>
      <c r="J11" s="46"/>
      <c r="K11" s="9"/>
      <c r="L11" s="9"/>
      <c r="M11" s="9"/>
      <c r="N11" s="6"/>
      <c r="P11" s="9"/>
      <c r="Q11" s="9"/>
      <c r="R11" s="6"/>
      <c r="S11" s="9"/>
      <c r="T11" s="9"/>
      <c r="U11" s="9"/>
      <c r="V11" s="46"/>
      <c r="W11" s="9"/>
      <c r="X11" s="9"/>
      <c r="Y11" s="9"/>
      <c r="Z11" s="6"/>
    </row>
    <row r="12" spans="1:26" s="23" customFormat="1" collapsed="1" x14ac:dyDescent="0.3">
      <c r="A12" s="10"/>
      <c r="B12" s="25" t="s">
        <v>140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3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3" t="e">
        <f ca="1">-_xll.OneStop.ReportPlayer.OSRFunctions.OSRGet("GL_F_Trans","Value1")</f>
        <v>#NAME?</v>
      </c>
      <c r="E13" s="3"/>
      <c r="F13" s="19"/>
      <c r="G13" s="3"/>
      <c r="H13" s="3" t="e">
        <f ca="1">_xll.OneStop.ReportPlayer.OSRFunctions.OSRGet("GL_F_Trans","Value1")</f>
        <v>#NAME?</v>
      </c>
      <c r="I13" s="3"/>
      <c r="J13" s="19"/>
      <c r="K13" s="3"/>
      <c r="L13" s="3" t="e">
        <f t="shared" ca="1" si="0"/>
        <v>#NAME?</v>
      </c>
      <c r="M13" s="3"/>
      <c r="N13" s="19" t="e">
        <f t="shared" ca="1" si="1"/>
        <v>#NAME?</v>
      </c>
      <c r="O13" s="11"/>
      <c r="P13" s="3" t="e">
        <f ca="1">-_xll.OneStop.ReportPlayer.OSRFunctions.OSRGet("GL_F_Trans","Value1")</f>
        <v>#NAME?</v>
      </c>
      <c r="Q13" s="3"/>
      <c r="R13" s="19"/>
      <c r="S13" s="3"/>
      <c r="T13" s="3" t="e">
        <f ca="1">_xll.OneStop.ReportPlayer.OSRFunctions.OSRGet("GL_F_Trans","Value1")</f>
        <v>#NAME?</v>
      </c>
      <c r="U13" s="3"/>
      <c r="V13" s="19"/>
      <c r="W13" s="3"/>
      <c r="X13" s="3" t="e">
        <f t="shared" ca="1" si="2"/>
        <v>#NAME?</v>
      </c>
      <c r="Y13" s="3"/>
      <c r="Z13" s="19" t="e">
        <f t="shared" ca="1" si="3"/>
        <v>#NAME?</v>
      </c>
    </row>
    <row r="14" spans="1:26" x14ac:dyDescent="0.3">
      <c r="A14" s="9"/>
      <c r="B14" s="10"/>
      <c r="C14" s="9"/>
      <c r="D14" s="2"/>
      <c r="E14" s="2"/>
      <c r="F14" s="6"/>
      <c r="G14" s="2"/>
      <c r="H14" s="2"/>
      <c r="I14" s="2"/>
      <c r="J14" s="6"/>
      <c r="K14" s="2"/>
      <c r="L14" s="2"/>
      <c r="M14" s="2"/>
      <c r="N14" s="6"/>
      <c r="P14" s="2"/>
      <c r="Q14" s="2"/>
      <c r="R14" s="6"/>
      <c r="S14" s="2"/>
      <c r="T14" s="2"/>
      <c r="U14" s="2"/>
      <c r="V14" s="6"/>
      <c r="W14" s="2"/>
      <c r="X14" s="2"/>
      <c r="Y14" s="2"/>
      <c r="Z14" s="6"/>
    </row>
    <row r="15" spans="1:26" s="23" customFormat="1" collapsed="1" x14ac:dyDescent="0.3">
      <c r="A15" s="10"/>
      <c r="B15" s="25" t="s">
        <v>257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3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3" t="e">
        <f ca="1">_xll.OneStop.ReportPlayer.OSRFunctions.OSRGet("GL_F_Trans","Value1")</f>
        <v>#NAME?</v>
      </c>
      <c r="E16" s="3"/>
      <c r="F16" s="19" t="e">
        <f t="shared" ca="1" si="4"/>
        <v>#NAME?</v>
      </c>
      <c r="G16" s="3"/>
      <c r="H16" s="3" t="e">
        <f ca="1">_xll.OneStop.ReportPlayer.OSRFunctions.OSRGet("GL_F_Trans","Value1")</f>
        <v>#NAME?</v>
      </c>
      <c r="I16" s="3"/>
      <c r="J16" s="19" t="e">
        <f t="shared" ca="1" si="5"/>
        <v>#NAME?</v>
      </c>
      <c r="K16" s="3"/>
      <c r="L16" s="3" t="e">
        <f t="shared" ca="1" si="6"/>
        <v>#NAME?</v>
      </c>
      <c r="M16" s="3"/>
      <c r="N16" s="19" t="e">
        <f t="shared" ca="1" si="7"/>
        <v>#NAME?</v>
      </c>
      <c r="O16" s="11"/>
      <c r="P16" s="3" t="e">
        <f ca="1">_xll.OneStop.ReportPlayer.OSRFunctions.OSRGet("GL_F_Trans","Value1")</f>
        <v>#NAME?</v>
      </c>
      <c r="Q16" s="3"/>
      <c r="R16" s="19" t="e">
        <f t="shared" ca="1" si="8"/>
        <v>#NAME?</v>
      </c>
      <c r="S16" s="3"/>
      <c r="T16" s="3" t="e">
        <f ca="1">_xll.OneStop.ReportPlayer.OSRFunctions.OSRGet("GL_F_Trans","Value1")</f>
        <v>#NAME?</v>
      </c>
      <c r="U16" s="3"/>
      <c r="V16" s="19" t="e">
        <f t="shared" ca="1" si="9"/>
        <v>#NAME?</v>
      </c>
      <c r="W16" s="3"/>
      <c r="X16" s="3" t="e">
        <f t="shared" ca="1" si="10"/>
        <v>#NAME?</v>
      </c>
      <c r="Y16" s="3"/>
      <c r="Z16" s="19" t="e">
        <f t="shared" ca="1" si="11"/>
        <v>#NAME?</v>
      </c>
    </row>
    <row r="17" spans="1:26" x14ac:dyDescent="0.3">
      <c r="A17" s="9"/>
      <c r="B17" s="10"/>
      <c r="C17" s="10"/>
      <c r="D17" s="2"/>
      <c r="E17" s="2"/>
      <c r="F17" s="6"/>
      <c r="G17" s="2"/>
      <c r="H17" s="2"/>
      <c r="I17" s="2"/>
      <c r="J17" s="6"/>
      <c r="K17" s="2"/>
      <c r="L17" s="2"/>
      <c r="M17" s="2"/>
      <c r="N17" s="6"/>
      <c r="O17" s="10"/>
      <c r="P17" s="2"/>
      <c r="Q17" s="2"/>
      <c r="R17" s="6"/>
      <c r="S17" s="2"/>
      <c r="T17" s="2"/>
      <c r="U17" s="2"/>
      <c r="V17" s="6"/>
      <c r="W17" s="2"/>
      <c r="X17" s="2"/>
      <c r="Y17" s="2"/>
      <c r="Z17" s="6"/>
    </row>
    <row r="18" spans="1:26" s="23" customFormat="1" x14ac:dyDescent="0.3">
      <c r="A18" s="10"/>
      <c r="B18" s="26" t="s">
        <v>108</v>
      </c>
      <c r="C18" s="26"/>
      <c r="D18" s="21" t="e">
        <f ca="1">D12-D15</f>
        <v>#NAME?</v>
      </c>
      <c r="E18" s="13"/>
      <c r="F18" s="22" t="e">
        <f ca="1">IF(D$12=0,0,D18/D$12)</f>
        <v>#NAME?</v>
      </c>
      <c r="G18" s="13"/>
      <c r="H18" s="21" t="e">
        <f ca="1">H12-H15</f>
        <v>#NAME?</v>
      </c>
      <c r="I18" s="13"/>
      <c r="J18" s="22" t="e">
        <f ca="1">IF(H$12=0,0,H18/H$12)</f>
        <v>#NAME?</v>
      </c>
      <c r="K18" s="16"/>
      <c r="L18" s="21" t="e">
        <f ca="1">+D18-H18</f>
        <v>#NAME?</v>
      </c>
      <c r="M18" s="16"/>
      <c r="N18" s="22" t="e">
        <f ca="1">IF(H18=0,0,L18/H18)</f>
        <v>#NAME?</v>
      </c>
      <c r="O18" s="25"/>
      <c r="P18" s="21" t="e">
        <f ca="1">P12-P15</f>
        <v>#NAME?</v>
      </c>
      <c r="Q18" s="13"/>
      <c r="R18" s="22" t="e">
        <f ca="1">IF(P$12=0,0,P18/P$12)</f>
        <v>#NAME?</v>
      </c>
      <c r="S18" s="13"/>
      <c r="T18" s="21" t="e">
        <f ca="1">T12-T15</f>
        <v>#NAME?</v>
      </c>
      <c r="U18" s="13"/>
      <c r="V18" s="22" t="e">
        <f ca="1">IF(T$12=0,0,T18/T$12)</f>
        <v>#NAME?</v>
      </c>
      <c r="W18" s="16"/>
      <c r="X18" s="21" t="e">
        <f ca="1">+P18-T18</f>
        <v>#NAME?</v>
      </c>
      <c r="Y18" s="16"/>
      <c r="Z18" s="22" t="e">
        <f ca="1">IF(T18=0,0,X18/T18)</f>
        <v>#NAME?</v>
      </c>
    </row>
    <row r="19" spans="1:26" x14ac:dyDescent="0.3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">
      <c r="A20" s="10"/>
      <c r="B20" s="25" t="s">
        <v>295</v>
      </c>
      <c r="C20" s="10"/>
      <c r="D20" s="20" t="e">
        <f ca="1">SUM(_xll.OneStop.ReportPlayer.OSRFunctions.OSRRef(D22))</f>
        <v>#NAME?</v>
      </c>
      <c r="E20" s="20"/>
      <c r="F20" s="32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2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2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2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2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2" t="e">
        <f t="shared" ref="Z20:Z22" ca="1" si="19">IF(T20=0,0,X20/T20)</f>
        <v>#NAME?</v>
      </c>
    </row>
    <row r="21" spans="1:26" s="27" customFormat="1" outlineLevel="1" collapsed="1" x14ac:dyDescent="0.3">
      <c r="A21" s="28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3">
      <c r="A22" s="29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8" t="e">
        <f ca="1">_xll.OneStop.ReportPlayer.OSRFunctions.OSRGet("GL_F_Trans","Value1")</f>
        <v>#NAME?</v>
      </c>
      <c r="E22" s="3"/>
      <c r="F22" s="7" t="e">
        <f t="shared" ca="1" si="12"/>
        <v>#NAME?</v>
      </c>
      <c r="G22" s="3"/>
      <c r="H22" s="8" t="e">
        <f ca="1">_xll.OneStop.ReportPlayer.OSRFunctions.OSRGet("GL_F_Trans","Value1")</f>
        <v>#NAME?</v>
      </c>
      <c r="I22" s="3"/>
      <c r="J22" s="7" t="e">
        <f t="shared" ca="1" si="13"/>
        <v>#NAME?</v>
      </c>
      <c r="K22" s="3"/>
      <c r="L22" s="8" t="e">
        <f t="shared" ca="1" si="14"/>
        <v>#NAME?</v>
      </c>
      <c r="M22" s="3"/>
      <c r="N22" s="7" t="e">
        <f t="shared" ca="1" si="15"/>
        <v>#NAME?</v>
      </c>
      <c r="O22" s="11"/>
      <c r="P22" s="8" t="e">
        <f ca="1">_xll.OneStop.ReportPlayer.OSRFunctions.OSRGet("GL_F_Trans","Value1")</f>
        <v>#NAME?</v>
      </c>
      <c r="Q22" s="3"/>
      <c r="R22" s="7" t="e">
        <f t="shared" ca="1" si="16"/>
        <v>#NAME?</v>
      </c>
      <c r="S22" s="3"/>
      <c r="T22" s="8" t="e">
        <f ca="1">_xll.OneStop.ReportPlayer.OSRFunctions.OSRGet("GL_F_Trans","Value1")</f>
        <v>#NAME?</v>
      </c>
      <c r="U22" s="3"/>
      <c r="V22" s="7" t="e">
        <f t="shared" ca="1" si="17"/>
        <v>#NAME?</v>
      </c>
      <c r="W22" s="3"/>
      <c r="X22" s="8" t="e">
        <f t="shared" ca="1" si="18"/>
        <v>#NAME?</v>
      </c>
      <c r="Y22" s="3"/>
      <c r="Z22" s="7" t="e">
        <f t="shared" ca="1" si="19"/>
        <v>#NAME?</v>
      </c>
    </row>
    <row r="23" spans="1:26" s="62" customFormat="1" x14ac:dyDescent="0.3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3">
      <c r="A24" s="10"/>
      <c r="B24" s="25" t="s">
        <v>293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3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3" t="e">
        <f ca="1">-_xll.OneStop.ReportPlayer.OSRFunctions.OSRGet("GL_F_Trans","Value1")</f>
        <v>#NAME?</v>
      </c>
      <c r="E25" s="3"/>
      <c r="F25" s="19" t="e">
        <f t="shared" ca="1" si="20"/>
        <v>#NAME?</v>
      </c>
      <c r="G25" s="3"/>
      <c r="H25" s="3" t="e">
        <f ca="1">_xll.OneStop.ReportPlayer.OSRFunctions.OSRGet("GL_F_Trans","Value1")</f>
        <v>#NAME?</v>
      </c>
      <c r="I25" s="3"/>
      <c r="J25" s="19" t="e">
        <f t="shared" ca="1" si="21"/>
        <v>#NAME?</v>
      </c>
      <c r="K25" s="3"/>
      <c r="L25" s="3" t="e">
        <f t="shared" ca="1" si="22"/>
        <v>#NAME?</v>
      </c>
      <c r="M25" s="3"/>
      <c r="N25" s="19" t="e">
        <f t="shared" ca="1" si="23"/>
        <v>#NAME?</v>
      </c>
      <c r="O25" s="11"/>
      <c r="P25" s="3" t="e">
        <f ca="1">-_xll.OneStop.ReportPlayer.OSRFunctions.OSRGet("GL_F_Trans","Value1")</f>
        <v>#NAME?</v>
      </c>
      <c r="Q25" s="3"/>
      <c r="R25" s="19" t="e">
        <f t="shared" ca="1" si="24"/>
        <v>#NAME?</v>
      </c>
      <c r="S25" s="3"/>
      <c r="T25" s="3" t="e">
        <f ca="1">_xll.OneStop.ReportPlayer.OSRFunctions.OSRGet("GL_F_Trans","Value1")</f>
        <v>#NAME?</v>
      </c>
      <c r="U25" s="3"/>
      <c r="V25" s="19" t="e">
        <f t="shared" ca="1" si="25"/>
        <v>#NAME?</v>
      </c>
      <c r="W25" s="3"/>
      <c r="X25" s="3" t="e">
        <f t="shared" ca="1" si="26"/>
        <v>#NAME?</v>
      </c>
      <c r="Y25" s="3"/>
      <c r="Z25" s="19" t="e">
        <f t="shared" ca="1" si="27"/>
        <v>#NAME?</v>
      </c>
    </row>
    <row r="26" spans="1:26" x14ac:dyDescent="0.3">
      <c r="A26" s="9"/>
      <c r="B26" s="10"/>
      <c r="C26" s="10"/>
      <c r="D26" s="2"/>
      <c r="E26" s="2"/>
      <c r="F26" s="6"/>
      <c r="G26" s="2"/>
      <c r="H26" s="2"/>
      <c r="I26" s="2"/>
      <c r="J26" s="6"/>
      <c r="K26" s="2"/>
      <c r="L26" s="2"/>
      <c r="M26" s="2"/>
      <c r="N26" s="6"/>
      <c r="O26" s="10"/>
      <c r="P26" s="2"/>
      <c r="Q26" s="2"/>
      <c r="R26" s="6"/>
      <c r="S26" s="2"/>
      <c r="T26" s="2"/>
      <c r="U26" s="2"/>
      <c r="V26" s="6"/>
      <c r="W26" s="2"/>
      <c r="X26" s="2"/>
      <c r="Y26" s="2"/>
      <c r="Z26" s="6"/>
    </row>
    <row r="27" spans="1:26" s="23" customFormat="1" x14ac:dyDescent="0.3">
      <c r="A27" s="10"/>
      <c r="B27" s="26" t="s">
        <v>277</v>
      </c>
      <c r="C27" s="26"/>
      <c r="D27" s="21" t="e">
        <f ca="1">+D18-D20+D24</f>
        <v>#NAME?</v>
      </c>
      <c r="E27" s="13"/>
      <c r="F27" s="22" t="e">
        <f ca="1">IF(D$12=0,0,D27/D$12)</f>
        <v>#NAME?</v>
      </c>
      <c r="G27" s="13"/>
      <c r="H27" s="21" t="e">
        <f ca="1">+H18-H20+H24</f>
        <v>#NAME?</v>
      </c>
      <c r="I27" s="13"/>
      <c r="J27" s="22" t="e">
        <f ca="1">IF(H$12=0,0,H27/H$12)</f>
        <v>#NAME?</v>
      </c>
      <c r="K27" s="16"/>
      <c r="L27" s="21" t="e">
        <f ca="1">+D27-H27</f>
        <v>#NAME?</v>
      </c>
      <c r="M27" s="16"/>
      <c r="N27" s="22" t="e">
        <f ca="1">IF(H27=0,0,L27/H27)</f>
        <v>#NAME?</v>
      </c>
      <c r="O27" s="25"/>
      <c r="P27" s="21" t="e">
        <f ca="1">+P18-P20+P24</f>
        <v>#NAME?</v>
      </c>
      <c r="Q27" s="13"/>
      <c r="R27" s="22" t="e">
        <f ca="1">IF(P$12=0,0,P27/P$12)</f>
        <v>#NAME?</v>
      </c>
      <c r="S27" s="13"/>
      <c r="T27" s="21" t="e">
        <f ca="1">+T18-T20+T24</f>
        <v>#NAME?</v>
      </c>
      <c r="U27" s="13"/>
      <c r="V27" s="22" t="e">
        <f ca="1">IF(T$12=0,0,T27/T$12)</f>
        <v>#NAME?</v>
      </c>
      <c r="W27" s="16"/>
      <c r="X27" s="21" t="e">
        <f ca="1">+P27-T27</f>
        <v>#NAME?</v>
      </c>
      <c r="Y27" s="16"/>
      <c r="Z27" s="22" t="e">
        <f ca="1">IF(T27=0,0,X27/T27)</f>
        <v>#NAME?</v>
      </c>
    </row>
    <row r="28" spans="1:26" x14ac:dyDescent="0.3">
      <c r="A28" s="9"/>
      <c r="B28" s="10"/>
      <c r="C28" s="9"/>
      <c r="D28" s="2"/>
      <c r="E28" s="2"/>
      <c r="F28" s="6"/>
      <c r="G28" s="2"/>
      <c r="H28" s="2"/>
      <c r="I28" s="2"/>
      <c r="J28" s="6"/>
      <c r="K28" s="2"/>
      <c r="L28" s="2"/>
      <c r="M28" s="2"/>
      <c r="N28" s="6"/>
      <c r="P28" s="2"/>
      <c r="Q28" s="2"/>
      <c r="R28" s="6"/>
      <c r="S28" s="2"/>
      <c r="T28" s="2"/>
      <c r="U28" s="2"/>
      <c r="V28" s="6"/>
      <c r="W28" s="2"/>
      <c r="X28" s="2"/>
      <c r="Y28" s="2"/>
      <c r="Z28" s="6"/>
    </row>
    <row r="29" spans="1:26" s="23" customFormat="1" x14ac:dyDescent="0.3">
      <c r="A29" s="52"/>
      <c r="B29" s="10" t="s">
        <v>128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3">
      <c r="A30" s="9"/>
      <c r="B30" s="10"/>
      <c r="C30" s="10"/>
      <c r="D30" s="2"/>
      <c r="E30" s="2"/>
      <c r="F30" s="6"/>
      <c r="G30" s="2"/>
      <c r="H30" s="2"/>
      <c r="I30" s="2"/>
      <c r="J30" s="6"/>
      <c r="K30" s="2"/>
      <c r="L30" s="2"/>
      <c r="M30" s="2"/>
      <c r="N30" s="6"/>
      <c r="O30" s="10"/>
      <c r="P30" s="2"/>
      <c r="Q30" s="2"/>
      <c r="R30" s="6"/>
      <c r="S30" s="2"/>
      <c r="T30" s="2"/>
      <c r="U30" s="2"/>
      <c r="V30" s="6"/>
      <c r="W30" s="2"/>
      <c r="X30" s="2"/>
      <c r="Y30" s="2"/>
      <c r="Z30" s="6"/>
    </row>
    <row r="31" spans="1:26" s="23" customFormat="1" ht="15" thickBot="1" x14ac:dyDescent="0.35">
      <c r="A31" s="10"/>
      <c r="B31" s="26" t="s">
        <v>126</v>
      </c>
      <c r="C31" s="26"/>
      <c r="D31" s="35" t="e">
        <f ca="1">+D27-D29</f>
        <v>#NAME?</v>
      </c>
      <c r="E31" s="13"/>
      <c r="F31" s="30" t="e">
        <f ca="1">IF(D$12=0,0,D31/D$12)</f>
        <v>#NAME?</v>
      </c>
      <c r="G31" s="13"/>
      <c r="H31" s="35" t="e">
        <f ca="1">+H27-H29</f>
        <v>#NAME?</v>
      </c>
      <c r="I31" s="13"/>
      <c r="J31" s="30" t="e">
        <f ca="1">IF(H$12=0,0,H31/H$12)</f>
        <v>#NAME?</v>
      </c>
      <c r="K31" s="16"/>
      <c r="L31" s="35" t="e">
        <f ca="1">D31-H31</f>
        <v>#NAME?</v>
      </c>
      <c r="M31" s="16"/>
      <c r="N31" s="30" t="e">
        <f ca="1">IF(H31=0,0,L31/H31)</f>
        <v>#NAME?</v>
      </c>
      <c r="O31" s="25"/>
      <c r="P31" s="35" t="e">
        <f ca="1">+P27-P29</f>
        <v>#NAME?</v>
      </c>
      <c r="Q31" s="13"/>
      <c r="R31" s="30" t="e">
        <f ca="1">IF(P$12=0,0,P31/P$12)</f>
        <v>#NAME?</v>
      </c>
      <c r="S31" s="13"/>
      <c r="T31" s="35" t="e">
        <f ca="1">+T27-T29</f>
        <v>#NAME?</v>
      </c>
      <c r="U31" s="13"/>
      <c r="V31" s="30" t="e">
        <f ca="1">IF(T$12=0,0,T31/T$12)</f>
        <v>#NAME?</v>
      </c>
      <c r="W31" s="16"/>
      <c r="X31" s="35" t="e">
        <f ca="1">P31-T31</f>
        <v>#NAME?</v>
      </c>
      <c r="Y31" s="16"/>
      <c r="Z31" s="30" t="e">
        <f ca="1">IF(T31=0,0,X31/T31)</f>
        <v>#NAME?</v>
      </c>
    </row>
    <row r="32" spans="1:26" ht="15" thickTop="1" x14ac:dyDescent="0.3">
      <c r="A32" s="9"/>
      <c r="B32" s="9"/>
      <c r="C32" s="9"/>
      <c r="D32" s="2"/>
      <c r="E32" s="2"/>
      <c r="F32" s="6"/>
      <c r="G32" s="2"/>
      <c r="H32" s="2"/>
      <c r="I32" s="2"/>
      <c r="J32" s="6"/>
      <c r="K32" s="2"/>
      <c r="L32" s="2"/>
      <c r="M32" s="2"/>
      <c r="N32" s="6"/>
      <c r="P32" s="2"/>
      <c r="Q32" s="2"/>
      <c r="R32" s="6"/>
      <c r="S32" s="2"/>
      <c r="T32" s="2"/>
      <c r="U32" s="2"/>
      <c r="V32" s="6"/>
      <c r="W32" s="2"/>
      <c r="X32" s="2"/>
      <c r="Y32" s="2"/>
      <c r="Z32" s="6"/>
    </row>
    <row r="33" spans="1:26" s="23" customFormat="1" x14ac:dyDescent="0.3">
      <c r="A33" s="52"/>
      <c r="B33" s="10" t="s">
        <v>184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3">
      <c r="A34" s="52"/>
      <c r="B34" s="10" t="s">
        <v>82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3">
      <c r="A35" s="9"/>
      <c r="B35" s="9"/>
      <c r="C35" s="9"/>
      <c r="D35" s="2"/>
      <c r="E35" s="2"/>
      <c r="F35" s="6"/>
      <c r="G35" s="2"/>
      <c r="H35" s="2"/>
      <c r="I35" s="2"/>
      <c r="J35" s="6"/>
      <c r="K35" s="2"/>
      <c r="L35" s="2"/>
      <c r="M35" s="2"/>
      <c r="N35" s="6"/>
      <c r="P35" s="2"/>
      <c r="Q35" s="2"/>
      <c r="R35" s="6"/>
      <c r="S35" s="2"/>
      <c r="T35" s="2"/>
      <c r="U35" s="2"/>
      <c r="V35" s="6"/>
      <c r="W35" s="2"/>
      <c r="X35" s="2"/>
      <c r="Y35" s="2"/>
      <c r="Z35" s="6"/>
    </row>
    <row r="36" spans="1:26" s="23" customFormat="1" ht="15" thickBot="1" x14ac:dyDescent="0.35">
      <c r="A36" s="10"/>
      <c r="B36" s="26" t="s">
        <v>294</v>
      </c>
      <c r="C36" s="26"/>
      <c r="D36" s="33" t="e">
        <f ca="1">SUM(D31:D35)</f>
        <v>#NAME?</v>
      </c>
      <c r="E36" s="13"/>
      <c r="F36" s="31" t="e">
        <f ca="1">IF(D$12=0,0,D36/D$12)</f>
        <v>#NAME?</v>
      </c>
      <c r="G36" s="13"/>
      <c r="H36" s="33" t="e">
        <f ca="1">SUM(H31:H35)</f>
        <v>#NAME?</v>
      </c>
      <c r="I36" s="13"/>
      <c r="J36" s="31" t="e">
        <f ca="1">IF(H$12=0,0,H36/H$12)</f>
        <v>#NAME?</v>
      </c>
      <c r="K36" s="16"/>
      <c r="L36" s="33" t="e">
        <f ca="1">+D36-H36</f>
        <v>#NAME?</v>
      </c>
      <c r="M36" s="16"/>
      <c r="N36" s="31" t="e">
        <f ca="1">IF(H36=0,0,L36/H36)</f>
        <v>#NAME?</v>
      </c>
      <c r="O36" s="25"/>
      <c r="P36" s="33" t="e">
        <f ca="1">SUM(P31:P35)</f>
        <v>#NAME?</v>
      </c>
      <c r="Q36" s="13"/>
      <c r="R36" s="31" t="e">
        <f ca="1">IF(P$12=0,0,P36/P$12)</f>
        <v>#NAME?</v>
      </c>
      <c r="S36" s="13"/>
      <c r="T36" s="33" t="e">
        <f ca="1">SUM(T31:T35)</f>
        <v>#NAME?</v>
      </c>
      <c r="U36" s="13"/>
      <c r="V36" s="31" t="e">
        <f ca="1">IF(T$12=0,0,T36/T$12)</f>
        <v>#NAME?</v>
      </c>
      <c r="W36" s="16"/>
      <c r="X36" s="33" t="e">
        <f ca="1">+P36-T36</f>
        <v>#NAME?</v>
      </c>
      <c r="Y36" s="16"/>
      <c r="Z36" s="31" t="e">
        <f ca="1">IF(T36=0,0,X36/T36)</f>
        <v>#NAME?</v>
      </c>
    </row>
    <row r="37" spans="1:26" ht="15" thickTop="1" x14ac:dyDescent="0.3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3">
      <c r="A38" s="9"/>
      <c r="B38" s="54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3">
      <c r="A39" s="9"/>
      <c r="B39" s="59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3">
      <c r="A40" s="9"/>
      <c r="B40" s="55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3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theme="5" tint="0.39997558519241921"/>
    <outlinePr summaryBelow="0" summaryRight="0"/>
  </sheetPr>
  <dimension ref="A2:Z159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50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7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50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7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7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7" customWidth="1" outlineLevel="1"/>
  </cols>
  <sheetData>
    <row r="2" spans="1:26" x14ac:dyDescent="0.3">
      <c r="D2" s="57" t="s">
        <v>23</v>
      </c>
    </row>
    <row r="3" spans="1:26" x14ac:dyDescent="0.3">
      <c r="D3" s="57" t="s">
        <v>237</v>
      </c>
      <c r="E3" s="17"/>
      <c r="F3" s="51"/>
      <c r="G3" s="17"/>
      <c r="H3" s="17"/>
      <c r="I3" s="17"/>
      <c r="J3" s="39"/>
      <c r="K3" s="17"/>
      <c r="L3" s="17"/>
      <c r="M3" s="17"/>
      <c r="N3" s="51"/>
      <c r="O3" s="61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3">
      <c r="D4" s="57" t="str">
        <f>CONCATENATE("Period ",RIGHT(202201,2),", ",2022)</f>
        <v>Period 01, 2022</v>
      </c>
      <c r="E4" s="17"/>
      <c r="F4" s="51"/>
      <c r="G4" s="17"/>
      <c r="H4" s="17"/>
      <c r="I4" s="17"/>
      <c r="J4" s="39"/>
      <c r="K4" s="17"/>
      <c r="L4" s="17"/>
      <c r="M4" s="17"/>
      <c r="N4" s="51"/>
      <c r="O4" s="61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3">
      <c r="A5" s="23"/>
      <c r="D5" s="64">
        <v>44408</v>
      </c>
      <c r="E5" s="17"/>
      <c r="F5" s="51"/>
      <c r="G5" s="17"/>
      <c r="H5" s="17"/>
      <c r="I5" s="17"/>
      <c r="J5" s="39"/>
      <c r="K5" s="17"/>
      <c r="L5" s="17"/>
      <c r="M5" s="17"/>
      <c r="N5" s="51"/>
      <c r="O5" s="61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3">
      <c r="A6" s="23"/>
      <c r="B6" s="47"/>
      <c r="C6" s="47"/>
      <c r="D6" s="23" t="s">
        <v>314</v>
      </c>
      <c r="E6" s="17"/>
      <c r="F6" s="51"/>
      <c r="G6" s="17"/>
      <c r="H6" s="17"/>
      <c r="I6" s="17"/>
      <c r="J6" s="39"/>
      <c r="K6" s="17"/>
      <c r="L6" s="17"/>
      <c r="M6" s="17"/>
      <c r="N6" s="51"/>
      <c r="O6" s="60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3">
      <c r="B7" s="63"/>
    </row>
    <row r="8" spans="1:26" x14ac:dyDescent="0.3">
      <c r="B8" s="63"/>
    </row>
    <row r="9" spans="1:26" x14ac:dyDescent="0.3">
      <c r="B9" s="9"/>
      <c r="C9" s="9"/>
      <c r="D9" s="15" t="s">
        <v>292</v>
      </c>
      <c r="E9" s="15"/>
      <c r="F9" s="38"/>
      <c r="G9" s="15"/>
      <c r="H9" s="15"/>
      <c r="I9" s="15"/>
      <c r="J9" s="49"/>
      <c r="K9" s="15"/>
      <c r="L9" s="15"/>
      <c r="M9" s="15"/>
      <c r="N9" s="38"/>
      <c r="P9" s="15" t="s">
        <v>39</v>
      </c>
      <c r="Q9" s="15"/>
      <c r="R9" s="38"/>
      <c r="S9" s="15"/>
      <c r="T9" s="15"/>
      <c r="U9" s="15"/>
      <c r="V9" s="49"/>
      <c r="W9" s="15"/>
      <c r="X9" s="15"/>
      <c r="Y9" s="15"/>
      <c r="Z9" s="38"/>
    </row>
    <row r="10" spans="1:26" x14ac:dyDescent="0.3">
      <c r="A10" s="10"/>
      <c r="B10" s="53"/>
      <c r="C10" s="10"/>
      <c r="D10" s="42" t="s">
        <v>57</v>
      </c>
      <c r="E10" s="34"/>
      <c r="F10" s="40" t="s">
        <v>40</v>
      </c>
      <c r="G10" s="34"/>
      <c r="H10" s="45" t="s">
        <v>238</v>
      </c>
      <c r="I10" s="34"/>
      <c r="J10" s="48" t="s">
        <v>58</v>
      </c>
      <c r="K10" s="10"/>
      <c r="L10" s="42" t="s">
        <v>127</v>
      </c>
      <c r="M10" s="10"/>
      <c r="N10" s="40" t="s">
        <v>258</v>
      </c>
      <c r="O10" s="10"/>
      <c r="P10" s="56" t="s">
        <v>57</v>
      </c>
      <c r="Q10" s="34"/>
      <c r="R10" s="40" t="s">
        <v>40</v>
      </c>
      <c r="S10" s="34"/>
      <c r="T10" s="45" t="s">
        <v>238</v>
      </c>
      <c r="U10" s="34"/>
      <c r="V10" s="48" t="s">
        <v>58</v>
      </c>
      <c r="W10" s="10"/>
      <c r="X10" s="42" t="s">
        <v>127</v>
      </c>
      <c r="Y10" s="10"/>
      <c r="Z10" s="40" t="s">
        <v>258</v>
      </c>
    </row>
    <row r="11" spans="1:26" ht="15.6" x14ac:dyDescent="0.3">
      <c r="A11" s="9"/>
      <c r="B11" s="58"/>
      <c r="C11" s="9"/>
      <c r="D11" s="9"/>
      <c r="E11" s="9"/>
      <c r="F11" s="6"/>
      <c r="G11" s="9"/>
      <c r="H11" s="9"/>
      <c r="I11" s="9"/>
      <c r="J11" s="46"/>
      <c r="K11" s="9"/>
      <c r="L11" s="9"/>
      <c r="M11" s="9"/>
      <c r="N11" s="6"/>
      <c r="P11" s="9"/>
      <c r="Q11" s="9"/>
      <c r="R11" s="6"/>
      <c r="S11" s="9"/>
      <c r="T11" s="9"/>
      <c r="U11" s="9"/>
      <c r="V11" s="46"/>
      <c r="W11" s="9"/>
      <c r="X11" s="9"/>
      <c r="Y11" s="9"/>
      <c r="Z11" s="6"/>
    </row>
    <row r="12" spans="1:26" s="23" customFormat="1" collapsed="1" x14ac:dyDescent="0.3">
      <c r="A12" s="10"/>
      <c r="B12" s="25" t="s">
        <v>140</v>
      </c>
      <c r="C12" s="10"/>
      <c r="D12" s="4">
        <f>SUM(OSRRefD13x_0)</f>
        <v>315804.52</v>
      </c>
      <c r="E12" s="4"/>
      <c r="F12" s="12"/>
      <c r="G12" s="4"/>
      <c r="H12" s="4">
        <f>SUM(OSRRefH13x_0)</f>
        <v>607986</v>
      </c>
      <c r="I12" s="4"/>
      <c r="J12" s="12"/>
      <c r="K12" s="4"/>
      <c r="L12" s="4">
        <f t="shared" ref="L12:L17" si="0">+D12-H12</f>
        <v>-292181.48</v>
      </c>
      <c r="M12" s="4"/>
      <c r="N12" s="12">
        <f t="shared" ref="N12:N17" si="1">IF(H12=0,0,L12/H12)</f>
        <v>-0.48057271055583511</v>
      </c>
      <c r="O12" s="10"/>
      <c r="P12" s="4">
        <f>SUM(OSRRefP13x_0)</f>
        <v>315804.52</v>
      </c>
      <c r="Q12" s="4"/>
      <c r="R12" s="12"/>
      <c r="S12" s="4"/>
      <c r="T12" s="4">
        <f>SUM(OSRRefT13x_0)</f>
        <v>607986</v>
      </c>
      <c r="U12" s="4"/>
      <c r="V12" s="12"/>
      <c r="W12" s="4"/>
      <c r="X12" s="4">
        <f t="shared" ref="X12:X17" si="2">+P12-T12</f>
        <v>-292181.48</v>
      </c>
      <c r="Y12" s="4"/>
      <c r="Z12" s="12">
        <f t="shared" ref="Z12:Z17" si="3">IF(T12=0,0,X12/T12)</f>
        <v>-0.48057271055583511</v>
      </c>
    </row>
    <row r="13" spans="1:26" s="24" customFormat="1" hidden="1" outlineLevel="1" x14ac:dyDescent="0.3">
      <c r="A13" s="44"/>
      <c r="B13" s="11" t="str">
        <f>CONCATENATE("          ", "4000", " - ", "TAXABLE SALES")</f>
        <v xml:space="preserve">          4000 - TAXABLE SALES</v>
      </c>
      <c r="C13" s="11"/>
      <c r="D13" s="3">
        <f>--270004.59</f>
        <v>270004.59000000003</v>
      </c>
      <c r="E13" s="3"/>
      <c r="F13" s="19"/>
      <c r="G13" s="3"/>
      <c r="H13" s="3">
        <v>597655</v>
      </c>
      <c r="I13" s="3"/>
      <c r="J13" s="19"/>
      <c r="K13" s="3"/>
      <c r="L13" s="3">
        <f t="shared" si="0"/>
        <v>-327650.40999999997</v>
      </c>
      <c r="M13" s="3"/>
      <c r="N13" s="19">
        <f t="shared" si="1"/>
        <v>-0.54822666923224939</v>
      </c>
      <c r="O13" s="11"/>
      <c r="P13" s="3">
        <f>--270004.59</f>
        <v>270004.59000000003</v>
      </c>
      <c r="Q13" s="3"/>
      <c r="R13" s="19"/>
      <c r="S13" s="3"/>
      <c r="T13" s="3">
        <v>597655</v>
      </c>
      <c r="U13" s="3"/>
      <c r="V13" s="19"/>
      <c r="W13" s="3"/>
      <c r="X13" s="3">
        <f t="shared" si="2"/>
        <v>-327650.40999999997</v>
      </c>
      <c r="Y13" s="3"/>
      <c r="Z13" s="19">
        <f t="shared" si="3"/>
        <v>-0.54822666923224939</v>
      </c>
    </row>
    <row r="14" spans="1:26" s="24" customFormat="1" hidden="1" outlineLevel="1" x14ac:dyDescent="0.3">
      <c r="A14" s="44"/>
      <c r="B14" s="11" t="str">
        <f>CONCATENATE("          ", "4100", " - ", "NON-TAXABLE SALES")</f>
        <v xml:space="preserve">          4100 - NON-TAXABLE SALES</v>
      </c>
      <c r="C14" s="11"/>
      <c r="D14" s="3">
        <f>--80066.52</f>
        <v>80066.52</v>
      </c>
      <c r="E14" s="3"/>
      <c r="F14" s="19"/>
      <c r="G14" s="3"/>
      <c r="H14" s="3">
        <v>10331</v>
      </c>
      <c r="I14" s="3"/>
      <c r="J14" s="19"/>
      <c r="K14" s="3"/>
      <c r="L14" s="3">
        <f t="shared" si="0"/>
        <v>69735.520000000004</v>
      </c>
      <c r="M14" s="3"/>
      <c r="N14" s="19">
        <f t="shared" si="1"/>
        <v>6.750122930984416</v>
      </c>
      <c r="O14" s="11"/>
      <c r="P14" s="3">
        <f>--80066.52</f>
        <v>80066.52</v>
      </c>
      <c r="Q14" s="3"/>
      <c r="R14" s="19"/>
      <c r="S14" s="3"/>
      <c r="T14" s="3">
        <v>10331</v>
      </c>
      <c r="U14" s="3"/>
      <c r="V14" s="19"/>
      <c r="W14" s="3"/>
      <c r="X14" s="3">
        <f t="shared" si="2"/>
        <v>69735.520000000004</v>
      </c>
      <c r="Y14" s="3"/>
      <c r="Z14" s="19">
        <f t="shared" si="3"/>
        <v>6.750122930984416</v>
      </c>
    </row>
    <row r="15" spans="1:26" s="24" customFormat="1" hidden="1" outlineLevel="1" x14ac:dyDescent="0.3">
      <c r="A15" s="44"/>
      <c r="B15" s="11" t="str">
        <f>CONCATENATE("          ", "4146", " - ", "NON-TAXABLE SALES-COIN OP MACH")</f>
        <v xml:space="preserve">          4146 - NON-TAXABLE SALES-COIN OP MACH</v>
      </c>
      <c r="C15" s="11"/>
      <c r="D15" s="3">
        <f>--20.2</f>
        <v>20.2</v>
      </c>
      <c r="E15" s="3"/>
      <c r="F15" s="19"/>
      <c r="G15" s="3"/>
      <c r="H15" s="3"/>
      <c r="I15" s="3"/>
      <c r="J15" s="19"/>
      <c r="K15" s="3"/>
      <c r="L15" s="3">
        <f t="shared" si="0"/>
        <v>20.2</v>
      </c>
      <c r="M15" s="3"/>
      <c r="N15" s="19">
        <f t="shared" si="1"/>
        <v>0</v>
      </c>
      <c r="O15" s="11"/>
      <c r="P15" s="3">
        <f>--20.2</f>
        <v>20.2</v>
      </c>
      <c r="Q15" s="3"/>
      <c r="R15" s="19"/>
      <c r="S15" s="3"/>
      <c r="T15" s="3"/>
      <c r="U15" s="3"/>
      <c r="V15" s="19"/>
      <c r="W15" s="3"/>
      <c r="X15" s="3">
        <f t="shared" si="2"/>
        <v>20.2</v>
      </c>
      <c r="Y15" s="3"/>
      <c r="Z15" s="19">
        <f t="shared" si="3"/>
        <v>0</v>
      </c>
    </row>
    <row r="16" spans="1:26" s="24" customFormat="1" hidden="1" outlineLevel="1" x14ac:dyDescent="0.3">
      <c r="A16" s="44"/>
      <c r="B16" s="11" t="str">
        <f>CONCATENATE("          ", "4200", " - ", "TAXABLE RETURNS")</f>
        <v xml:space="preserve">          4200 - TAXABLE RETURNS</v>
      </c>
      <c r="C16" s="11"/>
      <c r="D16" s="3">
        <f>-32785.21</f>
        <v>-32785.21</v>
      </c>
      <c r="E16" s="3"/>
      <c r="F16" s="19"/>
      <c r="G16" s="3"/>
      <c r="H16" s="3"/>
      <c r="I16" s="3"/>
      <c r="J16" s="19"/>
      <c r="K16" s="3"/>
      <c r="L16" s="3">
        <f t="shared" si="0"/>
        <v>-32785.21</v>
      </c>
      <c r="M16" s="3"/>
      <c r="N16" s="19">
        <f t="shared" si="1"/>
        <v>0</v>
      </c>
      <c r="O16" s="11"/>
      <c r="P16" s="3">
        <f>-32785.21</f>
        <v>-32785.21</v>
      </c>
      <c r="Q16" s="3"/>
      <c r="R16" s="19"/>
      <c r="S16" s="3"/>
      <c r="T16" s="3"/>
      <c r="U16" s="3"/>
      <c r="V16" s="19"/>
      <c r="W16" s="3"/>
      <c r="X16" s="3">
        <f t="shared" si="2"/>
        <v>-32785.21</v>
      </c>
      <c r="Y16" s="3"/>
      <c r="Z16" s="19">
        <f t="shared" si="3"/>
        <v>0</v>
      </c>
    </row>
    <row r="17" spans="1:26" s="24" customFormat="1" hidden="1" outlineLevel="1" x14ac:dyDescent="0.3">
      <c r="A17" s="44"/>
      <c r="B17" s="11" t="str">
        <f>CONCATENATE("          ", "4300", " - ", "NON-TAX RETURNS")</f>
        <v xml:space="preserve">          4300 - NON-TAX RETURNS</v>
      </c>
      <c r="C17" s="11"/>
      <c r="D17" s="3">
        <f>-1501.58</f>
        <v>-1501.58</v>
      </c>
      <c r="E17" s="3"/>
      <c r="F17" s="19"/>
      <c r="G17" s="3"/>
      <c r="H17" s="3"/>
      <c r="I17" s="3"/>
      <c r="J17" s="19"/>
      <c r="K17" s="3"/>
      <c r="L17" s="3">
        <f t="shared" si="0"/>
        <v>-1501.58</v>
      </c>
      <c r="M17" s="3"/>
      <c r="N17" s="19">
        <f t="shared" si="1"/>
        <v>0</v>
      </c>
      <c r="O17" s="11"/>
      <c r="P17" s="3">
        <f>-1501.58</f>
        <v>-1501.58</v>
      </c>
      <c r="Q17" s="3"/>
      <c r="R17" s="19"/>
      <c r="S17" s="3"/>
      <c r="T17" s="3"/>
      <c r="U17" s="3"/>
      <c r="V17" s="19"/>
      <c r="W17" s="3"/>
      <c r="X17" s="3">
        <f t="shared" si="2"/>
        <v>-1501.58</v>
      </c>
      <c r="Y17" s="3"/>
      <c r="Z17" s="19">
        <f t="shared" si="3"/>
        <v>0</v>
      </c>
    </row>
    <row r="18" spans="1:26" x14ac:dyDescent="0.3">
      <c r="A18" s="9"/>
      <c r="B18" s="10"/>
      <c r="C18" s="9"/>
      <c r="D18" s="2"/>
      <c r="E18" s="2"/>
      <c r="F18" s="6"/>
      <c r="G18" s="2"/>
      <c r="H18" s="2"/>
      <c r="I18" s="2"/>
      <c r="J18" s="6"/>
      <c r="K18" s="2"/>
      <c r="L18" s="2"/>
      <c r="M18" s="2"/>
      <c r="N18" s="6"/>
      <c r="P18" s="2"/>
      <c r="Q18" s="2"/>
      <c r="R18" s="6"/>
      <c r="S18" s="2"/>
      <c r="T18" s="2"/>
      <c r="U18" s="2"/>
      <c r="V18" s="6"/>
      <c r="W18" s="2"/>
      <c r="X18" s="2"/>
      <c r="Y18" s="2"/>
      <c r="Z18" s="6"/>
    </row>
    <row r="19" spans="1:26" s="23" customFormat="1" collapsed="1" x14ac:dyDescent="0.3">
      <c r="A19" s="10"/>
      <c r="B19" s="25" t="s">
        <v>257</v>
      </c>
      <c r="C19" s="10"/>
      <c r="D19" s="4">
        <f>SUM(OSRRefD16x_0)</f>
        <v>209792.91000000003</v>
      </c>
      <c r="E19" s="4"/>
      <c r="F19" s="12">
        <f t="shared" ref="F19:F46" si="4">IF(D$12=0,0,D19/D$12)</f>
        <v>0.66431256272076167</v>
      </c>
      <c r="G19" s="4"/>
      <c r="H19" s="4">
        <f>SUM(OSRRefH16x_0)</f>
        <v>452385</v>
      </c>
      <c r="I19" s="4"/>
      <c r="J19" s="12">
        <f t="shared" ref="J19:J46" si="5">IF(H$12=0,0,H19/H$12)</f>
        <v>0.74407140953903539</v>
      </c>
      <c r="K19" s="4"/>
      <c r="L19" s="4">
        <f t="shared" ref="L19:L46" si="6">+D19-H19</f>
        <v>-242592.08999999997</v>
      </c>
      <c r="M19" s="4"/>
      <c r="N19" s="12">
        <f t="shared" ref="N19:N46" si="7">IF(H19=0,0,L19/H19)</f>
        <v>-0.53625140090851808</v>
      </c>
      <c r="O19" s="10"/>
      <c r="P19" s="4">
        <f>SUM(OSRRefP16x_0)</f>
        <v>209792.91000000003</v>
      </c>
      <c r="Q19" s="4"/>
      <c r="R19" s="12">
        <f t="shared" ref="R19:R46" si="8">IF(P$12=0,0,P19/P$12)</f>
        <v>0.66431256272076167</v>
      </c>
      <c r="S19" s="4"/>
      <c r="T19" s="4">
        <f>SUM(OSRRefT16x_0)</f>
        <v>452385</v>
      </c>
      <c r="U19" s="4"/>
      <c r="V19" s="12">
        <f t="shared" ref="V19:V46" si="9">IF(T$12=0,0,T19/T$12)</f>
        <v>0.74407140953903539</v>
      </c>
      <c r="W19" s="4"/>
      <c r="X19" s="4">
        <f t="shared" ref="X19:X46" si="10">+P19-T19</f>
        <v>-242592.08999999997</v>
      </c>
      <c r="Y19" s="4"/>
      <c r="Z19" s="12">
        <f t="shared" ref="Z19:Z46" si="11">IF(T19=0,0,X19/T19)</f>
        <v>-0.53625140090851808</v>
      </c>
    </row>
    <row r="20" spans="1:26" s="24" customFormat="1" hidden="1" outlineLevel="1" x14ac:dyDescent="0.3">
      <c r="A20" s="44"/>
      <c r="B20" s="11" t="str">
        <f>CONCATENATE("          ", "5000", " - ", "PURCHASES @ COST")</f>
        <v xml:space="preserve">          5000 - PURCHASES @ COST</v>
      </c>
      <c r="C20" s="11"/>
      <c r="D20" s="3">
        <v>442136.21</v>
      </c>
      <c r="E20" s="3"/>
      <c r="F20" s="19">
        <f t="shared" si="4"/>
        <v>1.4000312915090638</v>
      </c>
      <c r="G20" s="3"/>
      <c r="H20" s="3">
        <v>452385</v>
      </c>
      <c r="I20" s="3"/>
      <c r="J20" s="19">
        <f t="shared" si="5"/>
        <v>0.74407140953903539</v>
      </c>
      <c r="K20" s="3"/>
      <c r="L20" s="3">
        <f t="shared" si="6"/>
        <v>-10248.789999999979</v>
      </c>
      <c r="M20" s="3"/>
      <c r="N20" s="19">
        <f t="shared" si="7"/>
        <v>-2.2655017297213611E-2</v>
      </c>
      <c r="O20" s="11"/>
      <c r="P20" s="3">
        <v>442136.21</v>
      </c>
      <c r="Q20" s="3"/>
      <c r="R20" s="19">
        <f t="shared" si="8"/>
        <v>1.4000312915090638</v>
      </c>
      <c r="S20" s="3"/>
      <c r="T20" s="3">
        <v>452385</v>
      </c>
      <c r="U20" s="3"/>
      <c r="V20" s="19">
        <f t="shared" si="9"/>
        <v>0.74407140953903539</v>
      </c>
      <c r="W20" s="3"/>
      <c r="X20" s="3">
        <f t="shared" si="10"/>
        <v>-10248.789999999979</v>
      </c>
      <c r="Y20" s="3"/>
      <c r="Z20" s="19">
        <f t="shared" si="11"/>
        <v>-2.2655017297213611E-2</v>
      </c>
    </row>
    <row r="21" spans="1:26" s="24" customFormat="1" hidden="1" outlineLevel="1" x14ac:dyDescent="0.3">
      <c r="A21" s="44"/>
      <c r="B21" s="11" t="str">
        <f>CONCATENATE("          ", "5001", " - ", "PURCHASES @ COST-NEW TEXT")</f>
        <v xml:space="preserve">          5001 - PURCHASES @ COST-NEW TEXT</v>
      </c>
      <c r="C21" s="11"/>
      <c r="D21" s="3">
        <v>0</v>
      </c>
      <c r="E21" s="3"/>
      <c r="F21" s="19">
        <f t="shared" si="4"/>
        <v>0</v>
      </c>
      <c r="G21" s="3"/>
      <c r="H21" s="3"/>
      <c r="I21" s="3"/>
      <c r="J21" s="19">
        <f t="shared" si="5"/>
        <v>0</v>
      </c>
      <c r="K21" s="3"/>
      <c r="L21" s="3">
        <f t="shared" si="6"/>
        <v>0</v>
      </c>
      <c r="M21" s="3"/>
      <c r="N21" s="19">
        <f t="shared" si="7"/>
        <v>0</v>
      </c>
      <c r="O21" s="11"/>
      <c r="P21" s="3">
        <v>0</v>
      </c>
      <c r="Q21" s="3"/>
      <c r="R21" s="19">
        <f t="shared" si="8"/>
        <v>0</v>
      </c>
      <c r="S21" s="3"/>
      <c r="T21" s="3"/>
      <c r="U21" s="3"/>
      <c r="V21" s="19">
        <f t="shared" si="9"/>
        <v>0</v>
      </c>
      <c r="W21" s="3"/>
      <c r="X21" s="3">
        <f t="shared" si="10"/>
        <v>0</v>
      </c>
      <c r="Y21" s="3"/>
      <c r="Z21" s="19">
        <f t="shared" si="11"/>
        <v>0</v>
      </c>
    </row>
    <row r="22" spans="1:26" s="24" customFormat="1" hidden="1" outlineLevel="1" x14ac:dyDescent="0.3">
      <c r="A22" s="44"/>
      <c r="B22" s="11" t="str">
        <f>CONCATENATE("          ", "5002", " - ", "PURCHASES @ COST-USED TEXT")</f>
        <v xml:space="preserve">          5002 - PURCHASES @ COST-USED TEXT</v>
      </c>
      <c r="C22" s="11"/>
      <c r="D22" s="3">
        <v>0</v>
      </c>
      <c r="E22" s="3"/>
      <c r="F22" s="19">
        <f t="shared" si="4"/>
        <v>0</v>
      </c>
      <c r="G22" s="3"/>
      <c r="H22" s="3"/>
      <c r="I22" s="3"/>
      <c r="J22" s="19">
        <f t="shared" si="5"/>
        <v>0</v>
      </c>
      <c r="K22" s="3"/>
      <c r="L22" s="3">
        <f t="shared" si="6"/>
        <v>0</v>
      </c>
      <c r="M22" s="3"/>
      <c r="N22" s="19">
        <f t="shared" si="7"/>
        <v>0</v>
      </c>
      <c r="O22" s="11"/>
      <c r="P22" s="3">
        <v>0</v>
      </c>
      <c r="Q22" s="3"/>
      <c r="R22" s="19">
        <f t="shared" si="8"/>
        <v>0</v>
      </c>
      <c r="S22" s="3"/>
      <c r="T22" s="3"/>
      <c r="U22" s="3"/>
      <c r="V22" s="19">
        <f t="shared" si="9"/>
        <v>0</v>
      </c>
      <c r="W22" s="3"/>
      <c r="X22" s="3">
        <f t="shared" si="10"/>
        <v>0</v>
      </c>
      <c r="Y22" s="3"/>
      <c r="Z22" s="19">
        <f t="shared" si="11"/>
        <v>0</v>
      </c>
    </row>
    <row r="23" spans="1:26" s="24" customFormat="1" hidden="1" outlineLevel="1" x14ac:dyDescent="0.3">
      <c r="A23" s="44"/>
      <c r="B23" s="11" t="str">
        <f>CONCATENATE("          ", "5004", " - ", "PURCHASES @ COST-DIGITAL TEXT")</f>
        <v xml:space="preserve">          5004 - PURCHASES @ COST-DIGITAL TEXT</v>
      </c>
      <c r="C23" s="11"/>
      <c r="D23" s="3">
        <v>0</v>
      </c>
      <c r="E23" s="3"/>
      <c r="F23" s="19">
        <f t="shared" si="4"/>
        <v>0</v>
      </c>
      <c r="G23" s="3"/>
      <c r="H23" s="3"/>
      <c r="I23" s="3"/>
      <c r="J23" s="19">
        <f t="shared" si="5"/>
        <v>0</v>
      </c>
      <c r="K23" s="3"/>
      <c r="L23" s="3">
        <f t="shared" si="6"/>
        <v>0</v>
      </c>
      <c r="M23" s="3"/>
      <c r="N23" s="19">
        <f t="shared" si="7"/>
        <v>0</v>
      </c>
      <c r="O23" s="11"/>
      <c r="P23" s="3">
        <v>0</v>
      </c>
      <c r="Q23" s="3"/>
      <c r="R23" s="19">
        <f t="shared" si="8"/>
        <v>0</v>
      </c>
      <c r="S23" s="3"/>
      <c r="T23" s="3"/>
      <c r="U23" s="3"/>
      <c r="V23" s="19">
        <f t="shared" si="9"/>
        <v>0</v>
      </c>
      <c r="W23" s="3"/>
      <c r="X23" s="3">
        <f t="shared" si="10"/>
        <v>0</v>
      </c>
      <c r="Y23" s="3"/>
      <c r="Z23" s="19">
        <f t="shared" si="11"/>
        <v>0</v>
      </c>
    </row>
    <row r="24" spans="1:26" s="24" customFormat="1" hidden="1" outlineLevel="1" x14ac:dyDescent="0.3">
      <c r="A24" s="44"/>
      <c r="B24" s="11" t="str">
        <f>CONCATENATE("          ", "5040", " - ", "PURCHASES @ COST-LOGO CLOTHING")</f>
        <v xml:space="preserve">          5040 - PURCHASES @ COST-LOGO CLOTHING</v>
      </c>
      <c r="C24" s="11"/>
      <c r="D24" s="3">
        <v>0</v>
      </c>
      <c r="E24" s="3"/>
      <c r="F24" s="19">
        <f t="shared" si="4"/>
        <v>0</v>
      </c>
      <c r="G24" s="3"/>
      <c r="H24" s="3"/>
      <c r="I24" s="3"/>
      <c r="J24" s="19">
        <f t="shared" si="5"/>
        <v>0</v>
      </c>
      <c r="K24" s="3"/>
      <c r="L24" s="3">
        <f t="shared" si="6"/>
        <v>0</v>
      </c>
      <c r="M24" s="3"/>
      <c r="N24" s="19">
        <f t="shared" si="7"/>
        <v>0</v>
      </c>
      <c r="O24" s="11"/>
      <c r="P24" s="3">
        <v>0</v>
      </c>
      <c r="Q24" s="3"/>
      <c r="R24" s="19">
        <f t="shared" si="8"/>
        <v>0</v>
      </c>
      <c r="S24" s="3"/>
      <c r="T24" s="3"/>
      <c r="U24" s="3"/>
      <c r="V24" s="19">
        <f t="shared" si="9"/>
        <v>0</v>
      </c>
      <c r="W24" s="3"/>
      <c r="X24" s="3">
        <f t="shared" si="10"/>
        <v>0</v>
      </c>
      <c r="Y24" s="3"/>
      <c r="Z24" s="19">
        <f t="shared" si="11"/>
        <v>0</v>
      </c>
    </row>
    <row r="25" spans="1:26" s="24" customFormat="1" hidden="1" outlineLevel="1" x14ac:dyDescent="0.3">
      <c r="A25" s="44"/>
      <c r="B25" s="11" t="str">
        <f>CONCATENATE("          ", "5041", " - ", "PURCHASES @ COST-LOGO GIFTS")</f>
        <v xml:space="preserve">          5041 - PURCHASES @ COST-LOGO GIFTS</v>
      </c>
      <c r="C25" s="11"/>
      <c r="D25" s="3">
        <v>0</v>
      </c>
      <c r="E25" s="3"/>
      <c r="F25" s="19">
        <f t="shared" si="4"/>
        <v>0</v>
      </c>
      <c r="G25" s="3"/>
      <c r="H25" s="3"/>
      <c r="I25" s="3"/>
      <c r="J25" s="19">
        <f t="shared" si="5"/>
        <v>0</v>
      </c>
      <c r="K25" s="3"/>
      <c r="L25" s="3">
        <f t="shared" si="6"/>
        <v>0</v>
      </c>
      <c r="M25" s="3"/>
      <c r="N25" s="19">
        <f t="shared" si="7"/>
        <v>0</v>
      </c>
      <c r="O25" s="11"/>
      <c r="P25" s="3">
        <v>0</v>
      </c>
      <c r="Q25" s="3"/>
      <c r="R25" s="19">
        <f t="shared" si="8"/>
        <v>0</v>
      </c>
      <c r="S25" s="3"/>
      <c r="T25" s="3"/>
      <c r="U25" s="3"/>
      <c r="V25" s="19">
        <f t="shared" si="9"/>
        <v>0</v>
      </c>
      <c r="W25" s="3"/>
      <c r="X25" s="3">
        <f t="shared" si="10"/>
        <v>0</v>
      </c>
      <c r="Y25" s="3"/>
      <c r="Z25" s="19">
        <f t="shared" si="11"/>
        <v>0</v>
      </c>
    </row>
    <row r="26" spans="1:26" s="24" customFormat="1" hidden="1" outlineLevel="1" x14ac:dyDescent="0.3">
      <c r="A26" s="44"/>
      <c r="B26" s="11" t="str">
        <f>CONCATENATE("          ", "5042", " - ", "PURCHASES @ COST-EVERYDAY GIFT")</f>
        <v xml:space="preserve">          5042 - PURCHASES @ COST-EVERYDAY GIFT</v>
      </c>
      <c r="C26" s="11"/>
      <c r="D26" s="3">
        <v>0</v>
      </c>
      <c r="E26" s="3"/>
      <c r="F26" s="19">
        <f t="shared" si="4"/>
        <v>0</v>
      </c>
      <c r="G26" s="3"/>
      <c r="H26" s="3"/>
      <c r="I26" s="3"/>
      <c r="J26" s="19">
        <f t="shared" si="5"/>
        <v>0</v>
      </c>
      <c r="K26" s="3"/>
      <c r="L26" s="3">
        <f t="shared" si="6"/>
        <v>0</v>
      </c>
      <c r="M26" s="3"/>
      <c r="N26" s="19">
        <f t="shared" si="7"/>
        <v>0</v>
      </c>
      <c r="O26" s="11"/>
      <c r="P26" s="3">
        <v>0</v>
      </c>
      <c r="Q26" s="3"/>
      <c r="R26" s="19">
        <f t="shared" si="8"/>
        <v>0</v>
      </c>
      <c r="S26" s="3"/>
      <c r="T26" s="3"/>
      <c r="U26" s="3"/>
      <c r="V26" s="19">
        <f t="shared" si="9"/>
        <v>0</v>
      </c>
      <c r="W26" s="3"/>
      <c r="X26" s="3">
        <f t="shared" si="10"/>
        <v>0</v>
      </c>
      <c r="Y26" s="3"/>
      <c r="Z26" s="19">
        <f t="shared" si="11"/>
        <v>0</v>
      </c>
    </row>
    <row r="27" spans="1:26" s="24" customFormat="1" hidden="1" outlineLevel="1" x14ac:dyDescent="0.3">
      <c r="A27" s="44"/>
      <c r="B27" s="11" t="str">
        <f>CONCATENATE("          ", "5043", " - ", "PURCHASES @ COST-CARDS")</f>
        <v xml:space="preserve">          5043 - PURCHASES @ COST-CARDS</v>
      </c>
      <c r="C27" s="11"/>
      <c r="D27" s="3">
        <v>0</v>
      </c>
      <c r="E27" s="3"/>
      <c r="F27" s="19">
        <f t="shared" si="4"/>
        <v>0</v>
      </c>
      <c r="G27" s="3"/>
      <c r="H27" s="3"/>
      <c r="I27" s="3"/>
      <c r="J27" s="19">
        <f t="shared" si="5"/>
        <v>0</v>
      </c>
      <c r="K27" s="3"/>
      <c r="L27" s="3">
        <f t="shared" si="6"/>
        <v>0</v>
      </c>
      <c r="M27" s="3"/>
      <c r="N27" s="19">
        <f t="shared" si="7"/>
        <v>0</v>
      </c>
      <c r="O27" s="11"/>
      <c r="P27" s="3">
        <v>0</v>
      </c>
      <c r="Q27" s="3"/>
      <c r="R27" s="19">
        <f t="shared" si="8"/>
        <v>0</v>
      </c>
      <c r="S27" s="3"/>
      <c r="T27" s="3"/>
      <c r="U27" s="3"/>
      <c r="V27" s="19">
        <f t="shared" si="9"/>
        <v>0</v>
      </c>
      <c r="W27" s="3"/>
      <c r="X27" s="3">
        <f t="shared" si="10"/>
        <v>0</v>
      </c>
      <c r="Y27" s="3"/>
      <c r="Z27" s="19">
        <f t="shared" si="11"/>
        <v>0</v>
      </c>
    </row>
    <row r="28" spans="1:26" s="24" customFormat="1" hidden="1" outlineLevel="1" x14ac:dyDescent="0.3">
      <c r="A28" s="44"/>
      <c r="B28" s="11" t="str">
        <f>CONCATENATE("          ", "5044", " - ", "PURCHASES @ COST-ACCESSORIES")</f>
        <v xml:space="preserve">          5044 - PURCHASES @ COST-ACCESSORIES</v>
      </c>
      <c r="C28" s="11"/>
      <c r="D28" s="3">
        <v>0</v>
      </c>
      <c r="E28" s="3"/>
      <c r="F28" s="19">
        <f t="shared" si="4"/>
        <v>0</v>
      </c>
      <c r="G28" s="3"/>
      <c r="H28" s="3"/>
      <c r="I28" s="3"/>
      <c r="J28" s="19">
        <f t="shared" si="5"/>
        <v>0</v>
      </c>
      <c r="K28" s="3"/>
      <c r="L28" s="3">
        <f t="shared" si="6"/>
        <v>0</v>
      </c>
      <c r="M28" s="3"/>
      <c r="N28" s="19">
        <f t="shared" si="7"/>
        <v>0</v>
      </c>
      <c r="O28" s="11"/>
      <c r="P28" s="3">
        <v>0</v>
      </c>
      <c r="Q28" s="3"/>
      <c r="R28" s="19">
        <f t="shared" si="8"/>
        <v>0</v>
      </c>
      <c r="S28" s="3"/>
      <c r="T28" s="3"/>
      <c r="U28" s="3"/>
      <c r="V28" s="19">
        <f t="shared" si="9"/>
        <v>0</v>
      </c>
      <c r="W28" s="3"/>
      <c r="X28" s="3">
        <f t="shared" si="10"/>
        <v>0</v>
      </c>
      <c r="Y28" s="3"/>
      <c r="Z28" s="19">
        <f t="shared" si="11"/>
        <v>0</v>
      </c>
    </row>
    <row r="29" spans="1:26" s="24" customFormat="1" hidden="1" outlineLevel="1" x14ac:dyDescent="0.3">
      <c r="A29" s="44"/>
      <c r="B29" s="11" t="str">
        <f>CONCATENATE("          ", "5045", " - ", "PURCHASES @ COST-SPECIAL ORDER")</f>
        <v xml:space="preserve">          5045 - PURCHASES @ COST-SPECIAL ORDER</v>
      </c>
      <c r="C29" s="11"/>
      <c r="D29" s="3">
        <v>0</v>
      </c>
      <c r="E29" s="3"/>
      <c r="F29" s="19">
        <f t="shared" si="4"/>
        <v>0</v>
      </c>
      <c r="G29" s="3"/>
      <c r="H29" s="3"/>
      <c r="I29" s="3"/>
      <c r="J29" s="19">
        <f t="shared" si="5"/>
        <v>0</v>
      </c>
      <c r="K29" s="3"/>
      <c r="L29" s="3">
        <f t="shared" si="6"/>
        <v>0</v>
      </c>
      <c r="M29" s="3"/>
      <c r="N29" s="19">
        <f t="shared" si="7"/>
        <v>0</v>
      </c>
      <c r="O29" s="11"/>
      <c r="P29" s="3">
        <v>0</v>
      </c>
      <c r="Q29" s="3"/>
      <c r="R29" s="19">
        <f t="shared" si="8"/>
        <v>0</v>
      </c>
      <c r="S29" s="3"/>
      <c r="T29" s="3"/>
      <c r="U29" s="3"/>
      <c r="V29" s="19">
        <f t="shared" si="9"/>
        <v>0</v>
      </c>
      <c r="W29" s="3"/>
      <c r="X29" s="3">
        <f t="shared" si="10"/>
        <v>0</v>
      </c>
      <c r="Y29" s="3"/>
      <c r="Z29" s="19">
        <f t="shared" si="11"/>
        <v>0</v>
      </c>
    </row>
    <row r="30" spans="1:26" s="24" customFormat="1" hidden="1" outlineLevel="1" x14ac:dyDescent="0.3">
      <c r="A30" s="44"/>
      <c r="B30" s="11" t="str">
        <f>CONCATENATE("          ", "5081", " - ", "PURCHASES @ COST-ELECTRONICS")</f>
        <v xml:space="preserve">          5081 - PURCHASES @ COST-ELECTRONICS</v>
      </c>
      <c r="C30" s="11"/>
      <c r="D30" s="3">
        <v>0</v>
      </c>
      <c r="E30" s="3"/>
      <c r="F30" s="19">
        <f t="shared" si="4"/>
        <v>0</v>
      </c>
      <c r="G30" s="3"/>
      <c r="H30" s="3"/>
      <c r="I30" s="3"/>
      <c r="J30" s="19">
        <f t="shared" si="5"/>
        <v>0</v>
      </c>
      <c r="K30" s="3"/>
      <c r="L30" s="3">
        <f t="shared" si="6"/>
        <v>0</v>
      </c>
      <c r="M30" s="3"/>
      <c r="N30" s="19">
        <f t="shared" si="7"/>
        <v>0</v>
      </c>
      <c r="O30" s="11"/>
      <c r="P30" s="3">
        <v>0</v>
      </c>
      <c r="Q30" s="3"/>
      <c r="R30" s="19">
        <f t="shared" si="8"/>
        <v>0</v>
      </c>
      <c r="S30" s="3"/>
      <c r="T30" s="3"/>
      <c r="U30" s="3"/>
      <c r="V30" s="19">
        <f t="shared" si="9"/>
        <v>0</v>
      </c>
      <c r="W30" s="3"/>
      <c r="X30" s="3">
        <f t="shared" si="10"/>
        <v>0</v>
      </c>
      <c r="Y30" s="3"/>
      <c r="Z30" s="19">
        <f t="shared" si="11"/>
        <v>0</v>
      </c>
    </row>
    <row r="31" spans="1:26" s="24" customFormat="1" hidden="1" outlineLevel="1" x14ac:dyDescent="0.3">
      <c r="A31" s="44"/>
      <c r="B31" s="11" t="str">
        <f>CONCATENATE("          ", "5082", " - ", "PURCHASES @ COST-COMPUTER HARD")</f>
        <v xml:space="preserve">          5082 - PURCHASES @ COST-COMPUTER HARD</v>
      </c>
      <c r="C31" s="11"/>
      <c r="D31" s="3">
        <v>-10902.62</v>
      </c>
      <c r="E31" s="3"/>
      <c r="F31" s="19">
        <f t="shared" si="4"/>
        <v>-3.4523318412288714E-2</v>
      </c>
      <c r="G31" s="3"/>
      <c r="H31" s="3"/>
      <c r="I31" s="3"/>
      <c r="J31" s="19">
        <f t="shared" si="5"/>
        <v>0</v>
      </c>
      <c r="K31" s="3"/>
      <c r="L31" s="3">
        <f t="shared" si="6"/>
        <v>-10902.62</v>
      </c>
      <c r="M31" s="3"/>
      <c r="N31" s="19">
        <f t="shared" si="7"/>
        <v>0</v>
      </c>
      <c r="O31" s="11"/>
      <c r="P31" s="3">
        <v>-10902.62</v>
      </c>
      <c r="Q31" s="3"/>
      <c r="R31" s="19">
        <f t="shared" si="8"/>
        <v>-3.4523318412288714E-2</v>
      </c>
      <c r="S31" s="3"/>
      <c r="T31" s="3"/>
      <c r="U31" s="3"/>
      <c r="V31" s="19">
        <f t="shared" si="9"/>
        <v>0</v>
      </c>
      <c r="W31" s="3"/>
      <c r="X31" s="3">
        <f t="shared" si="10"/>
        <v>-10902.62</v>
      </c>
      <c r="Y31" s="3"/>
      <c r="Z31" s="19">
        <f t="shared" si="11"/>
        <v>0</v>
      </c>
    </row>
    <row r="32" spans="1:26" s="24" customFormat="1" hidden="1" outlineLevel="1" x14ac:dyDescent="0.3">
      <c r="A32" s="44"/>
      <c r="B32" s="11" t="str">
        <f>CONCATENATE("          ", "5083", " - ", "PURCHASES @ COST-COMPUTER EQUI")</f>
        <v xml:space="preserve">          5083 - PURCHASES @ COST-COMPUTER EQUI</v>
      </c>
      <c r="C32" s="11"/>
      <c r="D32" s="3">
        <v>0</v>
      </c>
      <c r="E32" s="3"/>
      <c r="F32" s="19">
        <f t="shared" si="4"/>
        <v>0</v>
      </c>
      <c r="G32" s="3"/>
      <c r="H32" s="3"/>
      <c r="I32" s="3"/>
      <c r="J32" s="19">
        <f t="shared" si="5"/>
        <v>0</v>
      </c>
      <c r="K32" s="3"/>
      <c r="L32" s="3">
        <f t="shared" si="6"/>
        <v>0</v>
      </c>
      <c r="M32" s="3"/>
      <c r="N32" s="19">
        <f t="shared" si="7"/>
        <v>0</v>
      </c>
      <c r="O32" s="11"/>
      <c r="P32" s="3">
        <v>0</v>
      </c>
      <c r="Q32" s="3"/>
      <c r="R32" s="19">
        <f t="shared" si="8"/>
        <v>0</v>
      </c>
      <c r="S32" s="3"/>
      <c r="T32" s="3"/>
      <c r="U32" s="3"/>
      <c r="V32" s="19">
        <f t="shared" si="9"/>
        <v>0</v>
      </c>
      <c r="W32" s="3"/>
      <c r="X32" s="3">
        <f t="shared" si="10"/>
        <v>0</v>
      </c>
      <c r="Y32" s="3"/>
      <c r="Z32" s="19">
        <f t="shared" si="11"/>
        <v>0</v>
      </c>
    </row>
    <row r="33" spans="1:26" s="24" customFormat="1" hidden="1" outlineLevel="1" x14ac:dyDescent="0.3">
      <c r="A33" s="44"/>
      <c r="B33" s="11" t="str">
        <f>CONCATENATE("          ", "5085", " - ", "PURCHASES @ COST-SOFTWARE")</f>
        <v xml:space="preserve">          5085 - PURCHASES @ COST-SOFTWARE</v>
      </c>
      <c r="C33" s="11"/>
      <c r="D33" s="3">
        <v>0</v>
      </c>
      <c r="E33" s="3"/>
      <c r="F33" s="19">
        <f t="shared" si="4"/>
        <v>0</v>
      </c>
      <c r="G33" s="3"/>
      <c r="H33" s="3"/>
      <c r="I33" s="3"/>
      <c r="J33" s="19">
        <f t="shared" si="5"/>
        <v>0</v>
      </c>
      <c r="K33" s="3"/>
      <c r="L33" s="3">
        <f t="shared" si="6"/>
        <v>0</v>
      </c>
      <c r="M33" s="3"/>
      <c r="N33" s="19">
        <f t="shared" si="7"/>
        <v>0</v>
      </c>
      <c r="O33" s="11"/>
      <c r="P33" s="3">
        <v>0</v>
      </c>
      <c r="Q33" s="3"/>
      <c r="R33" s="19">
        <f t="shared" si="8"/>
        <v>0</v>
      </c>
      <c r="S33" s="3"/>
      <c r="T33" s="3"/>
      <c r="U33" s="3"/>
      <c r="V33" s="19">
        <f t="shared" si="9"/>
        <v>0</v>
      </c>
      <c r="W33" s="3"/>
      <c r="X33" s="3">
        <f t="shared" si="10"/>
        <v>0</v>
      </c>
      <c r="Y33" s="3"/>
      <c r="Z33" s="19">
        <f t="shared" si="11"/>
        <v>0</v>
      </c>
    </row>
    <row r="34" spans="1:26" s="24" customFormat="1" hidden="1" outlineLevel="1" x14ac:dyDescent="0.3">
      <c r="A34" s="44"/>
      <c r="B34" s="11" t="str">
        <f>CONCATENATE("          ", "5086", " - ", "PURCHASES @ COST-COMPUTER SUPP")</f>
        <v xml:space="preserve">          5086 - PURCHASES @ COST-COMPUTER SUPP</v>
      </c>
      <c r="C34" s="11"/>
      <c r="D34" s="3">
        <v>0</v>
      </c>
      <c r="E34" s="3"/>
      <c r="F34" s="19">
        <f t="shared" si="4"/>
        <v>0</v>
      </c>
      <c r="G34" s="3"/>
      <c r="H34" s="3"/>
      <c r="I34" s="3"/>
      <c r="J34" s="19">
        <f t="shared" si="5"/>
        <v>0</v>
      </c>
      <c r="K34" s="3"/>
      <c r="L34" s="3">
        <f t="shared" si="6"/>
        <v>0</v>
      </c>
      <c r="M34" s="3"/>
      <c r="N34" s="19">
        <f t="shared" si="7"/>
        <v>0</v>
      </c>
      <c r="O34" s="11"/>
      <c r="P34" s="3">
        <v>0</v>
      </c>
      <c r="Q34" s="3"/>
      <c r="R34" s="19">
        <f t="shared" si="8"/>
        <v>0</v>
      </c>
      <c r="S34" s="3"/>
      <c r="T34" s="3"/>
      <c r="U34" s="3"/>
      <c r="V34" s="19">
        <f t="shared" si="9"/>
        <v>0</v>
      </c>
      <c r="W34" s="3"/>
      <c r="X34" s="3">
        <f t="shared" si="10"/>
        <v>0</v>
      </c>
      <c r="Y34" s="3"/>
      <c r="Z34" s="19">
        <f t="shared" si="11"/>
        <v>0</v>
      </c>
    </row>
    <row r="35" spans="1:26" s="24" customFormat="1" hidden="1" outlineLevel="1" x14ac:dyDescent="0.3">
      <c r="A35" s="44"/>
      <c r="B35" s="11" t="str">
        <f>CONCATENATE("          ", "5200", " - ", "PURCHASES OFFSET")</f>
        <v xml:space="preserve">          5200 - PURCHASES OFFSET</v>
      </c>
      <c r="C35" s="11"/>
      <c r="D35" s="3">
        <v>-443731.32</v>
      </c>
      <c r="E35" s="3"/>
      <c r="F35" s="19">
        <f t="shared" si="4"/>
        <v>-1.4050822325152281</v>
      </c>
      <c r="G35" s="3"/>
      <c r="H35" s="3"/>
      <c r="I35" s="3"/>
      <c r="J35" s="19">
        <f t="shared" si="5"/>
        <v>0</v>
      </c>
      <c r="K35" s="3"/>
      <c r="L35" s="3">
        <f t="shared" si="6"/>
        <v>-443731.32</v>
      </c>
      <c r="M35" s="3"/>
      <c r="N35" s="19">
        <f t="shared" si="7"/>
        <v>0</v>
      </c>
      <c r="O35" s="11"/>
      <c r="P35" s="3">
        <v>-443731.32</v>
      </c>
      <c r="Q35" s="3"/>
      <c r="R35" s="19">
        <f t="shared" si="8"/>
        <v>-1.4050822325152281</v>
      </c>
      <c r="S35" s="3"/>
      <c r="T35" s="3"/>
      <c r="U35" s="3"/>
      <c r="V35" s="19">
        <f t="shared" si="9"/>
        <v>0</v>
      </c>
      <c r="W35" s="3"/>
      <c r="X35" s="3">
        <f t="shared" si="10"/>
        <v>-443731.32</v>
      </c>
      <c r="Y35" s="3"/>
      <c r="Z35" s="19">
        <f t="shared" si="11"/>
        <v>0</v>
      </c>
    </row>
    <row r="36" spans="1:26" s="24" customFormat="1" hidden="1" outlineLevel="1" x14ac:dyDescent="0.3">
      <c r="A36" s="44"/>
      <c r="B36" s="11" t="str">
        <f>CONCATENATE("          ", "5300", " - ", "COG$ OFFSET")</f>
        <v xml:space="preserve">          5300 - COG$ OFFSET</v>
      </c>
      <c r="C36" s="11"/>
      <c r="D36" s="3">
        <v>218685.5</v>
      </c>
      <c r="E36" s="3"/>
      <c r="F36" s="19">
        <f t="shared" si="4"/>
        <v>0.69247108939416058</v>
      </c>
      <c r="G36" s="3"/>
      <c r="H36" s="3"/>
      <c r="I36" s="3"/>
      <c r="J36" s="19">
        <f t="shared" si="5"/>
        <v>0</v>
      </c>
      <c r="K36" s="3"/>
      <c r="L36" s="3">
        <f t="shared" si="6"/>
        <v>218685.5</v>
      </c>
      <c r="M36" s="3"/>
      <c r="N36" s="19">
        <f t="shared" si="7"/>
        <v>0</v>
      </c>
      <c r="O36" s="11"/>
      <c r="P36" s="3">
        <v>218685.5</v>
      </c>
      <c r="Q36" s="3"/>
      <c r="R36" s="19">
        <f t="shared" si="8"/>
        <v>0.69247108939416058</v>
      </c>
      <c r="S36" s="3"/>
      <c r="T36" s="3"/>
      <c r="U36" s="3"/>
      <c r="V36" s="19">
        <f t="shared" si="9"/>
        <v>0</v>
      </c>
      <c r="W36" s="3"/>
      <c r="X36" s="3">
        <f t="shared" si="10"/>
        <v>218685.5</v>
      </c>
      <c r="Y36" s="3"/>
      <c r="Z36" s="19">
        <f t="shared" si="11"/>
        <v>0</v>
      </c>
    </row>
    <row r="37" spans="1:26" s="24" customFormat="1" hidden="1" outlineLevel="1" x14ac:dyDescent="0.3">
      <c r="A37" s="44"/>
      <c r="B37" s="11" t="str">
        <f>CONCATENATE("          ", "5500", " - ", "FREIGHT-IN")</f>
        <v xml:space="preserve">          5500 - FREIGHT-IN</v>
      </c>
      <c r="C37" s="11"/>
      <c r="D37" s="3">
        <v>3605.14</v>
      </c>
      <c r="E37" s="3"/>
      <c r="F37" s="19">
        <f t="shared" si="4"/>
        <v>1.1415732745053806E-2</v>
      </c>
      <c r="G37" s="3"/>
      <c r="H37" s="3"/>
      <c r="I37" s="3"/>
      <c r="J37" s="19">
        <f t="shared" si="5"/>
        <v>0</v>
      </c>
      <c r="K37" s="3"/>
      <c r="L37" s="3">
        <f t="shared" si="6"/>
        <v>3605.14</v>
      </c>
      <c r="M37" s="3"/>
      <c r="N37" s="19">
        <f t="shared" si="7"/>
        <v>0</v>
      </c>
      <c r="O37" s="11"/>
      <c r="P37" s="3">
        <v>3605.14</v>
      </c>
      <c r="Q37" s="3"/>
      <c r="R37" s="19">
        <f t="shared" si="8"/>
        <v>1.1415732745053806E-2</v>
      </c>
      <c r="S37" s="3"/>
      <c r="T37" s="3"/>
      <c r="U37" s="3"/>
      <c r="V37" s="19">
        <f t="shared" si="9"/>
        <v>0</v>
      </c>
      <c r="W37" s="3"/>
      <c r="X37" s="3">
        <f t="shared" si="10"/>
        <v>3605.14</v>
      </c>
      <c r="Y37" s="3"/>
      <c r="Z37" s="19">
        <f t="shared" si="11"/>
        <v>0</v>
      </c>
    </row>
    <row r="38" spans="1:26" s="24" customFormat="1" hidden="1" outlineLevel="1" x14ac:dyDescent="0.3">
      <c r="A38" s="44"/>
      <c r="B38" s="11" t="str">
        <f>CONCATENATE("          ", "5501", " - ", "FREIGHT-IN-NEW TEXT")</f>
        <v xml:space="preserve">          5501 - FREIGHT-IN-NEW TEXT</v>
      </c>
      <c r="C38" s="11"/>
      <c r="D38" s="3">
        <v>0</v>
      </c>
      <c r="E38" s="3"/>
      <c r="F38" s="19">
        <f t="shared" si="4"/>
        <v>0</v>
      </c>
      <c r="G38" s="3"/>
      <c r="H38" s="3"/>
      <c r="I38" s="3"/>
      <c r="J38" s="19">
        <f t="shared" si="5"/>
        <v>0</v>
      </c>
      <c r="K38" s="3"/>
      <c r="L38" s="3">
        <f t="shared" si="6"/>
        <v>0</v>
      </c>
      <c r="M38" s="3"/>
      <c r="N38" s="19">
        <f t="shared" si="7"/>
        <v>0</v>
      </c>
      <c r="O38" s="11"/>
      <c r="P38" s="3">
        <v>0</v>
      </c>
      <c r="Q38" s="3"/>
      <c r="R38" s="19">
        <f t="shared" si="8"/>
        <v>0</v>
      </c>
      <c r="S38" s="3"/>
      <c r="T38" s="3"/>
      <c r="U38" s="3"/>
      <c r="V38" s="19">
        <f t="shared" si="9"/>
        <v>0</v>
      </c>
      <c r="W38" s="3"/>
      <c r="X38" s="3">
        <f t="shared" si="10"/>
        <v>0</v>
      </c>
      <c r="Y38" s="3"/>
      <c r="Z38" s="19">
        <f t="shared" si="11"/>
        <v>0</v>
      </c>
    </row>
    <row r="39" spans="1:26" s="24" customFormat="1" hidden="1" outlineLevel="1" x14ac:dyDescent="0.3">
      <c r="A39" s="44"/>
      <c r="B39" s="11" t="str">
        <f>CONCATENATE("          ", "5502", " - ", "FREIGHT-IN-USED TEXT")</f>
        <v xml:space="preserve">          5502 - FREIGHT-IN-USED TEXT</v>
      </c>
      <c r="C39" s="11"/>
      <c r="D39" s="3">
        <v>0</v>
      </c>
      <c r="E39" s="3"/>
      <c r="F39" s="19">
        <f t="shared" si="4"/>
        <v>0</v>
      </c>
      <c r="G39" s="3"/>
      <c r="H39" s="3"/>
      <c r="I39" s="3"/>
      <c r="J39" s="19">
        <f t="shared" si="5"/>
        <v>0</v>
      </c>
      <c r="K39" s="3"/>
      <c r="L39" s="3">
        <f t="shared" si="6"/>
        <v>0</v>
      </c>
      <c r="M39" s="3"/>
      <c r="N39" s="19">
        <f t="shared" si="7"/>
        <v>0</v>
      </c>
      <c r="O39" s="11"/>
      <c r="P39" s="3">
        <v>0</v>
      </c>
      <c r="Q39" s="3"/>
      <c r="R39" s="19">
        <f t="shared" si="8"/>
        <v>0</v>
      </c>
      <c r="S39" s="3"/>
      <c r="T39" s="3"/>
      <c r="U39" s="3"/>
      <c r="V39" s="19">
        <f t="shared" si="9"/>
        <v>0</v>
      </c>
      <c r="W39" s="3"/>
      <c r="X39" s="3">
        <f t="shared" si="10"/>
        <v>0</v>
      </c>
      <c r="Y39" s="3"/>
      <c r="Z39" s="19">
        <f t="shared" si="11"/>
        <v>0</v>
      </c>
    </row>
    <row r="40" spans="1:26" s="24" customFormat="1" hidden="1" outlineLevel="1" x14ac:dyDescent="0.3">
      <c r="A40" s="44"/>
      <c r="B40" s="11" t="str">
        <f>CONCATENATE("          ", "5518", " - ", "FREIGHT-IN-STUDY GUIDES")</f>
        <v xml:space="preserve">          5518 - FREIGHT-IN-STUDY GUIDES</v>
      </c>
      <c r="C40" s="11"/>
      <c r="D40" s="3">
        <v>0</v>
      </c>
      <c r="E40" s="3"/>
      <c r="F40" s="19">
        <f t="shared" si="4"/>
        <v>0</v>
      </c>
      <c r="G40" s="3"/>
      <c r="H40" s="3"/>
      <c r="I40" s="3"/>
      <c r="J40" s="19">
        <f t="shared" si="5"/>
        <v>0</v>
      </c>
      <c r="K40" s="3"/>
      <c r="L40" s="3">
        <f t="shared" si="6"/>
        <v>0</v>
      </c>
      <c r="M40" s="3"/>
      <c r="N40" s="19">
        <f t="shared" si="7"/>
        <v>0</v>
      </c>
      <c r="O40" s="11"/>
      <c r="P40" s="3">
        <v>0</v>
      </c>
      <c r="Q40" s="3"/>
      <c r="R40" s="19">
        <f t="shared" si="8"/>
        <v>0</v>
      </c>
      <c r="S40" s="3"/>
      <c r="T40" s="3"/>
      <c r="U40" s="3"/>
      <c r="V40" s="19">
        <f t="shared" si="9"/>
        <v>0</v>
      </c>
      <c r="W40" s="3"/>
      <c r="X40" s="3">
        <f t="shared" si="10"/>
        <v>0</v>
      </c>
      <c r="Y40" s="3"/>
      <c r="Z40" s="19">
        <f t="shared" si="11"/>
        <v>0</v>
      </c>
    </row>
    <row r="41" spans="1:26" s="24" customFormat="1" hidden="1" outlineLevel="1" x14ac:dyDescent="0.3">
      <c r="A41" s="44"/>
      <c r="B41" s="11" t="str">
        <f>CONCATENATE("          ", "5540", " - ", "FREIGHT-IN-LOGO CLOTHING")</f>
        <v xml:space="preserve">          5540 - FREIGHT-IN-LOGO CLOTHING</v>
      </c>
      <c r="C41" s="11"/>
      <c r="D41" s="3">
        <v>0</v>
      </c>
      <c r="E41" s="3"/>
      <c r="F41" s="19">
        <f t="shared" si="4"/>
        <v>0</v>
      </c>
      <c r="G41" s="3"/>
      <c r="H41" s="3"/>
      <c r="I41" s="3"/>
      <c r="J41" s="19">
        <f t="shared" si="5"/>
        <v>0</v>
      </c>
      <c r="K41" s="3"/>
      <c r="L41" s="3">
        <f t="shared" si="6"/>
        <v>0</v>
      </c>
      <c r="M41" s="3"/>
      <c r="N41" s="19">
        <f t="shared" si="7"/>
        <v>0</v>
      </c>
      <c r="O41" s="11"/>
      <c r="P41" s="3">
        <v>0</v>
      </c>
      <c r="Q41" s="3"/>
      <c r="R41" s="19">
        <f t="shared" si="8"/>
        <v>0</v>
      </c>
      <c r="S41" s="3"/>
      <c r="T41" s="3"/>
      <c r="U41" s="3"/>
      <c r="V41" s="19">
        <f t="shared" si="9"/>
        <v>0</v>
      </c>
      <c r="W41" s="3"/>
      <c r="X41" s="3">
        <f t="shared" si="10"/>
        <v>0</v>
      </c>
      <c r="Y41" s="3"/>
      <c r="Z41" s="19">
        <f t="shared" si="11"/>
        <v>0</v>
      </c>
    </row>
    <row r="42" spans="1:26" s="24" customFormat="1" hidden="1" outlineLevel="1" x14ac:dyDescent="0.3">
      <c r="A42" s="44"/>
      <c r="B42" s="11" t="str">
        <f>CONCATENATE("          ", "5541", " - ", "FREIGHT-IN-LOGO GIFTS")</f>
        <v xml:space="preserve">          5541 - FREIGHT-IN-LOGO GIFTS</v>
      </c>
      <c r="C42" s="11"/>
      <c r="D42" s="3">
        <v>0</v>
      </c>
      <c r="E42" s="3"/>
      <c r="F42" s="19">
        <f t="shared" si="4"/>
        <v>0</v>
      </c>
      <c r="G42" s="3"/>
      <c r="H42" s="3"/>
      <c r="I42" s="3"/>
      <c r="J42" s="19">
        <f t="shared" si="5"/>
        <v>0</v>
      </c>
      <c r="K42" s="3"/>
      <c r="L42" s="3">
        <f t="shared" si="6"/>
        <v>0</v>
      </c>
      <c r="M42" s="3"/>
      <c r="N42" s="19">
        <f t="shared" si="7"/>
        <v>0</v>
      </c>
      <c r="O42" s="11"/>
      <c r="P42" s="3">
        <v>0</v>
      </c>
      <c r="Q42" s="3"/>
      <c r="R42" s="19">
        <f t="shared" si="8"/>
        <v>0</v>
      </c>
      <c r="S42" s="3"/>
      <c r="T42" s="3"/>
      <c r="U42" s="3"/>
      <c r="V42" s="19">
        <f t="shared" si="9"/>
        <v>0</v>
      </c>
      <c r="W42" s="3"/>
      <c r="X42" s="3">
        <f t="shared" si="10"/>
        <v>0</v>
      </c>
      <c r="Y42" s="3"/>
      <c r="Z42" s="19">
        <f t="shared" si="11"/>
        <v>0</v>
      </c>
    </row>
    <row r="43" spans="1:26" s="24" customFormat="1" hidden="1" outlineLevel="1" x14ac:dyDescent="0.3">
      <c r="A43" s="44"/>
      <c r="B43" s="11" t="str">
        <f>CONCATENATE("          ", "5542", " - ", "FREIGHT-IN-EVERYDAY GIFTS")</f>
        <v xml:space="preserve">          5542 - FREIGHT-IN-EVERYDAY GIFTS</v>
      </c>
      <c r="C43" s="11"/>
      <c r="D43" s="3">
        <v>0</v>
      </c>
      <c r="E43" s="3"/>
      <c r="F43" s="19">
        <f t="shared" si="4"/>
        <v>0</v>
      </c>
      <c r="G43" s="3"/>
      <c r="H43" s="3"/>
      <c r="I43" s="3"/>
      <c r="J43" s="19">
        <f t="shared" si="5"/>
        <v>0</v>
      </c>
      <c r="K43" s="3"/>
      <c r="L43" s="3">
        <f t="shared" si="6"/>
        <v>0</v>
      </c>
      <c r="M43" s="3"/>
      <c r="N43" s="19">
        <f t="shared" si="7"/>
        <v>0</v>
      </c>
      <c r="O43" s="11"/>
      <c r="P43" s="3">
        <v>0</v>
      </c>
      <c r="Q43" s="3"/>
      <c r="R43" s="19">
        <f t="shared" si="8"/>
        <v>0</v>
      </c>
      <c r="S43" s="3"/>
      <c r="T43" s="3"/>
      <c r="U43" s="3"/>
      <c r="V43" s="19">
        <f t="shared" si="9"/>
        <v>0</v>
      </c>
      <c r="W43" s="3"/>
      <c r="X43" s="3">
        <f t="shared" si="10"/>
        <v>0</v>
      </c>
      <c r="Y43" s="3"/>
      <c r="Z43" s="19">
        <f t="shared" si="11"/>
        <v>0</v>
      </c>
    </row>
    <row r="44" spans="1:26" s="24" customFormat="1" hidden="1" outlineLevel="1" x14ac:dyDescent="0.3">
      <c r="A44" s="44"/>
      <c r="B44" s="11" t="str">
        <f>CONCATENATE("          ", "5544", " - ", "FREIGHT-IN-ACCESSORIES")</f>
        <v xml:space="preserve">          5544 - FREIGHT-IN-ACCESSORIES</v>
      </c>
      <c r="C44" s="11"/>
      <c r="D44" s="3">
        <v>0</v>
      </c>
      <c r="E44" s="3"/>
      <c r="F44" s="19">
        <f t="shared" si="4"/>
        <v>0</v>
      </c>
      <c r="G44" s="3"/>
      <c r="H44" s="3"/>
      <c r="I44" s="3"/>
      <c r="J44" s="19">
        <f t="shared" si="5"/>
        <v>0</v>
      </c>
      <c r="K44" s="3"/>
      <c r="L44" s="3">
        <f t="shared" si="6"/>
        <v>0</v>
      </c>
      <c r="M44" s="3"/>
      <c r="N44" s="19">
        <f t="shared" si="7"/>
        <v>0</v>
      </c>
      <c r="O44" s="11"/>
      <c r="P44" s="3">
        <v>0</v>
      </c>
      <c r="Q44" s="3"/>
      <c r="R44" s="19">
        <f t="shared" si="8"/>
        <v>0</v>
      </c>
      <c r="S44" s="3"/>
      <c r="T44" s="3"/>
      <c r="U44" s="3"/>
      <c r="V44" s="19">
        <f t="shared" si="9"/>
        <v>0</v>
      </c>
      <c r="W44" s="3"/>
      <c r="X44" s="3">
        <f t="shared" si="10"/>
        <v>0</v>
      </c>
      <c r="Y44" s="3"/>
      <c r="Z44" s="19">
        <f t="shared" si="11"/>
        <v>0</v>
      </c>
    </row>
    <row r="45" spans="1:26" s="24" customFormat="1" hidden="1" outlineLevel="1" x14ac:dyDescent="0.3">
      <c r="A45" s="44"/>
      <c r="B45" s="11" t="str">
        <f>CONCATENATE("          ", "5545", " - ", "FREIGHT-IN-SPECIAL ORDERS")</f>
        <v xml:space="preserve">          5545 - FREIGHT-IN-SPECIAL ORDERS</v>
      </c>
      <c r="C45" s="11"/>
      <c r="D45" s="3">
        <v>0</v>
      </c>
      <c r="E45" s="3"/>
      <c r="F45" s="19">
        <f t="shared" si="4"/>
        <v>0</v>
      </c>
      <c r="G45" s="3"/>
      <c r="H45" s="3"/>
      <c r="I45" s="3"/>
      <c r="J45" s="19">
        <f t="shared" si="5"/>
        <v>0</v>
      </c>
      <c r="K45" s="3"/>
      <c r="L45" s="3">
        <f t="shared" si="6"/>
        <v>0</v>
      </c>
      <c r="M45" s="3"/>
      <c r="N45" s="19">
        <f t="shared" si="7"/>
        <v>0</v>
      </c>
      <c r="O45" s="11"/>
      <c r="P45" s="3">
        <v>0</v>
      </c>
      <c r="Q45" s="3"/>
      <c r="R45" s="19">
        <f t="shared" si="8"/>
        <v>0</v>
      </c>
      <c r="S45" s="3"/>
      <c r="T45" s="3"/>
      <c r="U45" s="3"/>
      <c r="V45" s="19">
        <f t="shared" si="9"/>
        <v>0</v>
      </c>
      <c r="W45" s="3"/>
      <c r="X45" s="3">
        <f t="shared" si="10"/>
        <v>0</v>
      </c>
      <c r="Y45" s="3"/>
      <c r="Z45" s="19">
        <f t="shared" si="11"/>
        <v>0</v>
      </c>
    </row>
    <row r="46" spans="1:26" s="24" customFormat="1" hidden="1" outlineLevel="1" x14ac:dyDescent="0.3">
      <c r="A46" s="44"/>
      <c r="B46" s="11" t="str">
        <f>CONCATENATE("          ", "5583", " - ", "FREIGHT-IN-COMPUTER EQUIPMENT")</f>
        <v xml:space="preserve">          5583 - FREIGHT-IN-COMPUTER EQUIPMENT</v>
      </c>
      <c r="C46" s="11"/>
      <c r="D46" s="3">
        <v>0</v>
      </c>
      <c r="E46" s="3"/>
      <c r="F46" s="19">
        <f t="shared" si="4"/>
        <v>0</v>
      </c>
      <c r="G46" s="3"/>
      <c r="H46" s="3"/>
      <c r="I46" s="3"/>
      <c r="J46" s="19">
        <f t="shared" si="5"/>
        <v>0</v>
      </c>
      <c r="K46" s="3"/>
      <c r="L46" s="3">
        <f t="shared" si="6"/>
        <v>0</v>
      </c>
      <c r="M46" s="3"/>
      <c r="N46" s="19">
        <f t="shared" si="7"/>
        <v>0</v>
      </c>
      <c r="O46" s="11"/>
      <c r="P46" s="3">
        <v>0</v>
      </c>
      <c r="Q46" s="3"/>
      <c r="R46" s="19">
        <f t="shared" si="8"/>
        <v>0</v>
      </c>
      <c r="S46" s="3"/>
      <c r="T46" s="3"/>
      <c r="U46" s="3"/>
      <c r="V46" s="19">
        <f t="shared" si="9"/>
        <v>0</v>
      </c>
      <c r="W46" s="3"/>
      <c r="X46" s="3">
        <f t="shared" si="10"/>
        <v>0</v>
      </c>
      <c r="Y46" s="3"/>
      <c r="Z46" s="19">
        <f t="shared" si="11"/>
        <v>0</v>
      </c>
    </row>
    <row r="47" spans="1:26" x14ac:dyDescent="0.3">
      <c r="A47" s="9"/>
      <c r="B47" s="10"/>
      <c r="C47" s="10"/>
      <c r="D47" s="2"/>
      <c r="E47" s="2"/>
      <c r="F47" s="6"/>
      <c r="G47" s="2"/>
      <c r="H47" s="2"/>
      <c r="I47" s="2"/>
      <c r="J47" s="6"/>
      <c r="K47" s="2"/>
      <c r="L47" s="2"/>
      <c r="M47" s="2"/>
      <c r="N47" s="6"/>
      <c r="O47" s="10"/>
      <c r="P47" s="2"/>
      <c r="Q47" s="2"/>
      <c r="R47" s="6"/>
      <c r="S47" s="2"/>
      <c r="T47" s="2"/>
      <c r="U47" s="2"/>
      <c r="V47" s="6"/>
      <c r="W47" s="2"/>
      <c r="X47" s="2"/>
      <c r="Y47" s="2"/>
      <c r="Z47" s="6"/>
    </row>
    <row r="48" spans="1:26" s="23" customFormat="1" x14ac:dyDescent="0.3">
      <c r="A48" s="10"/>
      <c r="B48" s="26" t="s">
        <v>108</v>
      </c>
      <c r="C48" s="26"/>
      <c r="D48" s="21">
        <f>D12-D19</f>
        <v>106011.60999999999</v>
      </c>
      <c r="E48" s="13"/>
      <c r="F48" s="22">
        <f>IF(D$12=0,0,D48/D$12)</f>
        <v>0.33568743727923839</v>
      </c>
      <c r="G48" s="13"/>
      <c r="H48" s="21">
        <f>H12-H19</f>
        <v>155601</v>
      </c>
      <c r="I48" s="13"/>
      <c r="J48" s="22">
        <f>IF(H$12=0,0,H48/H$12)</f>
        <v>0.25592859046096456</v>
      </c>
      <c r="K48" s="16"/>
      <c r="L48" s="21">
        <f>+D48-H48</f>
        <v>-49589.390000000014</v>
      </c>
      <c r="M48" s="16"/>
      <c r="N48" s="22">
        <f>IF(H48=0,0,L48/H48)</f>
        <v>-0.31869583100365689</v>
      </c>
      <c r="O48" s="25"/>
      <c r="P48" s="21">
        <f>P12-P19</f>
        <v>106011.60999999999</v>
      </c>
      <c r="Q48" s="13"/>
      <c r="R48" s="22">
        <f>IF(P$12=0,0,P48/P$12)</f>
        <v>0.33568743727923839</v>
      </c>
      <c r="S48" s="13"/>
      <c r="T48" s="21">
        <f>T12-T19</f>
        <v>155601</v>
      </c>
      <c r="U48" s="13"/>
      <c r="V48" s="22">
        <f>IF(T$12=0,0,T48/T$12)</f>
        <v>0.25592859046096456</v>
      </c>
      <c r="W48" s="16"/>
      <c r="X48" s="21">
        <f>+P48-T48</f>
        <v>-49589.390000000014</v>
      </c>
      <c r="Y48" s="16"/>
      <c r="Z48" s="22">
        <f>IF(T48=0,0,X48/T48)</f>
        <v>-0.31869583100365689</v>
      </c>
    </row>
    <row r="49" spans="1:26" x14ac:dyDescent="0.3">
      <c r="A49" s="9"/>
      <c r="B49" s="10"/>
      <c r="C49" s="9"/>
      <c r="D49" s="1"/>
      <c r="E49" s="1"/>
      <c r="F49" s="5"/>
      <c r="G49" s="1"/>
      <c r="H49" s="1"/>
      <c r="I49" s="1"/>
      <c r="J49" s="5"/>
      <c r="K49" s="1"/>
      <c r="L49" s="1"/>
      <c r="M49" s="1"/>
      <c r="N49" s="5"/>
      <c r="O49" s="36"/>
      <c r="P49" s="1"/>
      <c r="Q49" s="1"/>
      <c r="R49" s="5"/>
      <c r="S49" s="1"/>
      <c r="T49" s="1"/>
      <c r="U49" s="1"/>
      <c r="V49" s="5"/>
      <c r="W49" s="1"/>
      <c r="X49" s="1"/>
      <c r="Y49" s="1"/>
      <c r="Z49" s="5"/>
    </row>
    <row r="50" spans="1:26" s="23" customFormat="1" x14ac:dyDescent="0.3">
      <c r="A50" s="10"/>
      <c r="B50" s="25" t="s">
        <v>295</v>
      </c>
      <c r="C50" s="10"/>
      <c r="D50" s="20">
        <f>SUM(OSRRefD22x_0)</f>
        <v>380314.99999999988</v>
      </c>
      <c r="E50" s="20"/>
      <c r="F50" s="32">
        <f t="shared" ref="F50:F61" si="12">IF(D$12=0,0,D50/D$12)</f>
        <v>1.2042734537175082</v>
      </c>
      <c r="G50" s="20"/>
      <c r="H50" s="20">
        <f>SUM(OSRRefH22x_0)</f>
        <v>421515.75836761313</v>
      </c>
      <c r="I50" s="20"/>
      <c r="J50" s="32">
        <f t="shared" ref="J50:J61" si="13">IF(H$12=0,0,H50/H$12)</f>
        <v>0.69329846142446228</v>
      </c>
      <c r="K50" s="4"/>
      <c r="L50" s="20">
        <f t="shared" ref="L50:L61" si="14">+D50-H50</f>
        <v>-41200.758367613249</v>
      </c>
      <c r="M50" s="4"/>
      <c r="N50" s="32">
        <f t="shared" ref="N50:N61" si="15">IF(H50=0,0,L50/H50)</f>
        <v>-9.7744289625540326E-2</v>
      </c>
      <c r="O50" s="10"/>
      <c r="P50" s="20">
        <f>SUM(OSRRefP22x_0)</f>
        <v>380314.99999999988</v>
      </c>
      <c r="Q50" s="20"/>
      <c r="R50" s="32">
        <f t="shared" ref="R50:R61" si="16">IF(P$12=0,0,P50/P$12)</f>
        <v>1.2042734537175082</v>
      </c>
      <c r="S50" s="20"/>
      <c r="T50" s="20">
        <f>SUM(OSRRefT22x_0)</f>
        <v>421515.75836761313</v>
      </c>
      <c r="U50" s="20"/>
      <c r="V50" s="32">
        <f t="shared" ref="V50:V61" si="17">IF(T$12=0,0,T50/T$12)</f>
        <v>0.69329846142446228</v>
      </c>
      <c r="W50" s="4"/>
      <c r="X50" s="20">
        <f t="shared" ref="X50:X61" si="18">+P50-T50</f>
        <v>-41200.758367613249</v>
      </c>
      <c r="Y50" s="4"/>
      <c r="Z50" s="32">
        <f t="shared" ref="Z50:Z61" si="19">IF(T50=0,0,X50/T50)</f>
        <v>-9.7744289625540326E-2</v>
      </c>
    </row>
    <row r="51" spans="1:26" s="27" customFormat="1" outlineLevel="1" collapsed="1" x14ac:dyDescent="0.3">
      <c r="A51" s="28"/>
      <c r="B51" s="14" t="str">
        <f>CONCATENATE("     ","*Benefits                                         ")</f>
        <v xml:space="preserve">     *Benefits                                         </v>
      </c>
      <c r="C51" s="14"/>
      <c r="D51" s="1">
        <f>SUM(OSRRefD22_0x_0)</f>
        <v>49585.960000000006</v>
      </c>
      <c r="E51" s="1"/>
      <c r="F51" s="5">
        <f t="shared" si="12"/>
        <v>0.15701472543838196</v>
      </c>
      <c r="G51" s="1"/>
      <c r="H51" s="1">
        <f>SUM(OSRRefH22_0x_0)</f>
        <v>60010.652671622709</v>
      </c>
      <c r="I51" s="1"/>
      <c r="J51" s="5">
        <f t="shared" si="13"/>
        <v>9.8704004157369921E-2</v>
      </c>
      <c r="K51" s="1"/>
      <c r="L51" s="1">
        <f t="shared" si="14"/>
        <v>-10424.692671622703</v>
      </c>
      <c r="M51" s="1"/>
      <c r="N51" s="5">
        <f t="shared" si="15"/>
        <v>-0.17371403588403625</v>
      </c>
      <c r="O51" s="14"/>
      <c r="P51" s="1">
        <f>SUM(OSRRefP22_0x_0)</f>
        <v>49585.960000000006</v>
      </c>
      <c r="Q51" s="1"/>
      <c r="R51" s="5">
        <f t="shared" si="16"/>
        <v>0.15701472543838196</v>
      </c>
      <c r="S51" s="1"/>
      <c r="T51" s="1">
        <f>SUM(OSRRefT22_0x_0)</f>
        <v>60010.652671622709</v>
      </c>
      <c r="U51" s="1"/>
      <c r="V51" s="5">
        <f t="shared" si="17"/>
        <v>9.8704004157369921E-2</v>
      </c>
      <c r="W51" s="1"/>
      <c r="X51" s="1">
        <f t="shared" si="18"/>
        <v>-10424.692671622703</v>
      </c>
      <c r="Y51" s="1"/>
      <c r="Z51" s="5">
        <f t="shared" si="19"/>
        <v>-0.17371403588403625</v>
      </c>
    </row>
    <row r="52" spans="1:26" s="24" customFormat="1" hidden="1" outlineLevel="2" x14ac:dyDescent="0.3">
      <c r="A52" s="29"/>
      <c r="B52" s="11" t="str">
        <f>CONCATENATE("          ", "6111", " - ", "F.I.C.A.")</f>
        <v xml:space="preserve">          6111 - F.I.C.A.</v>
      </c>
      <c r="C52" s="11"/>
      <c r="D52" s="8">
        <v>10281.57</v>
      </c>
      <c r="E52" s="3"/>
      <c r="F52" s="7">
        <f t="shared" si="12"/>
        <v>3.2556753779204931E-2</v>
      </c>
      <c r="G52" s="3"/>
      <c r="H52" s="8">
        <v>13417.2275310718</v>
      </c>
      <c r="I52" s="3"/>
      <c r="J52" s="7">
        <f t="shared" si="13"/>
        <v>2.2068316591289602E-2</v>
      </c>
      <c r="K52" s="3"/>
      <c r="L52" s="8">
        <f t="shared" si="14"/>
        <v>-3135.6575310717999</v>
      </c>
      <c r="M52" s="3"/>
      <c r="N52" s="7">
        <f t="shared" si="15"/>
        <v>-0.23370383514852089</v>
      </c>
      <c r="O52" s="11"/>
      <c r="P52" s="8">
        <v>10281.57</v>
      </c>
      <c r="Q52" s="3"/>
      <c r="R52" s="7">
        <f t="shared" si="16"/>
        <v>3.2556753779204931E-2</v>
      </c>
      <c r="S52" s="3"/>
      <c r="T52" s="8">
        <v>13417.2275310718</v>
      </c>
      <c r="U52" s="3"/>
      <c r="V52" s="7">
        <f t="shared" si="17"/>
        <v>2.2068316591289602E-2</v>
      </c>
      <c r="W52" s="3"/>
      <c r="X52" s="8">
        <f t="shared" si="18"/>
        <v>-3135.6575310717999</v>
      </c>
      <c r="Y52" s="3"/>
      <c r="Z52" s="7">
        <f t="shared" si="19"/>
        <v>-0.23370383514852089</v>
      </c>
    </row>
    <row r="53" spans="1:26" s="24" customFormat="1" hidden="1" outlineLevel="2" x14ac:dyDescent="0.3">
      <c r="A53" s="29"/>
      <c r="B53" s="11" t="str">
        <f>CONCATENATE("          ", "6112", " - ", "COMPENSATION INSURANCE")</f>
        <v xml:space="preserve">          6112 - COMPENSATION INSURANCE</v>
      </c>
      <c r="C53" s="11"/>
      <c r="D53" s="8">
        <v>2150.77</v>
      </c>
      <c r="E53" s="3"/>
      <c r="F53" s="7">
        <f t="shared" si="12"/>
        <v>6.8104471715604315E-3</v>
      </c>
      <c r="G53" s="3"/>
      <c r="H53" s="8">
        <v>3335.7455398500001</v>
      </c>
      <c r="I53" s="3"/>
      <c r="J53" s="7">
        <f t="shared" si="13"/>
        <v>5.4865499203106656E-3</v>
      </c>
      <c r="K53" s="3"/>
      <c r="L53" s="8">
        <f t="shared" si="14"/>
        <v>-1184.9755398500001</v>
      </c>
      <c r="M53" s="3"/>
      <c r="N53" s="7">
        <f t="shared" si="15"/>
        <v>-0.35523559147238953</v>
      </c>
      <c r="O53" s="11"/>
      <c r="P53" s="8">
        <v>2150.77</v>
      </c>
      <c r="Q53" s="3"/>
      <c r="R53" s="7">
        <f t="shared" si="16"/>
        <v>6.8104471715604315E-3</v>
      </c>
      <c r="S53" s="3"/>
      <c r="T53" s="8">
        <v>3335.7455398500001</v>
      </c>
      <c r="U53" s="3"/>
      <c r="V53" s="7">
        <f t="shared" si="17"/>
        <v>5.4865499203106656E-3</v>
      </c>
      <c r="W53" s="3"/>
      <c r="X53" s="8">
        <f t="shared" si="18"/>
        <v>-1184.9755398500001</v>
      </c>
      <c r="Y53" s="3"/>
      <c r="Z53" s="7">
        <f t="shared" si="19"/>
        <v>-0.35523559147238953</v>
      </c>
    </row>
    <row r="54" spans="1:26" s="24" customFormat="1" hidden="1" outlineLevel="2" x14ac:dyDescent="0.3">
      <c r="A54" s="29"/>
      <c r="B54" s="11" t="str">
        <f>CONCATENATE("          ", "6113", " - ", "GROUP INSURANCE")</f>
        <v xml:space="preserve">          6113 - GROUP INSURANCE</v>
      </c>
      <c r="C54" s="11"/>
      <c r="D54" s="8">
        <v>18724.77</v>
      </c>
      <c r="E54" s="3"/>
      <c r="F54" s="7">
        <f t="shared" si="12"/>
        <v>5.9292279920502719E-2</v>
      </c>
      <c r="G54" s="3"/>
      <c r="H54" s="8">
        <v>19857.6538461538</v>
      </c>
      <c r="I54" s="3"/>
      <c r="J54" s="7">
        <f t="shared" si="13"/>
        <v>3.2661366949491927E-2</v>
      </c>
      <c r="K54" s="3"/>
      <c r="L54" s="8">
        <f t="shared" si="14"/>
        <v>-1132.8838461537998</v>
      </c>
      <c r="M54" s="3"/>
      <c r="N54" s="7">
        <f t="shared" si="15"/>
        <v>-5.7050236394025289E-2</v>
      </c>
      <c r="O54" s="11"/>
      <c r="P54" s="8">
        <v>18724.77</v>
      </c>
      <c r="Q54" s="3"/>
      <c r="R54" s="7">
        <f t="shared" si="16"/>
        <v>5.9292279920502719E-2</v>
      </c>
      <c r="S54" s="3"/>
      <c r="T54" s="8">
        <v>19857.6538461538</v>
      </c>
      <c r="U54" s="3"/>
      <c r="V54" s="7">
        <f t="shared" si="17"/>
        <v>3.2661366949491927E-2</v>
      </c>
      <c r="W54" s="3"/>
      <c r="X54" s="8">
        <f t="shared" si="18"/>
        <v>-1132.8838461537998</v>
      </c>
      <c r="Y54" s="3"/>
      <c r="Z54" s="7">
        <f t="shared" si="19"/>
        <v>-5.7050236394025289E-2</v>
      </c>
    </row>
    <row r="55" spans="1:26" s="24" customFormat="1" hidden="1" outlineLevel="2" x14ac:dyDescent="0.3">
      <c r="A55" s="29"/>
      <c r="B55" s="11" t="str">
        <f>CONCATENATE("          ", "6114", " - ", "STATE UNEMPLOYMENT INSURANCE")</f>
        <v xml:space="preserve">          6114 - STATE UNEMPLOYMENT INSURANCE</v>
      </c>
      <c r="C55" s="11"/>
      <c r="D55" s="8">
        <v>388.69</v>
      </c>
      <c r="E55" s="3"/>
      <c r="F55" s="7">
        <f t="shared" si="12"/>
        <v>1.2307930234817411E-3</v>
      </c>
      <c r="G55" s="3"/>
      <c r="H55" s="8">
        <v>449.04266882596102</v>
      </c>
      <c r="I55" s="3"/>
      <c r="J55" s="7">
        <f t="shared" si="13"/>
        <v>7.3857402773412715E-4</v>
      </c>
      <c r="K55" s="3"/>
      <c r="L55" s="8">
        <f t="shared" si="14"/>
        <v>-60.352668825961018</v>
      </c>
      <c r="M55" s="3"/>
      <c r="N55" s="7">
        <f t="shared" si="15"/>
        <v>-0.13440297106677043</v>
      </c>
      <c r="O55" s="11"/>
      <c r="P55" s="8">
        <v>388.69</v>
      </c>
      <c r="Q55" s="3"/>
      <c r="R55" s="7">
        <f t="shared" si="16"/>
        <v>1.2307930234817411E-3</v>
      </c>
      <c r="S55" s="3"/>
      <c r="T55" s="8">
        <v>449.04266882596102</v>
      </c>
      <c r="U55" s="3"/>
      <c r="V55" s="7">
        <f t="shared" si="17"/>
        <v>7.3857402773412715E-4</v>
      </c>
      <c r="W55" s="3"/>
      <c r="X55" s="8">
        <f t="shared" si="18"/>
        <v>-60.352668825961018</v>
      </c>
      <c r="Y55" s="3"/>
      <c r="Z55" s="7">
        <f t="shared" si="19"/>
        <v>-0.13440297106677043</v>
      </c>
    </row>
    <row r="56" spans="1:26" s="24" customFormat="1" hidden="1" outlineLevel="2" x14ac:dyDescent="0.3">
      <c r="A56" s="29"/>
      <c r="B56" s="11" t="str">
        <f>CONCATENATE("          ", "6115", " - ", "P.E.R.S.")</f>
        <v xml:space="preserve">          6115 - P.E.R.S.</v>
      </c>
      <c r="C56" s="11"/>
      <c r="D56" s="8">
        <v>6430.13</v>
      </c>
      <c r="E56" s="3"/>
      <c r="F56" s="7">
        <f t="shared" si="12"/>
        <v>2.0361108194398229E-2</v>
      </c>
      <c r="G56" s="3"/>
      <c r="H56" s="8">
        <v>6348.3843176346099</v>
      </c>
      <c r="I56" s="3"/>
      <c r="J56" s="7">
        <f t="shared" si="13"/>
        <v>1.0441662008063689E-2</v>
      </c>
      <c r="K56" s="3"/>
      <c r="L56" s="8">
        <f t="shared" si="14"/>
        <v>81.745682365390167</v>
      </c>
      <c r="M56" s="3"/>
      <c r="N56" s="7">
        <f t="shared" si="15"/>
        <v>1.287661210716499E-2</v>
      </c>
      <c r="O56" s="11"/>
      <c r="P56" s="8">
        <v>6430.13</v>
      </c>
      <c r="Q56" s="3"/>
      <c r="R56" s="7">
        <f t="shared" si="16"/>
        <v>2.0361108194398229E-2</v>
      </c>
      <c r="S56" s="3"/>
      <c r="T56" s="8">
        <v>6348.3843176346099</v>
      </c>
      <c r="U56" s="3"/>
      <c r="V56" s="7">
        <f t="shared" si="17"/>
        <v>1.0441662008063689E-2</v>
      </c>
      <c r="W56" s="3"/>
      <c r="X56" s="8">
        <f t="shared" si="18"/>
        <v>81.745682365390167</v>
      </c>
      <c r="Y56" s="3"/>
      <c r="Z56" s="7">
        <f t="shared" si="19"/>
        <v>1.287661210716499E-2</v>
      </c>
    </row>
    <row r="57" spans="1:26" s="24" customFormat="1" hidden="1" outlineLevel="2" x14ac:dyDescent="0.3">
      <c r="A57" s="29"/>
      <c r="B57" s="11" t="str">
        <f>CONCATENATE("          ", "6116", " - ", "EDUCATIONAL BENEFITS")</f>
        <v xml:space="preserve">          6116 - EDUCATIONAL BENEFITS</v>
      </c>
      <c r="C57" s="11"/>
      <c r="D57" s="8"/>
      <c r="E57" s="3"/>
      <c r="F57" s="7">
        <f t="shared" si="12"/>
        <v>0</v>
      </c>
      <c r="G57" s="3"/>
      <c r="H57" s="8">
        <v>0</v>
      </c>
      <c r="I57" s="3"/>
      <c r="J57" s="7">
        <f t="shared" si="13"/>
        <v>0</v>
      </c>
      <c r="K57" s="3"/>
      <c r="L57" s="8">
        <f t="shared" si="14"/>
        <v>0</v>
      </c>
      <c r="M57" s="3"/>
      <c r="N57" s="7">
        <f t="shared" si="15"/>
        <v>0</v>
      </c>
      <c r="O57" s="11"/>
      <c r="P57" s="8"/>
      <c r="Q57" s="3"/>
      <c r="R57" s="7">
        <f t="shared" si="16"/>
        <v>0</v>
      </c>
      <c r="S57" s="3"/>
      <c r="T57" s="8">
        <v>0</v>
      </c>
      <c r="U57" s="3"/>
      <c r="V57" s="7">
        <f t="shared" si="17"/>
        <v>0</v>
      </c>
      <c r="W57" s="3"/>
      <c r="X57" s="8">
        <f t="shared" si="18"/>
        <v>0</v>
      </c>
      <c r="Y57" s="3"/>
      <c r="Z57" s="7">
        <f t="shared" si="19"/>
        <v>0</v>
      </c>
    </row>
    <row r="58" spans="1:26" s="24" customFormat="1" hidden="1" outlineLevel="2" x14ac:dyDescent="0.3">
      <c r="A58" s="29"/>
      <c r="B58" s="11" t="str">
        <f>CONCATENATE("          ", "6117", " - ", "RETIREMENT STAFF HOURLY")</f>
        <v xml:space="preserve">          6117 - RETIREMENT STAFF HOURLY</v>
      </c>
      <c r="C58" s="11"/>
      <c r="D58" s="8">
        <v>715.55</v>
      </c>
      <c r="E58" s="3"/>
      <c r="F58" s="7">
        <f t="shared" si="12"/>
        <v>2.2658003754981084E-3</v>
      </c>
      <c r="G58" s="3"/>
      <c r="H58" s="8"/>
      <c r="I58" s="3"/>
      <c r="J58" s="7">
        <f t="shared" si="13"/>
        <v>0</v>
      </c>
      <c r="K58" s="3"/>
      <c r="L58" s="8">
        <f t="shared" si="14"/>
        <v>715.55</v>
      </c>
      <c r="M58" s="3"/>
      <c r="N58" s="7">
        <f t="shared" si="15"/>
        <v>0</v>
      </c>
      <c r="O58" s="11"/>
      <c r="P58" s="8">
        <v>715.55</v>
      </c>
      <c r="Q58" s="3"/>
      <c r="R58" s="7">
        <f t="shared" si="16"/>
        <v>2.2658003754981084E-3</v>
      </c>
      <c r="S58" s="3"/>
      <c r="T58" s="8"/>
      <c r="U58" s="3"/>
      <c r="V58" s="7">
        <f t="shared" si="17"/>
        <v>0</v>
      </c>
      <c r="W58" s="3"/>
      <c r="X58" s="8">
        <f t="shared" si="18"/>
        <v>715.55</v>
      </c>
      <c r="Y58" s="3"/>
      <c r="Z58" s="7">
        <f t="shared" si="19"/>
        <v>0</v>
      </c>
    </row>
    <row r="59" spans="1:26" s="24" customFormat="1" hidden="1" outlineLevel="2" x14ac:dyDescent="0.3">
      <c r="A59" s="29"/>
      <c r="B59" s="11" t="str">
        <f>CONCATENATE("          ", "6118", " - ", "VACATION")</f>
        <v xml:space="preserve">          6118 - VACATION</v>
      </c>
      <c r="C59" s="11"/>
      <c r="D59" s="8">
        <v>5468.55</v>
      </c>
      <c r="E59" s="3"/>
      <c r="F59" s="7">
        <f t="shared" si="12"/>
        <v>1.7316249938411268E-2</v>
      </c>
      <c r="G59" s="3"/>
      <c r="H59" s="8">
        <v>5926.2666302596199</v>
      </c>
      <c r="I59" s="3"/>
      <c r="J59" s="7">
        <f t="shared" si="13"/>
        <v>9.7473735090275425E-3</v>
      </c>
      <c r="K59" s="3"/>
      <c r="L59" s="8">
        <f t="shared" si="14"/>
        <v>-457.71663025961971</v>
      </c>
      <c r="M59" s="3"/>
      <c r="N59" s="7">
        <f t="shared" si="15"/>
        <v>-7.7235240804473873E-2</v>
      </c>
      <c r="O59" s="11"/>
      <c r="P59" s="8">
        <v>5468.55</v>
      </c>
      <c r="Q59" s="3"/>
      <c r="R59" s="7">
        <f t="shared" si="16"/>
        <v>1.7316249938411268E-2</v>
      </c>
      <c r="S59" s="3"/>
      <c r="T59" s="8">
        <v>5926.2666302596199</v>
      </c>
      <c r="U59" s="3"/>
      <c r="V59" s="7">
        <f t="shared" si="17"/>
        <v>9.7473735090275425E-3</v>
      </c>
      <c r="W59" s="3"/>
      <c r="X59" s="8">
        <f t="shared" si="18"/>
        <v>-457.71663025961971</v>
      </c>
      <c r="Y59" s="3"/>
      <c r="Z59" s="7">
        <f t="shared" si="19"/>
        <v>-7.7235240804473873E-2</v>
      </c>
    </row>
    <row r="60" spans="1:26" s="24" customFormat="1" hidden="1" outlineLevel="2" x14ac:dyDescent="0.3">
      <c r="A60" s="29"/>
      <c r="B60" s="11" t="str">
        <f>CONCATENATE("          ", "6119", " - ", "SICK LEAVE")</f>
        <v xml:space="preserve">          6119 - SICK LEAVE</v>
      </c>
      <c r="C60" s="11"/>
      <c r="D60" s="8">
        <v>3967.23</v>
      </c>
      <c r="E60" s="3"/>
      <c r="F60" s="7">
        <f t="shared" si="12"/>
        <v>1.2562296448448551E-2</v>
      </c>
      <c r="G60" s="3"/>
      <c r="H60" s="8">
        <v>7876.3321378269202</v>
      </c>
      <c r="I60" s="3"/>
      <c r="J60" s="7">
        <f t="shared" si="13"/>
        <v>1.2954791948872047E-2</v>
      </c>
      <c r="K60" s="3"/>
      <c r="L60" s="8">
        <f t="shared" si="14"/>
        <v>-3909.1021378269202</v>
      </c>
      <c r="M60" s="3"/>
      <c r="N60" s="7">
        <f t="shared" si="15"/>
        <v>-0.49630996629167562</v>
      </c>
      <c r="O60" s="11"/>
      <c r="P60" s="8">
        <v>3967.23</v>
      </c>
      <c r="Q60" s="3"/>
      <c r="R60" s="7">
        <f t="shared" si="16"/>
        <v>1.2562296448448551E-2</v>
      </c>
      <c r="S60" s="3"/>
      <c r="T60" s="8">
        <v>7876.3321378269202</v>
      </c>
      <c r="U60" s="3"/>
      <c r="V60" s="7">
        <f t="shared" si="17"/>
        <v>1.2954791948872047E-2</v>
      </c>
      <c r="W60" s="3"/>
      <c r="X60" s="8">
        <f t="shared" si="18"/>
        <v>-3909.1021378269202</v>
      </c>
      <c r="Y60" s="3"/>
      <c r="Z60" s="7">
        <f t="shared" si="19"/>
        <v>-0.49630996629167562</v>
      </c>
    </row>
    <row r="61" spans="1:26" s="24" customFormat="1" hidden="1" outlineLevel="2" x14ac:dyDescent="0.3">
      <c r="A61" s="29"/>
      <c r="B61" s="11" t="str">
        <f>CONCATENATE("          ", "6156", " - ", "EMPLOYEE MEALS")</f>
        <v xml:space="preserve">          6156 - EMPLOYEE MEALS</v>
      </c>
      <c r="C61" s="11"/>
      <c r="D61" s="8">
        <v>1458.7</v>
      </c>
      <c r="E61" s="3"/>
      <c r="F61" s="7">
        <f t="shared" si="12"/>
        <v>4.6189965868759569E-3</v>
      </c>
      <c r="G61" s="3"/>
      <c r="H61" s="8">
        <v>2800</v>
      </c>
      <c r="I61" s="3"/>
      <c r="J61" s="7">
        <f t="shared" si="13"/>
        <v>4.605369202580323E-3</v>
      </c>
      <c r="K61" s="3"/>
      <c r="L61" s="8">
        <f t="shared" si="14"/>
        <v>-1341.3</v>
      </c>
      <c r="M61" s="3"/>
      <c r="N61" s="7">
        <f t="shared" si="15"/>
        <v>-0.47903571428571429</v>
      </c>
      <c r="O61" s="11"/>
      <c r="P61" s="8">
        <v>1458.7</v>
      </c>
      <c r="Q61" s="3"/>
      <c r="R61" s="7">
        <f t="shared" si="16"/>
        <v>4.6189965868759569E-3</v>
      </c>
      <c r="S61" s="3"/>
      <c r="T61" s="8">
        <v>2800</v>
      </c>
      <c r="U61" s="3"/>
      <c r="V61" s="7">
        <f t="shared" si="17"/>
        <v>4.605369202580323E-3</v>
      </c>
      <c r="W61" s="3"/>
      <c r="X61" s="8">
        <f t="shared" si="18"/>
        <v>-1341.3</v>
      </c>
      <c r="Y61" s="3"/>
      <c r="Z61" s="7">
        <f t="shared" si="19"/>
        <v>-0.47903571428571429</v>
      </c>
    </row>
    <row r="62" spans="1:26" s="27" customFormat="1" outlineLevel="1" collapsed="1" x14ac:dyDescent="0.3">
      <c r="A62" s="28"/>
      <c r="B62" s="14" t="str">
        <f>CONCATENATE("     ","*Payroll                                          ")</f>
        <v xml:space="preserve">     *Payroll                                          </v>
      </c>
      <c r="C62" s="14"/>
      <c r="D62" s="1">
        <f>SUM(OSRRefD22_1x_0)</f>
        <v>176783.51</v>
      </c>
      <c r="E62" s="1"/>
      <c r="F62" s="5">
        <f t="shared" ref="F62:F72" si="20">IF(D$12=0,0,D62/D$12)</f>
        <v>0.55978777631175136</v>
      </c>
      <c r="G62" s="1"/>
      <c r="H62" s="1">
        <f>SUM(OSRRefH22_1x_0)</f>
        <v>203638.10569599041</v>
      </c>
      <c r="I62" s="1"/>
      <c r="J62" s="5">
        <f t="shared" ref="J62:J72" si="21">IF(H$12=0,0,H62/H$12)</f>
        <v>0.33493880730146813</v>
      </c>
      <c r="K62" s="1"/>
      <c r="L62" s="1">
        <f t="shared" ref="L62:L72" si="22">+D62-H62</f>
        <v>-26854.5956959904</v>
      </c>
      <c r="M62" s="1"/>
      <c r="N62" s="5">
        <f t="shared" ref="N62:N72" si="23">IF(H62=0,0,L62/H62)</f>
        <v>-0.13187411857032985</v>
      </c>
      <c r="O62" s="14"/>
      <c r="P62" s="1">
        <f>SUM(OSRRefP22_1x_0)</f>
        <v>176783.51</v>
      </c>
      <c r="Q62" s="1"/>
      <c r="R62" s="5">
        <f t="shared" ref="R62:R72" si="24">IF(P$12=0,0,P62/P$12)</f>
        <v>0.55978777631175136</v>
      </c>
      <c r="S62" s="1"/>
      <c r="T62" s="1">
        <f>SUM(OSRRefT22_1x_0)</f>
        <v>203638.10569599041</v>
      </c>
      <c r="U62" s="1"/>
      <c r="V62" s="5">
        <f t="shared" ref="V62:V72" si="25">IF(T$12=0,0,T62/T$12)</f>
        <v>0.33493880730146813</v>
      </c>
      <c r="W62" s="1"/>
      <c r="X62" s="1">
        <f t="shared" ref="X62:X72" si="26">+P62-T62</f>
        <v>-26854.5956959904</v>
      </c>
      <c r="Y62" s="1"/>
      <c r="Z62" s="5">
        <f t="shared" ref="Z62:Z72" si="27">IF(T62=0,0,X62/T62)</f>
        <v>-0.13187411857032985</v>
      </c>
    </row>
    <row r="63" spans="1:26" s="24" customFormat="1" hidden="1" outlineLevel="2" x14ac:dyDescent="0.3">
      <c r="A63" s="29"/>
      <c r="B63" s="11" t="str">
        <f>CONCATENATE("          ", "6001", " - ", "ADMINISTRATIVE SALARIES")</f>
        <v xml:space="preserve">          6001 - ADMINISTRATIVE SALARIES</v>
      </c>
      <c r="C63" s="11"/>
      <c r="D63" s="8">
        <v>5599.1</v>
      </c>
      <c r="E63" s="3"/>
      <c r="F63" s="7">
        <f t="shared" si="20"/>
        <v>1.7729638575154024E-2</v>
      </c>
      <c r="G63" s="3"/>
      <c r="H63" s="8">
        <v>5174.7596153846198</v>
      </c>
      <c r="I63" s="3"/>
      <c r="J63" s="7">
        <f t="shared" si="21"/>
        <v>8.5113137726602582E-3</v>
      </c>
      <c r="K63" s="3"/>
      <c r="L63" s="8">
        <f t="shared" si="22"/>
        <v>424.34038461538057</v>
      </c>
      <c r="M63" s="3"/>
      <c r="N63" s="7">
        <f t="shared" si="23"/>
        <v>8.2001951038230214E-2</v>
      </c>
      <c r="O63" s="11"/>
      <c r="P63" s="8">
        <v>5599.1</v>
      </c>
      <c r="Q63" s="3"/>
      <c r="R63" s="7">
        <f t="shared" si="24"/>
        <v>1.7729638575154024E-2</v>
      </c>
      <c r="S63" s="3"/>
      <c r="T63" s="8">
        <v>5174.7596153846198</v>
      </c>
      <c r="U63" s="3"/>
      <c r="V63" s="7">
        <f t="shared" si="25"/>
        <v>8.5113137726602582E-3</v>
      </c>
      <c r="W63" s="3"/>
      <c r="X63" s="8">
        <f t="shared" si="26"/>
        <v>424.34038461538057</v>
      </c>
      <c r="Y63" s="3"/>
      <c r="Z63" s="7">
        <f t="shared" si="27"/>
        <v>8.2001951038230214E-2</v>
      </c>
    </row>
    <row r="64" spans="1:26" s="24" customFormat="1" hidden="1" outlineLevel="2" x14ac:dyDescent="0.3">
      <c r="A64" s="29"/>
      <c r="B64" s="11" t="str">
        <f>CONCATENATE("          ", "6002", " - ", "STAFF SALARIES")</f>
        <v xml:space="preserve">          6002 - STAFF SALARIES</v>
      </c>
      <c r="C64" s="11"/>
      <c r="D64" s="8">
        <v>73650.66</v>
      </c>
      <c r="E64" s="3"/>
      <c r="F64" s="7">
        <f t="shared" si="20"/>
        <v>0.23321597803603317</v>
      </c>
      <c r="G64" s="3"/>
      <c r="H64" s="8">
        <v>61041.5151206058</v>
      </c>
      <c r="I64" s="3"/>
      <c r="J64" s="7">
        <f t="shared" si="21"/>
        <v>0.10039954064831394</v>
      </c>
      <c r="K64" s="3"/>
      <c r="L64" s="8">
        <f t="shared" si="22"/>
        <v>12609.144879394204</v>
      </c>
      <c r="M64" s="3"/>
      <c r="N64" s="7">
        <f t="shared" si="23"/>
        <v>0.20656670881253619</v>
      </c>
      <c r="O64" s="11"/>
      <c r="P64" s="8">
        <v>73650.66</v>
      </c>
      <c r="Q64" s="3"/>
      <c r="R64" s="7">
        <f t="shared" si="24"/>
        <v>0.23321597803603317</v>
      </c>
      <c r="S64" s="3"/>
      <c r="T64" s="8">
        <v>61041.5151206058</v>
      </c>
      <c r="U64" s="3"/>
      <c r="V64" s="7">
        <f t="shared" si="25"/>
        <v>0.10039954064831394</v>
      </c>
      <c r="W64" s="3"/>
      <c r="X64" s="8">
        <f t="shared" si="26"/>
        <v>12609.144879394204</v>
      </c>
      <c r="Y64" s="3"/>
      <c r="Z64" s="7">
        <f t="shared" si="27"/>
        <v>0.20656670881253619</v>
      </c>
    </row>
    <row r="65" spans="1:26" s="24" customFormat="1" hidden="1" outlineLevel="2" x14ac:dyDescent="0.3">
      <c r="A65" s="29"/>
      <c r="B65" s="11" t="str">
        <f>CONCATENATE("          ", "6003", " - ", "STAFF HOURLY-9 MONTH")</f>
        <v xml:space="preserve">          6003 - STAFF HOURLY-9 MONTH</v>
      </c>
      <c r="C65" s="11"/>
      <c r="D65" s="8"/>
      <c r="E65" s="3"/>
      <c r="F65" s="7">
        <f t="shared" si="20"/>
        <v>0</v>
      </c>
      <c r="G65" s="3"/>
      <c r="H65" s="8">
        <v>0</v>
      </c>
      <c r="I65" s="3"/>
      <c r="J65" s="7">
        <f t="shared" si="21"/>
        <v>0</v>
      </c>
      <c r="K65" s="3"/>
      <c r="L65" s="8">
        <f t="shared" si="22"/>
        <v>0</v>
      </c>
      <c r="M65" s="3"/>
      <c r="N65" s="7">
        <f t="shared" si="23"/>
        <v>0</v>
      </c>
      <c r="O65" s="11"/>
      <c r="P65" s="8"/>
      <c r="Q65" s="3"/>
      <c r="R65" s="7">
        <f t="shared" si="24"/>
        <v>0</v>
      </c>
      <c r="S65" s="3"/>
      <c r="T65" s="8">
        <v>0</v>
      </c>
      <c r="U65" s="3"/>
      <c r="V65" s="7">
        <f t="shared" si="25"/>
        <v>0</v>
      </c>
      <c r="W65" s="3"/>
      <c r="X65" s="8">
        <f t="shared" si="26"/>
        <v>0</v>
      </c>
      <c r="Y65" s="3"/>
      <c r="Z65" s="7">
        <f t="shared" si="27"/>
        <v>0</v>
      </c>
    </row>
    <row r="66" spans="1:26" s="24" customFormat="1" hidden="1" outlineLevel="2" x14ac:dyDescent="0.3">
      <c r="A66" s="29"/>
      <c r="B66" s="11" t="str">
        <f>CONCATENATE("          ", "6004", " - ", "STAFF HOURLY")</f>
        <v xml:space="preserve">          6004 - STAFF HOURLY</v>
      </c>
      <c r="C66" s="11"/>
      <c r="D66" s="8">
        <v>18694.88</v>
      </c>
      <c r="E66" s="3"/>
      <c r="F66" s="7">
        <f t="shared" si="20"/>
        <v>5.9197632763457596E-2</v>
      </c>
      <c r="G66" s="3"/>
      <c r="H66" s="8">
        <v>46178.418460000001</v>
      </c>
      <c r="I66" s="3"/>
      <c r="J66" s="7">
        <f t="shared" si="21"/>
        <v>7.5953095071268087E-2</v>
      </c>
      <c r="K66" s="3"/>
      <c r="L66" s="8">
        <f t="shared" si="22"/>
        <v>-27483.53846</v>
      </c>
      <c r="M66" s="3"/>
      <c r="N66" s="7">
        <f t="shared" si="23"/>
        <v>-0.59515980357374931</v>
      </c>
      <c r="O66" s="11"/>
      <c r="P66" s="8">
        <v>18694.88</v>
      </c>
      <c r="Q66" s="3"/>
      <c r="R66" s="7">
        <f t="shared" si="24"/>
        <v>5.9197632763457596E-2</v>
      </c>
      <c r="S66" s="3"/>
      <c r="T66" s="8">
        <v>46178.418460000001</v>
      </c>
      <c r="U66" s="3"/>
      <c r="V66" s="7">
        <f t="shared" si="25"/>
        <v>7.5953095071268087E-2</v>
      </c>
      <c r="W66" s="3"/>
      <c r="X66" s="8">
        <f t="shared" si="26"/>
        <v>-27483.53846</v>
      </c>
      <c r="Y66" s="3"/>
      <c r="Z66" s="7">
        <f t="shared" si="27"/>
        <v>-0.59515980357374931</v>
      </c>
    </row>
    <row r="67" spans="1:26" s="24" customFormat="1" hidden="1" outlineLevel="2" x14ac:dyDescent="0.3">
      <c r="A67" s="29"/>
      <c r="B67" s="11" t="str">
        <f>CONCATENATE("          ", "6005", " - ", "TEMPORARY WAGES-HOURLY")</f>
        <v xml:space="preserve">          6005 - TEMPORARY WAGES-HOURLY</v>
      </c>
      <c r="C67" s="11"/>
      <c r="D67" s="8">
        <v>9447.7999999999993</v>
      </c>
      <c r="E67" s="3"/>
      <c r="F67" s="7">
        <f t="shared" si="20"/>
        <v>2.9916607906688601E-2</v>
      </c>
      <c r="G67" s="3"/>
      <c r="H67" s="8">
        <v>4010</v>
      </c>
      <c r="I67" s="3"/>
      <c r="J67" s="7">
        <f t="shared" si="21"/>
        <v>6.5955466079811046E-3</v>
      </c>
      <c r="K67" s="3"/>
      <c r="L67" s="8">
        <f t="shared" si="22"/>
        <v>5437.7999999999993</v>
      </c>
      <c r="M67" s="3"/>
      <c r="N67" s="7">
        <f t="shared" si="23"/>
        <v>1.3560598503740646</v>
      </c>
      <c r="O67" s="11"/>
      <c r="P67" s="8">
        <v>9447.7999999999993</v>
      </c>
      <c r="Q67" s="3"/>
      <c r="R67" s="7">
        <f t="shared" si="24"/>
        <v>2.9916607906688601E-2</v>
      </c>
      <c r="S67" s="3"/>
      <c r="T67" s="8">
        <v>4010</v>
      </c>
      <c r="U67" s="3"/>
      <c r="V67" s="7">
        <f t="shared" si="25"/>
        <v>6.5955466079811046E-3</v>
      </c>
      <c r="W67" s="3"/>
      <c r="X67" s="8">
        <f t="shared" si="26"/>
        <v>5437.7999999999993</v>
      </c>
      <c r="Y67" s="3"/>
      <c r="Z67" s="7">
        <f t="shared" si="27"/>
        <v>1.3560598503740646</v>
      </c>
    </row>
    <row r="68" spans="1:26" s="24" customFormat="1" hidden="1" outlineLevel="2" x14ac:dyDescent="0.3">
      <c r="A68" s="29"/>
      <c r="B68" s="11" t="str">
        <f>CONCATENATE("          ", "6006", " - ", "TEMPORARY PART TIME")</f>
        <v xml:space="preserve">          6006 - TEMPORARY PART TIME</v>
      </c>
      <c r="C68" s="11"/>
      <c r="D68" s="8">
        <v>2864.4</v>
      </c>
      <c r="E68" s="3"/>
      <c r="F68" s="7">
        <f t="shared" si="20"/>
        <v>9.0701678367364723E-3</v>
      </c>
      <c r="G68" s="3"/>
      <c r="H68" s="8">
        <v>0</v>
      </c>
      <c r="I68" s="3"/>
      <c r="J68" s="7">
        <f t="shared" si="21"/>
        <v>0</v>
      </c>
      <c r="K68" s="3"/>
      <c r="L68" s="8">
        <f t="shared" si="22"/>
        <v>2864.4</v>
      </c>
      <c r="M68" s="3"/>
      <c r="N68" s="7">
        <f t="shared" si="23"/>
        <v>0</v>
      </c>
      <c r="O68" s="11"/>
      <c r="P68" s="8">
        <v>2864.4</v>
      </c>
      <c r="Q68" s="3"/>
      <c r="R68" s="7">
        <f t="shared" si="24"/>
        <v>9.0701678367364723E-3</v>
      </c>
      <c r="S68" s="3"/>
      <c r="T68" s="8">
        <v>0</v>
      </c>
      <c r="U68" s="3"/>
      <c r="V68" s="7">
        <f t="shared" si="25"/>
        <v>0</v>
      </c>
      <c r="W68" s="3"/>
      <c r="X68" s="8">
        <f t="shared" si="26"/>
        <v>2864.4</v>
      </c>
      <c r="Y68" s="3"/>
      <c r="Z68" s="7">
        <f t="shared" si="27"/>
        <v>0</v>
      </c>
    </row>
    <row r="69" spans="1:26" s="24" customFormat="1" hidden="1" outlineLevel="2" x14ac:dyDescent="0.3">
      <c r="A69" s="29"/>
      <c r="B69" s="11" t="str">
        <f>CONCATENATE("          ", "6007", " - ", "STUDENT HOURLY")</f>
        <v xml:space="preserve">          6007 - STUDENT HOURLY</v>
      </c>
      <c r="C69" s="11"/>
      <c r="D69" s="8">
        <v>56742.32</v>
      </c>
      <c r="E69" s="3"/>
      <c r="F69" s="7">
        <f t="shared" si="20"/>
        <v>0.1796754523969448</v>
      </c>
      <c r="G69" s="3"/>
      <c r="H69" s="8">
        <v>52733.412499999999</v>
      </c>
      <c r="I69" s="3"/>
      <c r="J69" s="7">
        <f t="shared" si="21"/>
        <v>8.6734583526594355E-2</v>
      </c>
      <c r="K69" s="3"/>
      <c r="L69" s="8">
        <f t="shared" si="22"/>
        <v>4008.9075000000012</v>
      </c>
      <c r="M69" s="3"/>
      <c r="N69" s="7">
        <f t="shared" si="23"/>
        <v>7.6022151989500034E-2</v>
      </c>
      <c r="O69" s="11"/>
      <c r="P69" s="8">
        <v>56742.32</v>
      </c>
      <c r="Q69" s="3"/>
      <c r="R69" s="7">
        <f t="shared" si="24"/>
        <v>0.1796754523969448</v>
      </c>
      <c r="S69" s="3"/>
      <c r="T69" s="8">
        <v>52733.412499999999</v>
      </c>
      <c r="U69" s="3"/>
      <c r="V69" s="7">
        <f t="shared" si="25"/>
        <v>8.6734583526594355E-2</v>
      </c>
      <c r="W69" s="3"/>
      <c r="X69" s="8">
        <f t="shared" si="26"/>
        <v>4008.9075000000012</v>
      </c>
      <c r="Y69" s="3"/>
      <c r="Z69" s="7">
        <f t="shared" si="27"/>
        <v>7.6022151989500034E-2</v>
      </c>
    </row>
    <row r="70" spans="1:26" s="24" customFormat="1" hidden="1" outlineLevel="2" x14ac:dyDescent="0.3">
      <c r="A70" s="29"/>
      <c r="B70" s="11" t="str">
        <f>CONCATENATE("          ", "6008", " - ", "STUDENT HOURLY-FICA EXEMPT")</f>
        <v xml:space="preserve">          6008 - STUDENT HOURLY-FICA EXEMPT</v>
      </c>
      <c r="C70" s="11"/>
      <c r="D70" s="8">
        <v>9784.35</v>
      </c>
      <c r="E70" s="3"/>
      <c r="F70" s="7">
        <f t="shared" si="20"/>
        <v>3.0982298796736665E-2</v>
      </c>
      <c r="G70" s="3"/>
      <c r="H70" s="8">
        <v>34500</v>
      </c>
      <c r="I70" s="3"/>
      <c r="J70" s="7">
        <f t="shared" si="21"/>
        <v>5.67447276746504E-2</v>
      </c>
      <c r="K70" s="3"/>
      <c r="L70" s="8">
        <f t="shared" si="22"/>
        <v>-24715.65</v>
      </c>
      <c r="M70" s="3"/>
      <c r="N70" s="7">
        <f t="shared" si="23"/>
        <v>-0.7163956521739131</v>
      </c>
      <c r="O70" s="11"/>
      <c r="P70" s="8">
        <v>9784.35</v>
      </c>
      <c r="Q70" s="3"/>
      <c r="R70" s="7">
        <f t="shared" si="24"/>
        <v>3.0982298796736665E-2</v>
      </c>
      <c r="S70" s="3"/>
      <c r="T70" s="8">
        <v>34500</v>
      </c>
      <c r="U70" s="3"/>
      <c r="V70" s="7">
        <f t="shared" si="25"/>
        <v>5.67447276746504E-2</v>
      </c>
      <c r="W70" s="3"/>
      <c r="X70" s="8">
        <f t="shared" si="26"/>
        <v>-24715.65</v>
      </c>
      <c r="Y70" s="3"/>
      <c r="Z70" s="7">
        <f t="shared" si="27"/>
        <v>-0.7163956521739131</v>
      </c>
    </row>
    <row r="71" spans="1:26" s="24" customFormat="1" hidden="1" outlineLevel="2" x14ac:dyDescent="0.3">
      <c r="A71" s="29"/>
      <c r="B71" s="11" t="str">
        <f>CONCATENATE("          ", "6009", " - ", "TEMPORARY-SEASONAL")</f>
        <v xml:space="preserve">          6009 - TEMPORARY-SEASONAL</v>
      </c>
      <c r="C71" s="11"/>
      <c r="D71" s="8"/>
      <c r="E71" s="3"/>
      <c r="F71" s="7">
        <f t="shared" si="20"/>
        <v>0</v>
      </c>
      <c r="G71" s="3"/>
      <c r="H71" s="8">
        <v>0</v>
      </c>
      <c r="I71" s="3"/>
      <c r="J71" s="7">
        <f t="shared" si="21"/>
        <v>0</v>
      </c>
      <c r="K71" s="3"/>
      <c r="L71" s="8">
        <f t="shared" si="22"/>
        <v>0</v>
      </c>
      <c r="M71" s="3"/>
      <c r="N71" s="7">
        <f t="shared" si="23"/>
        <v>0</v>
      </c>
      <c r="O71" s="11"/>
      <c r="P71" s="8"/>
      <c r="Q71" s="3"/>
      <c r="R71" s="7">
        <f t="shared" si="24"/>
        <v>0</v>
      </c>
      <c r="S71" s="3"/>
      <c r="T71" s="8">
        <v>0</v>
      </c>
      <c r="U71" s="3"/>
      <c r="V71" s="7">
        <f t="shared" si="25"/>
        <v>0</v>
      </c>
      <c r="W71" s="3"/>
      <c r="X71" s="8">
        <f t="shared" si="26"/>
        <v>0</v>
      </c>
      <c r="Y71" s="3"/>
      <c r="Z71" s="7">
        <f t="shared" si="27"/>
        <v>0</v>
      </c>
    </row>
    <row r="72" spans="1:26" s="24" customFormat="1" hidden="1" outlineLevel="2" x14ac:dyDescent="0.3">
      <c r="A72" s="29"/>
      <c r="B72" s="11" t="str">
        <f>CONCATENATE("          ", "6010", " - ", "GRATUITY")</f>
        <v xml:space="preserve">          6010 - GRATUITY</v>
      </c>
      <c r="C72" s="11"/>
      <c r="D72" s="8"/>
      <c r="E72" s="3"/>
      <c r="F72" s="7">
        <f t="shared" si="20"/>
        <v>0</v>
      </c>
      <c r="G72" s="3"/>
      <c r="H72" s="8">
        <v>0</v>
      </c>
      <c r="I72" s="3"/>
      <c r="J72" s="7">
        <f t="shared" si="21"/>
        <v>0</v>
      </c>
      <c r="K72" s="3"/>
      <c r="L72" s="8">
        <f t="shared" si="22"/>
        <v>0</v>
      </c>
      <c r="M72" s="3"/>
      <c r="N72" s="7">
        <f t="shared" si="23"/>
        <v>0</v>
      </c>
      <c r="O72" s="11"/>
      <c r="P72" s="8"/>
      <c r="Q72" s="3"/>
      <c r="R72" s="7">
        <f t="shared" si="24"/>
        <v>0</v>
      </c>
      <c r="S72" s="3"/>
      <c r="T72" s="8">
        <v>0</v>
      </c>
      <c r="U72" s="3"/>
      <c r="V72" s="7">
        <f t="shared" si="25"/>
        <v>0</v>
      </c>
      <c r="W72" s="3"/>
      <c r="X72" s="8">
        <f t="shared" si="26"/>
        <v>0</v>
      </c>
      <c r="Y72" s="3"/>
      <c r="Z72" s="7">
        <f t="shared" si="27"/>
        <v>0</v>
      </c>
    </row>
    <row r="73" spans="1:26" s="27" customFormat="1" outlineLevel="1" collapsed="1" x14ac:dyDescent="0.3">
      <c r="A73" s="28"/>
      <c r="B73" s="14" t="str">
        <f>CONCATENATE("     ","Advertising/Promo                                 ")</f>
        <v xml:space="preserve">     Advertising/Promo                                 </v>
      </c>
      <c r="C73" s="14"/>
      <c r="D73" s="1">
        <f>SUM(OSRRefD22_2x_0)</f>
        <v>539.04999999999995</v>
      </c>
      <c r="E73" s="1"/>
      <c r="F73" s="5">
        <f t="shared" ref="F73:F81" si="28">IF(D$12=0,0,D73/D$12)</f>
        <v>1.7069103380787582E-3</v>
      </c>
      <c r="G73" s="1"/>
      <c r="H73" s="1">
        <f>SUM(OSRRefH22_2x_0)</f>
        <v>3200</v>
      </c>
      <c r="I73" s="1"/>
      <c r="J73" s="5">
        <f t="shared" ref="J73:J81" si="29">IF(H$12=0,0,H73/H$12)</f>
        <v>5.2632790886632261E-3</v>
      </c>
      <c r="K73" s="1"/>
      <c r="L73" s="1">
        <f t="shared" ref="L73:L81" si="30">+D73-H73</f>
        <v>-2660.95</v>
      </c>
      <c r="M73" s="1"/>
      <c r="N73" s="5">
        <f t="shared" ref="N73:N81" si="31">IF(H73=0,0,L73/H73)</f>
        <v>-0.83154687499999991</v>
      </c>
      <c r="O73" s="14"/>
      <c r="P73" s="1">
        <f>SUM(OSRRefP22_2x_0)</f>
        <v>539.04999999999995</v>
      </c>
      <c r="Q73" s="1"/>
      <c r="R73" s="5">
        <f t="shared" ref="R73:R81" si="32">IF(P$12=0,0,P73/P$12)</f>
        <v>1.7069103380787582E-3</v>
      </c>
      <c r="S73" s="1"/>
      <c r="T73" s="1">
        <f>SUM(OSRRefT22_2x_0)</f>
        <v>3200</v>
      </c>
      <c r="U73" s="1"/>
      <c r="V73" s="5">
        <f t="shared" ref="V73:V81" si="33">IF(T$12=0,0,T73/T$12)</f>
        <v>5.2632790886632261E-3</v>
      </c>
      <c r="W73" s="1"/>
      <c r="X73" s="1">
        <f t="shared" ref="X73:X81" si="34">+P73-T73</f>
        <v>-2660.95</v>
      </c>
      <c r="Y73" s="1"/>
      <c r="Z73" s="5">
        <f t="shared" ref="Z73:Z81" si="35">IF(T73=0,0,X73/T73)</f>
        <v>-0.83154687499999991</v>
      </c>
    </row>
    <row r="74" spans="1:26" s="24" customFormat="1" hidden="1" outlineLevel="2" x14ac:dyDescent="0.3">
      <c r="A74" s="29"/>
      <c r="B74" s="11" t="str">
        <f>CONCATENATE("          ", "6362", " - ", "ADVERTISING EXPENSE")</f>
        <v xml:space="preserve">          6362 - ADVERTISING EXPENSE</v>
      </c>
      <c r="C74" s="11"/>
      <c r="D74" s="8">
        <v>539.04999999999995</v>
      </c>
      <c r="E74" s="3"/>
      <c r="F74" s="7">
        <f t="shared" si="28"/>
        <v>1.7069103380787582E-3</v>
      </c>
      <c r="G74" s="3"/>
      <c r="H74" s="8">
        <v>3200</v>
      </c>
      <c r="I74" s="3"/>
      <c r="J74" s="7">
        <f t="shared" si="29"/>
        <v>5.2632790886632261E-3</v>
      </c>
      <c r="K74" s="3"/>
      <c r="L74" s="8">
        <f t="shared" si="30"/>
        <v>-2660.95</v>
      </c>
      <c r="M74" s="3"/>
      <c r="N74" s="7">
        <f t="shared" si="31"/>
        <v>-0.83154687499999991</v>
      </c>
      <c r="O74" s="11"/>
      <c r="P74" s="8">
        <v>539.04999999999995</v>
      </c>
      <c r="Q74" s="3"/>
      <c r="R74" s="7">
        <f t="shared" si="32"/>
        <v>1.7069103380787582E-3</v>
      </c>
      <c r="S74" s="3"/>
      <c r="T74" s="8">
        <v>3200</v>
      </c>
      <c r="U74" s="3"/>
      <c r="V74" s="7">
        <f t="shared" si="33"/>
        <v>5.2632790886632261E-3</v>
      </c>
      <c r="W74" s="3"/>
      <c r="X74" s="8">
        <f t="shared" si="34"/>
        <v>-2660.95</v>
      </c>
      <c r="Y74" s="3"/>
      <c r="Z74" s="7">
        <f t="shared" si="35"/>
        <v>-0.83154687499999991</v>
      </c>
    </row>
    <row r="75" spans="1:26" s="27" customFormat="1" outlineLevel="1" collapsed="1" x14ac:dyDescent="0.3">
      <c r="A75" s="28"/>
      <c r="B75" s="14" t="str">
        <f>CONCATENATE("     ","Bad Debts/Over/Short                              ")</f>
        <v xml:space="preserve">     Bad Debts/Over/Short                              </v>
      </c>
      <c r="C75" s="14"/>
      <c r="D75" s="1">
        <f>SUM(OSRRefD22_3x_0)</f>
        <v>1.27</v>
      </c>
      <c r="E75" s="1"/>
      <c r="F75" s="5">
        <f t="shared" si="28"/>
        <v>4.0214750567851272E-6</v>
      </c>
      <c r="G75" s="1"/>
      <c r="H75" s="1">
        <f>SUM(OSRRefH22_3x_0)</f>
        <v>235</v>
      </c>
      <c r="I75" s="1"/>
      <c r="J75" s="5">
        <f t="shared" si="29"/>
        <v>3.8652205807370566E-4</v>
      </c>
      <c r="K75" s="1"/>
      <c r="L75" s="1">
        <f t="shared" si="30"/>
        <v>-233.73</v>
      </c>
      <c r="M75" s="1"/>
      <c r="N75" s="5">
        <f t="shared" si="31"/>
        <v>-0.99459574468085099</v>
      </c>
      <c r="O75" s="14"/>
      <c r="P75" s="1">
        <f>SUM(OSRRefP22_3x_0)</f>
        <v>1.27</v>
      </c>
      <c r="Q75" s="1"/>
      <c r="R75" s="5">
        <f t="shared" si="32"/>
        <v>4.0214750567851272E-6</v>
      </c>
      <c r="S75" s="1"/>
      <c r="T75" s="1">
        <f>SUM(OSRRefT22_3x_0)</f>
        <v>235</v>
      </c>
      <c r="U75" s="1"/>
      <c r="V75" s="5">
        <f t="shared" si="33"/>
        <v>3.8652205807370566E-4</v>
      </c>
      <c r="W75" s="1"/>
      <c r="X75" s="1">
        <f t="shared" si="34"/>
        <v>-233.73</v>
      </c>
      <c r="Y75" s="1"/>
      <c r="Z75" s="5">
        <f t="shared" si="35"/>
        <v>-0.99459574468085099</v>
      </c>
    </row>
    <row r="76" spans="1:26" s="24" customFormat="1" hidden="1" outlineLevel="2" x14ac:dyDescent="0.3">
      <c r="A76" s="29"/>
      <c r="B76" s="11" t="str">
        <f>CONCATENATE("          ", "6272", " - ", "CASH (OVER/SHORT)")</f>
        <v xml:space="preserve">          6272 - CASH (OVER/SHORT)</v>
      </c>
      <c r="C76" s="11"/>
      <c r="D76" s="8">
        <v>1.27</v>
      </c>
      <c r="E76" s="3"/>
      <c r="F76" s="7">
        <f t="shared" si="28"/>
        <v>4.0214750567851272E-6</v>
      </c>
      <c r="G76" s="3"/>
      <c r="H76" s="8">
        <v>235</v>
      </c>
      <c r="I76" s="3"/>
      <c r="J76" s="7">
        <f t="shared" si="29"/>
        <v>3.8652205807370566E-4</v>
      </c>
      <c r="K76" s="3"/>
      <c r="L76" s="8">
        <f t="shared" si="30"/>
        <v>-233.73</v>
      </c>
      <c r="M76" s="3"/>
      <c r="N76" s="7">
        <f t="shared" si="31"/>
        <v>-0.99459574468085099</v>
      </c>
      <c r="O76" s="11"/>
      <c r="P76" s="8">
        <v>1.27</v>
      </c>
      <c r="Q76" s="3"/>
      <c r="R76" s="7">
        <f t="shared" si="32"/>
        <v>4.0214750567851272E-6</v>
      </c>
      <c r="S76" s="3"/>
      <c r="T76" s="8">
        <v>235</v>
      </c>
      <c r="U76" s="3"/>
      <c r="V76" s="7">
        <f t="shared" si="33"/>
        <v>3.8652205807370566E-4</v>
      </c>
      <c r="W76" s="3"/>
      <c r="X76" s="8">
        <f t="shared" si="34"/>
        <v>-233.73</v>
      </c>
      <c r="Y76" s="3"/>
      <c r="Z76" s="7">
        <f t="shared" si="35"/>
        <v>-0.99459574468085099</v>
      </c>
    </row>
    <row r="77" spans="1:26" s="27" customFormat="1" outlineLevel="1" collapsed="1" x14ac:dyDescent="0.3">
      <c r="A77" s="28"/>
      <c r="B77" s="14" t="str">
        <f>CONCATENATE("     ","Bank/card Fees                                    ")</f>
        <v xml:space="preserve">     Bank/card Fees                                    </v>
      </c>
      <c r="C77" s="14"/>
      <c r="D77" s="1">
        <f>SUM(OSRRefD22_4x_0)</f>
        <v>3961.88</v>
      </c>
      <c r="E77" s="1"/>
      <c r="F77" s="5">
        <f t="shared" si="28"/>
        <v>1.2545355588957372E-2</v>
      </c>
      <c r="G77" s="1"/>
      <c r="H77" s="1">
        <f>SUM(OSRRefH22_4x_0)</f>
        <v>11242</v>
      </c>
      <c r="I77" s="1"/>
      <c r="J77" s="5">
        <f t="shared" si="29"/>
        <v>1.8490557348359995E-2</v>
      </c>
      <c r="K77" s="1"/>
      <c r="L77" s="1">
        <f t="shared" si="30"/>
        <v>-7280.12</v>
      </c>
      <c r="M77" s="1"/>
      <c r="N77" s="5">
        <f t="shared" si="31"/>
        <v>-0.64758228073296564</v>
      </c>
      <c r="O77" s="14"/>
      <c r="P77" s="1">
        <f>SUM(OSRRefP22_4x_0)</f>
        <v>3961.88</v>
      </c>
      <c r="Q77" s="1"/>
      <c r="R77" s="5">
        <f t="shared" si="32"/>
        <v>1.2545355588957372E-2</v>
      </c>
      <c r="S77" s="1"/>
      <c r="T77" s="1">
        <f>SUM(OSRRefT22_4x_0)</f>
        <v>11242</v>
      </c>
      <c r="U77" s="1"/>
      <c r="V77" s="5">
        <f t="shared" si="33"/>
        <v>1.8490557348359995E-2</v>
      </c>
      <c r="W77" s="1"/>
      <c r="X77" s="1">
        <f t="shared" si="34"/>
        <v>-7280.12</v>
      </c>
      <c r="Y77" s="1"/>
      <c r="Z77" s="5">
        <f t="shared" si="35"/>
        <v>-0.64758228073296564</v>
      </c>
    </row>
    <row r="78" spans="1:26" s="24" customFormat="1" hidden="1" outlineLevel="2" x14ac:dyDescent="0.3">
      <c r="A78" s="29"/>
      <c r="B78" s="11" t="str">
        <f>CONCATENATE("          ", "6381", " - ", "BANK/CREDIT CARD FEES")</f>
        <v xml:space="preserve">          6381 - BANK/CREDIT CARD FEES</v>
      </c>
      <c r="C78" s="11"/>
      <c r="D78" s="8">
        <v>3961.88</v>
      </c>
      <c r="E78" s="3"/>
      <c r="F78" s="7">
        <f t="shared" si="28"/>
        <v>1.2545355588957372E-2</v>
      </c>
      <c r="G78" s="3"/>
      <c r="H78" s="8">
        <v>11242</v>
      </c>
      <c r="I78" s="3"/>
      <c r="J78" s="7">
        <f t="shared" si="29"/>
        <v>1.8490557348359995E-2</v>
      </c>
      <c r="K78" s="3"/>
      <c r="L78" s="8">
        <f t="shared" si="30"/>
        <v>-7280.12</v>
      </c>
      <c r="M78" s="3"/>
      <c r="N78" s="7">
        <f t="shared" si="31"/>
        <v>-0.64758228073296564</v>
      </c>
      <c r="O78" s="11"/>
      <c r="P78" s="8">
        <v>3961.88</v>
      </c>
      <c r="Q78" s="3"/>
      <c r="R78" s="7">
        <f t="shared" si="32"/>
        <v>1.2545355588957372E-2</v>
      </c>
      <c r="S78" s="3"/>
      <c r="T78" s="8">
        <v>11242</v>
      </c>
      <c r="U78" s="3"/>
      <c r="V78" s="7">
        <f t="shared" si="33"/>
        <v>1.8490557348359995E-2</v>
      </c>
      <c r="W78" s="3"/>
      <c r="X78" s="8">
        <f t="shared" si="34"/>
        <v>-7280.12</v>
      </c>
      <c r="Y78" s="3"/>
      <c r="Z78" s="7">
        <f t="shared" si="35"/>
        <v>-0.64758228073296564</v>
      </c>
    </row>
    <row r="79" spans="1:26" s="27" customFormat="1" outlineLevel="1" collapsed="1" x14ac:dyDescent="0.3">
      <c r="A79" s="28"/>
      <c r="B79" s="14" t="str">
        <f>CONCATENATE("     ","Depreciation                                      ")</f>
        <v xml:space="preserve">     Depreciation                                      </v>
      </c>
      <c r="C79" s="14"/>
      <c r="D79" s="1">
        <f>SUM(OSRRefD22_5x_0)</f>
        <v>31001.120000000003</v>
      </c>
      <c r="E79" s="1"/>
      <c r="F79" s="5">
        <f t="shared" si="28"/>
        <v>9.8165536072757922E-2</v>
      </c>
      <c r="G79" s="1"/>
      <c r="H79" s="1">
        <f>SUM(OSRRefH22_5x_0)</f>
        <v>30600</v>
      </c>
      <c r="I79" s="1"/>
      <c r="J79" s="5">
        <f t="shared" si="29"/>
        <v>5.0330106285342097E-2</v>
      </c>
      <c r="K79" s="1"/>
      <c r="L79" s="1">
        <f t="shared" si="30"/>
        <v>401.12000000000262</v>
      </c>
      <c r="M79" s="1"/>
      <c r="N79" s="5">
        <f t="shared" si="31"/>
        <v>1.3108496732026229E-2</v>
      </c>
      <c r="O79" s="14"/>
      <c r="P79" s="1">
        <f>SUM(OSRRefP22_5x_0)</f>
        <v>31001.120000000003</v>
      </c>
      <c r="Q79" s="1"/>
      <c r="R79" s="5">
        <f t="shared" si="32"/>
        <v>9.8165536072757922E-2</v>
      </c>
      <c r="S79" s="1"/>
      <c r="T79" s="1">
        <f>SUM(OSRRefT22_5x_0)</f>
        <v>30600</v>
      </c>
      <c r="U79" s="1"/>
      <c r="V79" s="5">
        <f t="shared" si="33"/>
        <v>5.0330106285342097E-2</v>
      </c>
      <c r="W79" s="1"/>
      <c r="X79" s="1">
        <f t="shared" si="34"/>
        <v>401.12000000000262</v>
      </c>
      <c r="Y79" s="1"/>
      <c r="Z79" s="5">
        <f t="shared" si="35"/>
        <v>1.3108496732026229E-2</v>
      </c>
    </row>
    <row r="80" spans="1:26" s="24" customFormat="1" hidden="1" outlineLevel="2" x14ac:dyDescent="0.3">
      <c r="A80" s="29"/>
      <c r="B80" s="11" t="str">
        <f>CONCATENATE("          ", "6321", " - ", "BUILDING DEPRECIATION")</f>
        <v xml:space="preserve">          6321 - BUILDING DEPRECIATION</v>
      </c>
      <c r="C80" s="11"/>
      <c r="D80" s="8">
        <v>16396.52</v>
      </c>
      <c r="E80" s="3"/>
      <c r="F80" s="7">
        <f t="shared" si="28"/>
        <v>5.1919839526046049E-2</v>
      </c>
      <c r="G80" s="3"/>
      <c r="H80" s="8"/>
      <c r="I80" s="3"/>
      <c r="J80" s="7">
        <f t="shared" si="29"/>
        <v>0</v>
      </c>
      <c r="K80" s="3"/>
      <c r="L80" s="8">
        <f t="shared" si="30"/>
        <v>16396.52</v>
      </c>
      <c r="M80" s="3"/>
      <c r="N80" s="7">
        <f t="shared" si="31"/>
        <v>0</v>
      </c>
      <c r="O80" s="11"/>
      <c r="P80" s="8">
        <v>16396.52</v>
      </c>
      <c r="Q80" s="3"/>
      <c r="R80" s="7">
        <f t="shared" si="32"/>
        <v>5.1919839526046049E-2</v>
      </c>
      <c r="S80" s="3"/>
      <c r="T80" s="8"/>
      <c r="U80" s="3"/>
      <c r="V80" s="7">
        <f t="shared" si="33"/>
        <v>0</v>
      </c>
      <c r="W80" s="3"/>
      <c r="X80" s="8">
        <f t="shared" si="34"/>
        <v>16396.52</v>
      </c>
      <c r="Y80" s="3"/>
      <c r="Z80" s="7">
        <f t="shared" si="35"/>
        <v>0</v>
      </c>
    </row>
    <row r="81" spans="1:26" s="24" customFormat="1" hidden="1" outlineLevel="2" x14ac:dyDescent="0.3">
      <c r="A81" s="29"/>
      <c r="B81" s="11" t="str">
        <f>CONCATENATE("          ", "6322", " - ", "EQUIPMENT DEPRECIATION EXPENSE")</f>
        <v xml:space="preserve">          6322 - EQUIPMENT DEPRECIATION EXPENSE</v>
      </c>
      <c r="C81" s="11"/>
      <c r="D81" s="8">
        <v>14604.6</v>
      </c>
      <c r="E81" s="3"/>
      <c r="F81" s="7">
        <f t="shared" si="28"/>
        <v>4.6245696546711866E-2</v>
      </c>
      <c r="G81" s="3"/>
      <c r="H81" s="8">
        <v>30600</v>
      </c>
      <c r="I81" s="3"/>
      <c r="J81" s="7">
        <f t="shared" si="29"/>
        <v>5.0330106285342097E-2</v>
      </c>
      <c r="K81" s="3"/>
      <c r="L81" s="8">
        <f t="shared" si="30"/>
        <v>-15995.4</v>
      </c>
      <c r="M81" s="3"/>
      <c r="N81" s="7">
        <f t="shared" si="31"/>
        <v>-0.52272549019607839</v>
      </c>
      <c r="O81" s="11"/>
      <c r="P81" s="8">
        <v>14604.6</v>
      </c>
      <c r="Q81" s="3"/>
      <c r="R81" s="7">
        <f t="shared" si="32"/>
        <v>4.6245696546711866E-2</v>
      </c>
      <c r="S81" s="3"/>
      <c r="T81" s="8">
        <v>30600</v>
      </c>
      <c r="U81" s="3"/>
      <c r="V81" s="7">
        <f t="shared" si="33"/>
        <v>5.0330106285342097E-2</v>
      </c>
      <c r="W81" s="3"/>
      <c r="X81" s="8">
        <f t="shared" si="34"/>
        <v>-15995.4</v>
      </c>
      <c r="Y81" s="3"/>
      <c r="Z81" s="7">
        <f t="shared" si="35"/>
        <v>-0.52272549019607839</v>
      </c>
    </row>
    <row r="82" spans="1:26" s="27" customFormat="1" outlineLevel="1" collapsed="1" x14ac:dyDescent="0.3">
      <c r="A82" s="28"/>
      <c r="B82" s="14" t="str">
        <f>CONCATENATE("     ","Discounts and Markdowns                           ")</f>
        <v xml:space="preserve">     Discounts and Markdowns                           </v>
      </c>
      <c r="C82" s="14"/>
      <c r="D82" s="1">
        <f>SUM(OSRRefD22_6x_0)</f>
        <v>-0.68</v>
      </c>
      <c r="E82" s="1"/>
      <c r="F82" s="5">
        <f t="shared" ref="F82:F84" si="36">IF(D$12=0,0,D82/D$12)</f>
        <v>-2.1532307390660527E-6</v>
      </c>
      <c r="G82" s="1"/>
      <c r="H82" s="1">
        <f>SUM(OSRRefH22_6x_0)</f>
        <v>0</v>
      </c>
      <c r="I82" s="1"/>
      <c r="J82" s="5">
        <f t="shared" ref="J82:J84" si="37">IF(H$12=0,0,H82/H$12)</f>
        <v>0</v>
      </c>
      <c r="K82" s="1"/>
      <c r="L82" s="1">
        <f t="shared" ref="L82:L84" si="38">+D82-H82</f>
        <v>-0.68</v>
      </c>
      <c r="M82" s="1"/>
      <c r="N82" s="5">
        <f t="shared" ref="N82:N84" si="39">IF(H82=0,0,L82/H82)</f>
        <v>0</v>
      </c>
      <c r="O82" s="14"/>
      <c r="P82" s="1">
        <f>SUM(OSRRefP22_6x_0)</f>
        <v>-0.68</v>
      </c>
      <c r="Q82" s="1"/>
      <c r="R82" s="5">
        <f t="shared" ref="R82:R84" si="40">IF(P$12=0,0,P82/P$12)</f>
        <v>-2.1532307390660527E-6</v>
      </c>
      <c r="S82" s="1"/>
      <c r="T82" s="1">
        <f>SUM(OSRRefT22_6x_0)</f>
        <v>0</v>
      </c>
      <c r="U82" s="1"/>
      <c r="V82" s="5">
        <f t="shared" ref="V82:V84" si="41">IF(T$12=0,0,T82/T$12)</f>
        <v>0</v>
      </c>
      <c r="W82" s="1"/>
      <c r="X82" s="1">
        <f t="shared" ref="X82:X84" si="42">+P82-T82</f>
        <v>-0.68</v>
      </c>
      <c r="Y82" s="1"/>
      <c r="Z82" s="5">
        <f t="shared" ref="Z82:Z84" si="43">IF(T82=0,0,X82/T82)</f>
        <v>0</v>
      </c>
    </row>
    <row r="83" spans="1:26" s="24" customFormat="1" hidden="1" outlineLevel="2" x14ac:dyDescent="0.3">
      <c r="A83" s="29"/>
      <c r="B83" s="11" t="str">
        <f>CONCATENATE("          ", "6382", " - ", "DISCOUNTS/MARK DOWNS")</f>
        <v xml:space="preserve">          6382 - DISCOUNTS/MARK DOWNS</v>
      </c>
      <c r="C83" s="11"/>
      <c r="D83" s="8"/>
      <c r="E83" s="3"/>
      <c r="F83" s="7">
        <f t="shared" si="36"/>
        <v>0</v>
      </c>
      <c r="G83" s="3"/>
      <c r="H83" s="8">
        <v>0</v>
      </c>
      <c r="I83" s="3"/>
      <c r="J83" s="7">
        <f t="shared" si="37"/>
        <v>0</v>
      </c>
      <c r="K83" s="3"/>
      <c r="L83" s="8">
        <f t="shared" si="38"/>
        <v>0</v>
      </c>
      <c r="M83" s="3"/>
      <c r="N83" s="7">
        <f t="shared" si="39"/>
        <v>0</v>
      </c>
      <c r="O83" s="11"/>
      <c r="P83" s="8"/>
      <c r="Q83" s="3"/>
      <c r="R83" s="7">
        <f t="shared" si="40"/>
        <v>0</v>
      </c>
      <c r="S83" s="3"/>
      <c r="T83" s="8">
        <v>0</v>
      </c>
      <c r="U83" s="3"/>
      <c r="V83" s="7">
        <f t="shared" si="41"/>
        <v>0</v>
      </c>
      <c r="W83" s="3"/>
      <c r="X83" s="8">
        <f t="shared" si="42"/>
        <v>0</v>
      </c>
      <c r="Y83" s="3"/>
      <c r="Z83" s="7">
        <f t="shared" si="43"/>
        <v>0</v>
      </c>
    </row>
    <row r="84" spans="1:26" s="24" customFormat="1" hidden="1" outlineLevel="2" x14ac:dyDescent="0.3">
      <c r="A84" s="29"/>
      <c r="B84" s="11" t="str">
        <f>CONCATENATE("          ", "9175", " - ", "EARNED DISCOUNTS")</f>
        <v xml:space="preserve">          9175 - EARNED DISCOUNTS</v>
      </c>
      <c r="C84" s="11"/>
      <c r="D84" s="8">
        <v>-0.68</v>
      </c>
      <c r="E84" s="3"/>
      <c r="F84" s="7">
        <f t="shared" si="36"/>
        <v>-2.1532307390660527E-6</v>
      </c>
      <c r="G84" s="3"/>
      <c r="H84" s="8"/>
      <c r="I84" s="3"/>
      <c r="J84" s="7">
        <f t="shared" si="37"/>
        <v>0</v>
      </c>
      <c r="K84" s="3"/>
      <c r="L84" s="8">
        <f t="shared" si="38"/>
        <v>-0.68</v>
      </c>
      <c r="M84" s="3"/>
      <c r="N84" s="7">
        <f t="shared" si="39"/>
        <v>0</v>
      </c>
      <c r="O84" s="11"/>
      <c r="P84" s="8">
        <v>-0.68</v>
      </c>
      <c r="Q84" s="3"/>
      <c r="R84" s="7">
        <f t="shared" si="40"/>
        <v>-2.1532307390660527E-6</v>
      </c>
      <c r="S84" s="3"/>
      <c r="T84" s="8"/>
      <c r="U84" s="3"/>
      <c r="V84" s="7">
        <f t="shared" si="41"/>
        <v>0</v>
      </c>
      <c r="W84" s="3"/>
      <c r="X84" s="8">
        <f t="shared" si="42"/>
        <v>-0.68</v>
      </c>
      <c r="Y84" s="3"/>
      <c r="Z84" s="7">
        <f t="shared" si="43"/>
        <v>0</v>
      </c>
    </row>
    <row r="85" spans="1:26" s="27" customFormat="1" outlineLevel="1" collapsed="1" x14ac:dyDescent="0.3">
      <c r="A85" s="28"/>
      <c r="B85" s="14" t="str">
        <f>CONCATENATE("     ","Donations                                         ")</f>
        <v xml:space="preserve">     Donations                                         </v>
      </c>
      <c r="C85" s="14"/>
      <c r="D85" s="1">
        <f>SUM(OSRRefD22_7x_0)</f>
        <v>0</v>
      </c>
      <c r="E85" s="1"/>
      <c r="F85" s="5">
        <f t="shared" ref="F85:F93" si="44">IF(D$12=0,0,D85/D$12)</f>
        <v>0</v>
      </c>
      <c r="G85" s="1"/>
      <c r="H85" s="1">
        <f>SUM(OSRRefH22_7x_0)</f>
        <v>1250</v>
      </c>
      <c r="I85" s="1"/>
      <c r="J85" s="5">
        <f t="shared" ref="J85:J93" si="45">IF(H$12=0,0,H85/H$12)</f>
        <v>2.0559683940090724E-3</v>
      </c>
      <c r="K85" s="1"/>
      <c r="L85" s="1">
        <f t="shared" ref="L85:L93" si="46">+D85-H85</f>
        <v>-1250</v>
      </c>
      <c r="M85" s="1"/>
      <c r="N85" s="5">
        <f t="shared" ref="N85:N93" si="47">IF(H85=0,0,L85/H85)</f>
        <v>-1</v>
      </c>
      <c r="O85" s="14"/>
      <c r="P85" s="1">
        <f>SUM(OSRRefP22_7x_0)</f>
        <v>0</v>
      </c>
      <c r="Q85" s="1"/>
      <c r="R85" s="5">
        <f t="shared" ref="R85:R93" si="48">IF(P$12=0,0,P85/P$12)</f>
        <v>0</v>
      </c>
      <c r="S85" s="1"/>
      <c r="T85" s="1">
        <f>SUM(OSRRefT22_7x_0)</f>
        <v>1250</v>
      </c>
      <c r="U85" s="1"/>
      <c r="V85" s="5">
        <f t="shared" ref="V85:V93" si="49">IF(T$12=0,0,T85/T$12)</f>
        <v>2.0559683940090724E-3</v>
      </c>
      <c r="W85" s="1"/>
      <c r="X85" s="1">
        <f t="shared" ref="X85:X93" si="50">+P85-T85</f>
        <v>-1250</v>
      </c>
      <c r="Y85" s="1"/>
      <c r="Z85" s="5">
        <f t="shared" ref="Z85:Z93" si="51">IF(T85=0,0,X85/T85)</f>
        <v>-1</v>
      </c>
    </row>
    <row r="86" spans="1:26" s="24" customFormat="1" hidden="1" outlineLevel="2" x14ac:dyDescent="0.3">
      <c r="A86" s="29"/>
      <c r="B86" s="11" t="str">
        <f>CONCATENATE("          ", "6399", " - ", "DONATION-ON CAMPUS")</f>
        <v xml:space="preserve">          6399 - DONATION-ON CAMPUS</v>
      </c>
      <c r="C86" s="11"/>
      <c r="D86" s="8"/>
      <c r="E86" s="3"/>
      <c r="F86" s="7">
        <f t="shared" si="44"/>
        <v>0</v>
      </c>
      <c r="G86" s="3"/>
      <c r="H86" s="8">
        <v>1250</v>
      </c>
      <c r="I86" s="3"/>
      <c r="J86" s="7">
        <f t="shared" si="45"/>
        <v>2.0559683940090724E-3</v>
      </c>
      <c r="K86" s="3"/>
      <c r="L86" s="8">
        <f t="shared" si="46"/>
        <v>-1250</v>
      </c>
      <c r="M86" s="3"/>
      <c r="N86" s="7">
        <f t="shared" si="47"/>
        <v>-1</v>
      </c>
      <c r="O86" s="11"/>
      <c r="P86" s="8"/>
      <c r="Q86" s="3"/>
      <c r="R86" s="7">
        <f t="shared" si="48"/>
        <v>0</v>
      </c>
      <c r="S86" s="3"/>
      <c r="T86" s="8">
        <v>1250</v>
      </c>
      <c r="U86" s="3"/>
      <c r="V86" s="7">
        <f t="shared" si="49"/>
        <v>2.0559683940090724E-3</v>
      </c>
      <c r="W86" s="3"/>
      <c r="X86" s="8">
        <f t="shared" si="50"/>
        <v>-1250</v>
      </c>
      <c r="Y86" s="3"/>
      <c r="Z86" s="7">
        <f t="shared" si="51"/>
        <v>-1</v>
      </c>
    </row>
    <row r="87" spans="1:26" s="27" customFormat="1" outlineLevel="1" collapsed="1" x14ac:dyDescent="0.3">
      <c r="A87" s="28"/>
      <c r="B87" s="14" t="str">
        <f>CONCATENATE("     ","Employees' Appreciation                           ")</f>
        <v xml:space="preserve">     Employees' Appreciation                           </v>
      </c>
      <c r="C87" s="14"/>
      <c r="D87" s="1">
        <f>SUM(OSRRefD22_8x_0)</f>
        <v>537.36</v>
      </c>
      <c r="E87" s="1"/>
      <c r="F87" s="5">
        <f t="shared" si="44"/>
        <v>1.7015589263890205E-3</v>
      </c>
      <c r="G87" s="1"/>
      <c r="H87" s="1">
        <f>SUM(OSRRefH22_8x_0)</f>
        <v>245</v>
      </c>
      <c r="I87" s="1"/>
      <c r="J87" s="5">
        <f t="shared" si="45"/>
        <v>4.0296980522577824E-4</v>
      </c>
      <c r="K87" s="1"/>
      <c r="L87" s="1">
        <f t="shared" si="46"/>
        <v>292.36</v>
      </c>
      <c r="M87" s="1"/>
      <c r="N87" s="5">
        <f t="shared" si="47"/>
        <v>1.1933061224489796</v>
      </c>
      <c r="O87" s="14"/>
      <c r="P87" s="1">
        <f>SUM(OSRRefP22_8x_0)</f>
        <v>537.36</v>
      </c>
      <c r="Q87" s="1"/>
      <c r="R87" s="5">
        <f t="shared" si="48"/>
        <v>1.7015589263890205E-3</v>
      </c>
      <c r="S87" s="1"/>
      <c r="T87" s="1">
        <f>SUM(OSRRefT22_8x_0)</f>
        <v>245</v>
      </c>
      <c r="U87" s="1"/>
      <c r="V87" s="5">
        <f t="shared" si="49"/>
        <v>4.0296980522577824E-4</v>
      </c>
      <c r="W87" s="1"/>
      <c r="X87" s="1">
        <f t="shared" si="50"/>
        <v>292.36</v>
      </c>
      <c r="Y87" s="1"/>
      <c r="Z87" s="5">
        <f t="shared" si="51"/>
        <v>1.1933061224489796</v>
      </c>
    </row>
    <row r="88" spans="1:26" s="24" customFormat="1" hidden="1" outlineLevel="2" x14ac:dyDescent="0.3">
      <c r="A88" s="29"/>
      <c r="B88" s="11" t="str">
        <f>CONCATENATE("          ", "6277", " - ", "EMPLOYEE APPRECIATION")</f>
        <v xml:space="preserve">          6277 - EMPLOYEE APPRECIATION</v>
      </c>
      <c r="C88" s="11"/>
      <c r="D88" s="8">
        <v>537.36</v>
      </c>
      <c r="E88" s="3"/>
      <c r="F88" s="7">
        <f t="shared" si="44"/>
        <v>1.7015589263890205E-3</v>
      </c>
      <c r="G88" s="3"/>
      <c r="H88" s="8">
        <v>245</v>
      </c>
      <c r="I88" s="3"/>
      <c r="J88" s="7">
        <f t="shared" si="45"/>
        <v>4.0296980522577824E-4</v>
      </c>
      <c r="K88" s="3"/>
      <c r="L88" s="8">
        <f t="shared" si="46"/>
        <v>292.36</v>
      </c>
      <c r="M88" s="3"/>
      <c r="N88" s="7">
        <f t="shared" si="47"/>
        <v>1.1933061224489796</v>
      </c>
      <c r="O88" s="11"/>
      <c r="P88" s="8">
        <v>537.36</v>
      </c>
      <c r="Q88" s="3"/>
      <c r="R88" s="7">
        <f t="shared" si="48"/>
        <v>1.7015589263890205E-3</v>
      </c>
      <c r="S88" s="3"/>
      <c r="T88" s="8">
        <v>245</v>
      </c>
      <c r="U88" s="3"/>
      <c r="V88" s="7">
        <f t="shared" si="49"/>
        <v>4.0296980522577824E-4</v>
      </c>
      <c r="W88" s="3"/>
      <c r="X88" s="8">
        <f t="shared" si="50"/>
        <v>292.36</v>
      </c>
      <c r="Y88" s="3"/>
      <c r="Z88" s="7">
        <f t="shared" si="51"/>
        <v>1.1933061224489796</v>
      </c>
    </row>
    <row r="89" spans="1:26" s="27" customFormat="1" outlineLevel="1" collapsed="1" x14ac:dyDescent="0.3">
      <c r="A89" s="28"/>
      <c r="B89" s="14" t="str">
        <f>CONCATENATE("     ","Equipment Rental                                  ")</f>
        <v xml:space="preserve">     Equipment Rental                                  </v>
      </c>
      <c r="C89" s="14"/>
      <c r="D89" s="1">
        <f>SUM(OSRRefD22_9x_0)</f>
        <v>1388.16</v>
      </c>
      <c r="E89" s="1"/>
      <c r="F89" s="5">
        <f t="shared" si="44"/>
        <v>4.3956305628557821E-3</v>
      </c>
      <c r="G89" s="1"/>
      <c r="H89" s="1">
        <f>SUM(OSRRefH22_9x_0)</f>
        <v>1600</v>
      </c>
      <c r="I89" s="1"/>
      <c r="J89" s="5">
        <f t="shared" si="45"/>
        <v>2.6316395443316131E-3</v>
      </c>
      <c r="K89" s="1"/>
      <c r="L89" s="1">
        <f t="shared" si="46"/>
        <v>-211.83999999999992</v>
      </c>
      <c r="M89" s="1"/>
      <c r="N89" s="5">
        <f t="shared" si="47"/>
        <v>-0.13239999999999996</v>
      </c>
      <c r="O89" s="14"/>
      <c r="P89" s="1">
        <f>SUM(OSRRefP22_9x_0)</f>
        <v>1388.16</v>
      </c>
      <c r="Q89" s="1"/>
      <c r="R89" s="5">
        <f t="shared" si="48"/>
        <v>4.3956305628557821E-3</v>
      </c>
      <c r="S89" s="1"/>
      <c r="T89" s="1">
        <f>SUM(OSRRefT22_9x_0)</f>
        <v>1600</v>
      </c>
      <c r="U89" s="1"/>
      <c r="V89" s="5">
        <f t="shared" si="49"/>
        <v>2.6316395443316131E-3</v>
      </c>
      <c r="W89" s="1"/>
      <c r="X89" s="1">
        <f t="shared" si="50"/>
        <v>-211.83999999999992</v>
      </c>
      <c r="Y89" s="1"/>
      <c r="Z89" s="5">
        <f t="shared" si="51"/>
        <v>-0.13239999999999996</v>
      </c>
    </row>
    <row r="90" spans="1:26" s="24" customFormat="1" hidden="1" outlineLevel="2" x14ac:dyDescent="0.3">
      <c r="A90" s="29"/>
      <c r="B90" s="11" t="str">
        <f>CONCATENATE("          ", "6351", " - ", "EQUIPMENT RENTAL")</f>
        <v xml:space="preserve">          6351 - EQUIPMENT RENTAL</v>
      </c>
      <c r="C90" s="11"/>
      <c r="D90" s="8">
        <v>1388.16</v>
      </c>
      <c r="E90" s="3"/>
      <c r="F90" s="7">
        <f t="shared" si="44"/>
        <v>4.3956305628557821E-3</v>
      </c>
      <c r="G90" s="3"/>
      <c r="H90" s="8">
        <v>1600</v>
      </c>
      <c r="I90" s="3"/>
      <c r="J90" s="7">
        <f t="shared" si="45"/>
        <v>2.6316395443316131E-3</v>
      </c>
      <c r="K90" s="3"/>
      <c r="L90" s="8">
        <f t="shared" si="46"/>
        <v>-211.83999999999992</v>
      </c>
      <c r="M90" s="3"/>
      <c r="N90" s="7">
        <f t="shared" si="47"/>
        <v>-0.13239999999999996</v>
      </c>
      <c r="O90" s="11"/>
      <c r="P90" s="8">
        <v>1388.16</v>
      </c>
      <c r="Q90" s="3"/>
      <c r="R90" s="7">
        <f t="shared" si="48"/>
        <v>4.3956305628557821E-3</v>
      </c>
      <c r="S90" s="3"/>
      <c r="T90" s="8">
        <v>1600</v>
      </c>
      <c r="U90" s="3"/>
      <c r="V90" s="7">
        <f t="shared" si="49"/>
        <v>2.6316395443316131E-3</v>
      </c>
      <c r="W90" s="3"/>
      <c r="X90" s="8">
        <f t="shared" si="50"/>
        <v>-211.83999999999992</v>
      </c>
      <c r="Y90" s="3"/>
      <c r="Z90" s="7">
        <f t="shared" si="51"/>
        <v>-0.13239999999999996</v>
      </c>
    </row>
    <row r="91" spans="1:26" s="27" customFormat="1" outlineLevel="1" collapsed="1" x14ac:dyDescent="0.3">
      <c r="A91" s="28"/>
      <c r="B91" s="14" t="str">
        <f>CONCATENATE("     ","Freight out/Postage                               ")</f>
        <v xml:space="preserve">     Freight out/Postage                               </v>
      </c>
      <c r="C91" s="14"/>
      <c r="D91" s="1">
        <f>SUM(OSRRefD22_10x_0)</f>
        <v>3682.8</v>
      </c>
      <c r="E91" s="1"/>
      <c r="F91" s="5">
        <f t="shared" si="44"/>
        <v>1.1661644361518321E-2</v>
      </c>
      <c r="G91" s="1"/>
      <c r="H91" s="1">
        <f>SUM(OSRRefH22_10x_0)</f>
        <v>5465</v>
      </c>
      <c r="I91" s="1"/>
      <c r="J91" s="5">
        <f t="shared" si="45"/>
        <v>8.988693818607665E-3</v>
      </c>
      <c r="K91" s="1"/>
      <c r="L91" s="1">
        <f t="shared" si="46"/>
        <v>-1782.1999999999998</v>
      </c>
      <c r="M91" s="1"/>
      <c r="N91" s="5">
        <f t="shared" si="47"/>
        <v>-0.32611161939615735</v>
      </c>
      <c r="O91" s="14"/>
      <c r="P91" s="1">
        <f>SUM(OSRRefP22_10x_0)</f>
        <v>3682.8</v>
      </c>
      <c r="Q91" s="1"/>
      <c r="R91" s="5">
        <f t="shared" si="48"/>
        <v>1.1661644361518321E-2</v>
      </c>
      <c r="S91" s="1"/>
      <c r="T91" s="1">
        <f>SUM(OSRRefT22_10x_0)</f>
        <v>5465</v>
      </c>
      <c r="U91" s="1"/>
      <c r="V91" s="5">
        <f t="shared" si="49"/>
        <v>8.988693818607665E-3</v>
      </c>
      <c r="W91" s="1"/>
      <c r="X91" s="1">
        <f t="shared" si="50"/>
        <v>-1782.1999999999998</v>
      </c>
      <c r="Y91" s="1"/>
      <c r="Z91" s="5">
        <f t="shared" si="51"/>
        <v>-0.32611161939615735</v>
      </c>
    </row>
    <row r="92" spans="1:26" s="24" customFormat="1" hidden="1" outlineLevel="2" x14ac:dyDescent="0.3">
      <c r="A92" s="29"/>
      <c r="B92" s="11" t="str">
        <f>CONCATENATE("          ", "6305", " - ", "FREIGHT OUT")</f>
        <v xml:space="preserve">          6305 - FREIGHT OUT</v>
      </c>
      <c r="C92" s="11"/>
      <c r="D92" s="8">
        <v>10982.69</v>
      </c>
      <c r="E92" s="3"/>
      <c r="F92" s="7">
        <f t="shared" si="44"/>
        <v>3.4776861331813742E-2</v>
      </c>
      <c r="G92" s="3"/>
      <c r="H92" s="8">
        <v>9365</v>
      </c>
      <c r="I92" s="3"/>
      <c r="J92" s="7">
        <f t="shared" si="45"/>
        <v>1.5403315207915972E-2</v>
      </c>
      <c r="K92" s="3"/>
      <c r="L92" s="8">
        <f t="shared" si="46"/>
        <v>1617.6900000000005</v>
      </c>
      <c r="M92" s="3"/>
      <c r="N92" s="7">
        <f t="shared" si="47"/>
        <v>0.17273785371062472</v>
      </c>
      <c r="O92" s="11"/>
      <c r="P92" s="8">
        <v>10982.69</v>
      </c>
      <c r="Q92" s="3"/>
      <c r="R92" s="7">
        <f t="shared" si="48"/>
        <v>3.4776861331813742E-2</v>
      </c>
      <c r="S92" s="3"/>
      <c r="T92" s="8">
        <v>9365</v>
      </c>
      <c r="U92" s="3"/>
      <c r="V92" s="7">
        <f t="shared" si="49"/>
        <v>1.5403315207915972E-2</v>
      </c>
      <c r="W92" s="3"/>
      <c r="X92" s="8">
        <f t="shared" si="50"/>
        <v>1617.6900000000005</v>
      </c>
      <c r="Y92" s="3"/>
      <c r="Z92" s="7">
        <f t="shared" si="51"/>
        <v>0.17273785371062472</v>
      </c>
    </row>
    <row r="93" spans="1:26" s="24" customFormat="1" hidden="1" outlineLevel="2" x14ac:dyDescent="0.3">
      <c r="A93" s="29"/>
      <c r="B93" s="11" t="str">
        <f>CONCATENATE("          ", "6307", " - ", "POSTAGE")</f>
        <v xml:space="preserve">          6307 - POSTAGE</v>
      </c>
      <c r="C93" s="11"/>
      <c r="D93" s="8">
        <v>-7299.89</v>
      </c>
      <c r="E93" s="3"/>
      <c r="F93" s="7">
        <f t="shared" si="44"/>
        <v>-2.3115216970295421E-2</v>
      </c>
      <c r="G93" s="3"/>
      <c r="H93" s="8">
        <v>-3900</v>
      </c>
      <c r="I93" s="3"/>
      <c r="J93" s="7">
        <f t="shared" si="45"/>
        <v>-6.4146213893083066E-3</v>
      </c>
      <c r="K93" s="3"/>
      <c r="L93" s="8">
        <f t="shared" si="46"/>
        <v>-3399.8900000000003</v>
      </c>
      <c r="M93" s="3"/>
      <c r="N93" s="7">
        <f t="shared" si="47"/>
        <v>0.8717666666666668</v>
      </c>
      <c r="O93" s="11"/>
      <c r="P93" s="8">
        <v>-7299.89</v>
      </c>
      <c r="Q93" s="3"/>
      <c r="R93" s="7">
        <f t="shared" si="48"/>
        <v>-2.3115216970295421E-2</v>
      </c>
      <c r="S93" s="3"/>
      <c r="T93" s="8">
        <v>-3900</v>
      </c>
      <c r="U93" s="3"/>
      <c r="V93" s="7">
        <f t="shared" si="49"/>
        <v>-6.4146213893083066E-3</v>
      </c>
      <c r="W93" s="3"/>
      <c r="X93" s="8">
        <f t="shared" si="50"/>
        <v>-3399.8900000000003</v>
      </c>
      <c r="Y93" s="3"/>
      <c r="Z93" s="7">
        <f t="shared" si="51"/>
        <v>0.8717666666666668</v>
      </c>
    </row>
    <row r="94" spans="1:26" s="27" customFormat="1" outlineLevel="1" collapsed="1" x14ac:dyDescent="0.3">
      <c r="A94" s="28"/>
      <c r="B94" s="14" t="str">
        <f>CONCATENATE("     ","General                                           ")</f>
        <v xml:space="preserve">     General                                           </v>
      </c>
      <c r="C94" s="14"/>
      <c r="D94" s="1">
        <f>SUM(OSRRefD22_11x_0)</f>
        <v>778</v>
      </c>
      <c r="E94" s="1"/>
      <c r="F94" s="5">
        <f t="shared" ref="F94:F96" si="52">IF(D$12=0,0,D94/D$12)</f>
        <v>2.4635492867549837E-3</v>
      </c>
      <c r="G94" s="1"/>
      <c r="H94" s="1">
        <f>SUM(OSRRefH22_11x_0)</f>
        <v>355</v>
      </c>
      <c r="I94" s="1"/>
      <c r="J94" s="5">
        <f t="shared" ref="J94:J96" si="53">IF(H$12=0,0,H94/H$12)</f>
        <v>5.8389502389857666E-4</v>
      </c>
      <c r="K94" s="1"/>
      <c r="L94" s="1">
        <f t="shared" ref="L94:L96" si="54">+D94-H94</f>
        <v>423</v>
      </c>
      <c r="M94" s="1"/>
      <c r="N94" s="5">
        <f t="shared" ref="N94:N96" si="55">IF(H94=0,0,L94/H94)</f>
        <v>1.1915492957746479</v>
      </c>
      <c r="O94" s="14"/>
      <c r="P94" s="1">
        <f>SUM(OSRRefP22_11x_0)</f>
        <v>778</v>
      </c>
      <c r="Q94" s="1"/>
      <c r="R94" s="5">
        <f t="shared" ref="R94:R96" si="56">IF(P$12=0,0,P94/P$12)</f>
        <v>2.4635492867549837E-3</v>
      </c>
      <c r="S94" s="1"/>
      <c r="T94" s="1">
        <f>SUM(OSRRefT22_11x_0)</f>
        <v>355</v>
      </c>
      <c r="U94" s="1"/>
      <c r="V94" s="5">
        <f t="shared" ref="V94:V96" si="57">IF(T$12=0,0,T94/T$12)</f>
        <v>5.8389502389857666E-4</v>
      </c>
      <c r="W94" s="1"/>
      <c r="X94" s="1">
        <f t="shared" ref="X94:X96" si="58">+P94-T94</f>
        <v>423</v>
      </c>
      <c r="Y94" s="1"/>
      <c r="Z94" s="5">
        <f t="shared" ref="Z94:Z96" si="59">IF(T94=0,0,X94/T94)</f>
        <v>1.1915492957746479</v>
      </c>
    </row>
    <row r="95" spans="1:26" s="24" customFormat="1" hidden="1" outlineLevel="2" x14ac:dyDescent="0.3">
      <c r="A95" s="29"/>
      <c r="B95" s="11" t="str">
        <f>CONCATENATE("          ", "6276", " - ", "PROPERTY TAX")</f>
        <v xml:space="preserve">          6276 - PROPERTY TAX</v>
      </c>
      <c r="C95" s="11"/>
      <c r="D95" s="8"/>
      <c r="E95" s="3"/>
      <c r="F95" s="7">
        <f t="shared" si="52"/>
        <v>0</v>
      </c>
      <c r="G95" s="3"/>
      <c r="H95" s="8">
        <v>125</v>
      </c>
      <c r="I95" s="3"/>
      <c r="J95" s="7">
        <f t="shared" si="53"/>
        <v>2.0559683940090726E-4</v>
      </c>
      <c r="K95" s="3"/>
      <c r="L95" s="8">
        <f t="shared" si="54"/>
        <v>-125</v>
      </c>
      <c r="M95" s="3"/>
      <c r="N95" s="7">
        <f t="shared" si="55"/>
        <v>-1</v>
      </c>
      <c r="O95" s="11"/>
      <c r="P95" s="8"/>
      <c r="Q95" s="3"/>
      <c r="R95" s="7">
        <f t="shared" si="56"/>
        <v>0</v>
      </c>
      <c r="S95" s="3"/>
      <c r="T95" s="8">
        <v>125</v>
      </c>
      <c r="U95" s="3"/>
      <c r="V95" s="7">
        <f t="shared" si="57"/>
        <v>2.0559683940090726E-4</v>
      </c>
      <c r="W95" s="3"/>
      <c r="X95" s="8">
        <f t="shared" si="58"/>
        <v>-125</v>
      </c>
      <c r="Y95" s="3"/>
      <c r="Z95" s="7">
        <f t="shared" si="59"/>
        <v>-1</v>
      </c>
    </row>
    <row r="96" spans="1:26" s="24" customFormat="1" hidden="1" outlineLevel="2" x14ac:dyDescent="0.3">
      <c r="A96" s="29"/>
      <c r="B96" s="11" t="str">
        <f>CONCATENATE("          ", "6279", " - ", "GENERAL EXPENSE")</f>
        <v xml:space="preserve">          6279 - GENERAL EXPENSE</v>
      </c>
      <c r="C96" s="11"/>
      <c r="D96" s="8">
        <v>778</v>
      </c>
      <c r="E96" s="3"/>
      <c r="F96" s="7">
        <f t="shared" si="52"/>
        <v>2.4635492867549837E-3</v>
      </c>
      <c r="G96" s="3"/>
      <c r="H96" s="8">
        <v>230</v>
      </c>
      <c r="I96" s="3"/>
      <c r="J96" s="7">
        <f t="shared" si="53"/>
        <v>3.7829818449766937E-4</v>
      </c>
      <c r="K96" s="3"/>
      <c r="L96" s="8">
        <f t="shared" si="54"/>
        <v>548</v>
      </c>
      <c r="M96" s="3"/>
      <c r="N96" s="7">
        <f t="shared" si="55"/>
        <v>2.3826086956521739</v>
      </c>
      <c r="O96" s="11"/>
      <c r="P96" s="8">
        <v>778</v>
      </c>
      <c r="Q96" s="3"/>
      <c r="R96" s="7">
        <f t="shared" si="56"/>
        <v>2.4635492867549837E-3</v>
      </c>
      <c r="S96" s="3"/>
      <c r="T96" s="8">
        <v>230</v>
      </c>
      <c r="U96" s="3"/>
      <c r="V96" s="7">
        <f t="shared" si="57"/>
        <v>3.7829818449766937E-4</v>
      </c>
      <c r="W96" s="3"/>
      <c r="X96" s="8">
        <f t="shared" si="58"/>
        <v>548</v>
      </c>
      <c r="Y96" s="3"/>
      <c r="Z96" s="7">
        <f t="shared" si="59"/>
        <v>2.3826086956521739</v>
      </c>
    </row>
    <row r="97" spans="1:26" s="27" customFormat="1" outlineLevel="1" collapsed="1" x14ac:dyDescent="0.3">
      <c r="A97" s="28"/>
      <c r="B97" s="14" t="str">
        <f>CONCATENATE("     ","Insurance                                         ")</f>
        <v xml:space="preserve">     Insurance                                         </v>
      </c>
      <c r="C97" s="14"/>
      <c r="D97" s="1">
        <f>SUM(OSRRefD22_12x_0)</f>
        <v>5494.57</v>
      </c>
      <c r="E97" s="1"/>
      <c r="F97" s="5">
        <f t="shared" ref="F97:F109" si="60">IF(D$12=0,0,D97/D$12)</f>
        <v>1.739864267933847E-2</v>
      </c>
      <c r="G97" s="1"/>
      <c r="H97" s="1">
        <f>SUM(OSRRefH22_12x_0)</f>
        <v>5375</v>
      </c>
      <c r="I97" s="1"/>
      <c r="J97" s="5">
        <f t="shared" ref="J97:J109" si="61">IF(H$12=0,0,H97/H$12)</f>
        <v>8.8406640942390122E-3</v>
      </c>
      <c r="K97" s="1"/>
      <c r="L97" s="1">
        <f t="shared" ref="L97:L109" si="62">+D97-H97</f>
        <v>119.56999999999971</v>
      </c>
      <c r="M97" s="1"/>
      <c r="N97" s="5">
        <f t="shared" ref="N97:N109" si="63">IF(H97=0,0,L97/H97)</f>
        <v>2.2245581395348782E-2</v>
      </c>
      <c r="O97" s="14"/>
      <c r="P97" s="1">
        <f>SUM(OSRRefP22_12x_0)</f>
        <v>5494.57</v>
      </c>
      <c r="Q97" s="1"/>
      <c r="R97" s="5">
        <f t="shared" ref="R97:R109" si="64">IF(P$12=0,0,P97/P$12)</f>
        <v>1.739864267933847E-2</v>
      </c>
      <c r="S97" s="1"/>
      <c r="T97" s="1">
        <f>SUM(OSRRefT22_12x_0)</f>
        <v>5375</v>
      </c>
      <c r="U97" s="1"/>
      <c r="V97" s="5">
        <f t="shared" ref="V97:V109" si="65">IF(T$12=0,0,T97/T$12)</f>
        <v>8.8406640942390122E-3</v>
      </c>
      <c r="W97" s="1"/>
      <c r="X97" s="1">
        <f t="shared" ref="X97:X109" si="66">+P97-T97</f>
        <v>119.56999999999971</v>
      </c>
      <c r="Y97" s="1"/>
      <c r="Z97" s="5">
        <f t="shared" ref="Z97:Z109" si="67">IF(T97=0,0,X97/T97)</f>
        <v>2.2245581395348782E-2</v>
      </c>
    </row>
    <row r="98" spans="1:26" s="24" customFormat="1" hidden="1" outlineLevel="2" x14ac:dyDescent="0.3">
      <c r="A98" s="29"/>
      <c r="B98" s="11" t="str">
        <f>CONCATENATE("          ", "6314", " - ", "LIABILITY INSURANCE")</f>
        <v xml:space="preserve">          6314 - LIABILITY INSURANCE</v>
      </c>
      <c r="C98" s="11"/>
      <c r="D98" s="8">
        <v>5494.57</v>
      </c>
      <c r="E98" s="3"/>
      <c r="F98" s="7">
        <f t="shared" si="60"/>
        <v>1.739864267933847E-2</v>
      </c>
      <c r="G98" s="3"/>
      <c r="H98" s="8">
        <v>5375</v>
      </c>
      <c r="I98" s="3"/>
      <c r="J98" s="7">
        <f t="shared" si="61"/>
        <v>8.8406640942390122E-3</v>
      </c>
      <c r="K98" s="3"/>
      <c r="L98" s="8">
        <f t="shared" si="62"/>
        <v>119.56999999999971</v>
      </c>
      <c r="M98" s="3"/>
      <c r="N98" s="7">
        <f t="shared" si="63"/>
        <v>2.2245581395348782E-2</v>
      </c>
      <c r="O98" s="11"/>
      <c r="P98" s="8">
        <v>5494.57</v>
      </c>
      <c r="Q98" s="3"/>
      <c r="R98" s="7">
        <f t="shared" si="64"/>
        <v>1.739864267933847E-2</v>
      </c>
      <c r="S98" s="3"/>
      <c r="T98" s="8">
        <v>5375</v>
      </c>
      <c r="U98" s="3"/>
      <c r="V98" s="7">
        <f t="shared" si="65"/>
        <v>8.8406640942390122E-3</v>
      </c>
      <c r="W98" s="3"/>
      <c r="X98" s="8">
        <f t="shared" si="66"/>
        <v>119.56999999999971</v>
      </c>
      <c r="Y98" s="3"/>
      <c r="Z98" s="7">
        <f t="shared" si="67"/>
        <v>2.2245581395348782E-2</v>
      </c>
    </row>
    <row r="99" spans="1:26" s="27" customFormat="1" outlineLevel="1" collapsed="1" x14ac:dyDescent="0.3">
      <c r="A99" s="28"/>
      <c r="B99" s="14" t="str">
        <f>CONCATENATE("     ","Inventory Adjustment                              ")</f>
        <v xml:space="preserve">     Inventory Adjustment                              </v>
      </c>
      <c r="C99" s="14"/>
      <c r="D99" s="1">
        <f>SUM(OSRRefD22_13x_0)</f>
        <v>6570</v>
      </c>
      <c r="E99" s="1"/>
      <c r="F99" s="5">
        <f t="shared" si="60"/>
        <v>2.080400875832936E-2</v>
      </c>
      <c r="G99" s="1"/>
      <c r="H99" s="1">
        <f>SUM(OSRRefH22_13x_0)</f>
        <v>6570</v>
      </c>
      <c r="I99" s="1"/>
      <c r="J99" s="5">
        <f t="shared" si="61"/>
        <v>1.0806169878911686E-2</v>
      </c>
      <c r="K99" s="1"/>
      <c r="L99" s="1">
        <f t="shared" si="62"/>
        <v>0</v>
      </c>
      <c r="M99" s="1"/>
      <c r="N99" s="5">
        <f t="shared" si="63"/>
        <v>0</v>
      </c>
      <c r="O99" s="14"/>
      <c r="P99" s="1">
        <f>SUM(OSRRefP22_13x_0)</f>
        <v>6570</v>
      </c>
      <c r="Q99" s="1"/>
      <c r="R99" s="5">
        <f t="shared" si="64"/>
        <v>2.080400875832936E-2</v>
      </c>
      <c r="S99" s="1"/>
      <c r="T99" s="1">
        <f>SUM(OSRRefT22_13x_0)</f>
        <v>6570</v>
      </c>
      <c r="U99" s="1"/>
      <c r="V99" s="5">
        <f t="shared" si="65"/>
        <v>1.0806169878911686E-2</v>
      </c>
      <c r="W99" s="1"/>
      <c r="X99" s="1">
        <f t="shared" si="66"/>
        <v>0</v>
      </c>
      <c r="Y99" s="1"/>
      <c r="Z99" s="5">
        <f t="shared" si="67"/>
        <v>0</v>
      </c>
    </row>
    <row r="100" spans="1:26" s="24" customFormat="1" hidden="1" outlineLevel="2" x14ac:dyDescent="0.3">
      <c r="A100" s="29"/>
      <c r="B100" s="11" t="str">
        <f>CONCATENATE("          ", "6408", " - ", "INVENTORY ADJUSTMENT")</f>
        <v xml:space="preserve">          6408 - INVENTORY ADJUSTMENT</v>
      </c>
      <c r="C100" s="11"/>
      <c r="D100" s="8">
        <v>6570</v>
      </c>
      <c r="E100" s="3"/>
      <c r="F100" s="7">
        <f t="shared" si="60"/>
        <v>2.080400875832936E-2</v>
      </c>
      <c r="G100" s="3"/>
      <c r="H100" s="8">
        <v>6570</v>
      </c>
      <c r="I100" s="3"/>
      <c r="J100" s="7">
        <f t="shared" si="61"/>
        <v>1.0806169878911686E-2</v>
      </c>
      <c r="K100" s="3"/>
      <c r="L100" s="8">
        <f t="shared" si="62"/>
        <v>0</v>
      </c>
      <c r="M100" s="3"/>
      <c r="N100" s="7">
        <f t="shared" si="63"/>
        <v>0</v>
      </c>
      <c r="O100" s="11"/>
      <c r="P100" s="8">
        <v>6570</v>
      </c>
      <c r="Q100" s="3"/>
      <c r="R100" s="7">
        <f t="shared" si="64"/>
        <v>2.080400875832936E-2</v>
      </c>
      <c r="S100" s="3"/>
      <c r="T100" s="8">
        <v>6570</v>
      </c>
      <c r="U100" s="3"/>
      <c r="V100" s="7">
        <f t="shared" si="65"/>
        <v>1.0806169878911686E-2</v>
      </c>
      <c r="W100" s="3"/>
      <c r="X100" s="8">
        <f t="shared" si="66"/>
        <v>0</v>
      </c>
      <c r="Y100" s="3"/>
      <c r="Z100" s="7">
        <f t="shared" si="67"/>
        <v>0</v>
      </c>
    </row>
    <row r="101" spans="1:26" s="27" customFormat="1" outlineLevel="1" collapsed="1" x14ac:dyDescent="0.3">
      <c r="A101" s="28"/>
      <c r="B101" s="14" t="str">
        <f>CONCATENATE("     ","Professional Services                             ")</f>
        <v xml:space="preserve">     Professional Services                             </v>
      </c>
      <c r="C101" s="14"/>
      <c r="D101" s="1">
        <f>SUM(OSRRefD22_14x_0)</f>
        <v>0</v>
      </c>
      <c r="E101" s="1"/>
      <c r="F101" s="5">
        <f t="shared" si="60"/>
        <v>0</v>
      </c>
      <c r="G101" s="1"/>
      <c r="H101" s="1">
        <f>SUM(OSRRefH22_14x_0)</f>
        <v>1000</v>
      </c>
      <c r="I101" s="1"/>
      <c r="J101" s="5">
        <f t="shared" si="61"/>
        <v>1.6447747152072581E-3</v>
      </c>
      <c r="K101" s="1"/>
      <c r="L101" s="1">
        <f t="shared" si="62"/>
        <v>-1000</v>
      </c>
      <c r="M101" s="1"/>
      <c r="N101" s="5">
        <f t="shared" si="63"/>
        <v>-1</v>
      </c>
      <c r="O101" s="14"/>
      <c r="P101" s="1">
        <f>SUM(OSRRefP22_14x_0)</f>
        <v>0</v>
      </c>
      <c r="Q101" s="1"/>
      <c r="R101" s="5">
        <f t="shared" si="64"/>
        <v>0</v>
      </c>
      <c r="S101" s="1"/>
      <c r="T101" s="1">
        <f>SUM(OSRRefT22_14x_0)</f>
        <v>1000</v>
      </c>
      <c r="U101" s="1"/>
      <c r="V101" s="5">
        <f t="shared" si="65"/>
        <v>1.6447747152072581E-3</v>
      </c>
      <c r="W101" s="1"/>
      <c r="X101" s="1">
        <f t="shared" si="66"/>
        <v>-1000</v>
      </c>
      <c r="Y101" s="1"/>
      <c r="Z101" s="5">
        <f t="shared" si="67"/>
        <v>-1</v>
      </c>
    </row>
    <row r="102" spans="1:26" s="24" customFormat="1" hidden="1" outlineLevel="2" x14ac:dyDescent="0.3">
      <c r="A102" s="29"/>
      <c r="B102" s="11" t="str">
        <f>CONCATENATE("          ", "6336", " - ", "PROFESSIONAL SERVICES")</f>
        <v xml:space="preserve">          6336 - PROFESSIONAL SERVICES</v>
      </c>
      <c r="C102" s="11"/>
      <c r="D102" s="8"/>
      <c r="E102" s="3"/>
      <c r="F102" s="7">
        <f t="shared" si="60"/>
        <v>0</v>
      </c>
      <c r="G102" s="3"/>
      <c r="H102" s="8">
        <v>1000</v>
      </c>
      <c r="I102" s="3"/>
      <c r="J102" s="7">
        <f t="shared" si="61"/>
        <v>1.6447747152072581E-3</v>
      </c>
      <c r="K102" s="3"/>
      <c r="L102" s="8">
        <f t="shared" si="62"/>
        <v>-1000</v>
      </c>
      <c r="M102" s="3"/>
      <c r="N102" s="7">
        <f t="shared" si="63"/>
        <v>-1</v>
      </c>
      <c r="O102" s="11"/>
      <c r="P102" s="8"/>
      <c r="Q102" s="3"/>
      <c r="R102" s="7">
        <f t="shared" si="64"/>
        <v>0</v>
      </c>
      <c r="S102" s="3"/>
      <c r="T102" s="8">
        <v>1000</v>
      </c>
      <c r="U102" s="3"/>
      <c r="V102" s="7">
        <f t="shared" si="65"/>
        <v>1.6447747152072581E-3</v>
      </c>
      <c r="W102" s="3"/>
      <c r="X102" s="8">
        <f t="shared" si="66"/>
        <v>-1000</v>
      </c>
      <c r="Y102" s="3"/>
      <c r="Z102" s="7">
        <f t="shared" si="67"/>
        <v>-1</v>
      </c>
    </row>
    <row r="103" spans="1:26" s="27" customFormat="1" outlineLevel="1" collapsed="1" x14ac:dyDescent="0.3">
      <c r="A103" s="28"/>
      <c r="B103" s="14" t="str">
        <f>CONCATENATE("     ","Rent                                              ")</f>
        <v xml:space="preserve">     Rent                                              </v>
      </c>
      <c r="C103" s="14"/>
      <c r="D103" s="1">
        <f>SUM(OSRRefD22_15x_0)</f>
        <v>6100</v>
      </c>
      <c r="E103" s="1"/>
      <c r="F103" s="5">
        <f t="shared" si="60"/>
        <v>1.9315746335739587E-2</v>
      </c>
      <c r="G103" s="1"/>
      <c r="H103" s="1">
        <f>SUM(OSRRefH22_15x_0)</f>
        <v>6100</v>
      </c>
      <c r="I103" s="1"/>
      <c r="J103" s="5">
        <f t="shared" si="61"/>
        <v>1.0033125762764274E-2</v>
      </c>
      <c r="K103" s="1"/>
      <c r="L103" s="1">
        <f t="shared" si="62"/>
        <v>0</v>
      </c>
      <c r="M103" s="1"/>
      <c r="N103" s="5">
        <f t="shared" si="63"/>
        <v>0</v>
      </c>
      <c r="O103" s="14"/>
      <c r="P103" s="1">
        <f>SUM(OSRRefP22_15x_0)</f>
        <v>6100</v>
      </c>
      <c r="Q103" s="1"/>
      <c r="R103" s="5">
        <f t="shared" si="64"/>
        <v>1.9315746335739587E-2</v>
      </c>
      <c r="S103" s="1"/>
      <c r="T103" s="1">
        <f>SUM(OSRRefT22_15x_0)</f>
        <v>6100</v>
      </c>
      <c r="U103" s="1"/>
      <c r="V103" s="5">
        <f t="shared" si="65"/>
        <v>1.0033125762764274E-2</v>
      </c>
      <c r="W103" s="1"/>
      <c r="X103" s="1">
        <f t="shared" si="66"/>
        <v>0</v>
      </c>
      <c r="Y103" s="1"/>
      <c r="Z103" s="5">
        <f t="shared" si="67"/>
        <v>0</v>
      </c>
    </row>
    <row r="104" spans="1:26" s="24" customFormat="1" hidden="1" outlineLevel="2" x14ac:dyDescent="0.3">
      <c r="A104" s="29"/>
      <c r="B104" s="11" t="str">
        <f>CONCATENATE("          ", "6273", " - ", "RENT")</f>
        <v xml:space="preserve">          6273 - RENT</v>
      </c>
      <c r="C104" s="11"/>
      <c r="D104" s="8">
        <v>6100</v>
      </c>
      <c r="E104" s="3"/>
      <c r="F104" s="7">
        <f t="shared" si="60"/>
        <v>1.9315746335739587E-2</v>
      </c>
      <c r="G104" s="3"/>
      <c r="H104" s="8">
        <v>6100</v>
      </c>
      <c r="I104" s="3"/>
      <c r="J104" s="7">
        <f t="shared" si="61"/>
        <v>1.0033125762764274E-2</v>
      </c>
      <c r="K104" s="3"/>
      <c r="L104" s="8">
        <f t="shared" si="62"/>
        <v>0</v>
      </c>
      <c r="M104" s="3"/>
      <c r="N104" s="7">
        <f t="shared" si="63"/>
        <v>0</v>
      </c>
      <c r="O104" s="11"/>
      <c r="P104" s="8">
        <v>6100</v>
      </c>
      <c r="Q104" s="3"/>
      <c r="R104" s="7">
        <f t="shared" si="64"/>
        <v>1.9315746335739587E-2</v>
      </c>
      <c r="S104" s="3"/>
      <c r="T104" s="8">
        <v>6100</v>
      </c>
      <c r="U104" s="3"/>
      <c r="V104" s="7">
        <f t="shared" si="65"/>
        <v>1.0033125762764274E-2</v>
      </c>
      <c r="W104" s="3"/>
      <c r="X104" s="8">
        <f t="shared" si="66"/>
        <v>0</v>
      </c>
      <c r="Y104" s="3"/>
      <c r="Z104" s="7">
        <f t="shared" si="67"/>
        <v>0</v>
      </c>
    </row>
    <row r="105" spans="1:26" s="27" customFormat="1" outlineLevel="1" collapsed="1" x14ac:dyDescent="0.3">
      <c r="A105" s="28"/>
      <c r="B105" s="14" t="str">
        <f>CONCATENATE("     ","Repair and Maintenance                            ")</f>
        <v xml:space="preserve">     Repair and Maintenance                            </v>
      </c>
      <c r="C105" s="14"/>
      <c r="D105" s="1">
        <f>SUM(OSRRefD22_16x_0)</f>
        <v>64762.729999999996</v>
      </c>
      <c r="E105" s="1"/>
      <c r="F105" s="5">
        <f t="shared" si="60"/>
        <v>0.20507220732622825</v>
      </c>
      <c r="G105" s="1"/>
      <c r="H105" s="1">
        <f>SUM(OSRRefH22_16x_0)</f>
        <v>46765</v>
      </c>
      <c r="I105" s="1"/>
      <c r="J105" s="5">
        <f t="shared" si="61"/>
        <v>7.6917889556667424E-2</v>
      </c>
      <c r="K105" s="1"/>
      <c r="L105" s="1">
        <f t="shared" si="62"/>
        <v>17997.729999999996</v>
      </c>
      <c r="M105" s="1"/>
      <c r="N105" s="5">
        <f t="shared" si="63"/>
        <v>0.38485469902705005</v>
      </c>
      <c r="O105" s="14"/>
      <c r="P105" s="1">
        <f>SUM(OSRRefP22_16x_0)</f>
        <v>64762.729999999996</v>
      </c>
      <c r="Q105" s="1"/>
      <c r="R105" s="5">
        <f t="shared" si="64"/>
        <v>0.20507220732622825</v>
      </c>
      <c r="S105" s="1"/>
      <c r="T105" s="1">
        <f>SUM(OSRRefT22_16x_0)</f>
        <v>46765</v>
      </c>
      <c r="U105" s="1"/>
      <c r="V105" s="5">
        <f t="shared" si="65"/>
        <v>7.6917889556667424E-2</v>
      </c>
      <c r="W105" s="1"/>
      <c r="X105" s="1">
        <f t="shared" si="66"/>
        <v>17997.729999999996</v>
      </c>
      <c r="Y105" s="1"/>
      <c r="Z105" s="5">
        <f t="shared" si="67"/>
        <v>0.38485469902705005</v>
      </c>
    </row>
    <row r="106" spans="1:26" s="24" customFormat="1" hidden="1" outlineLevel="2" x14ac:dyDescent="0.3">
      <c r="A106" s="29"/>
      <c r="B106" s="11" t="str">
        <f>CONCATENATE("          ", "6371", " - ", "COMPUTER SOFTWARE MAINTENANCE")</f>
        <v xml:space="preserve">          6371 - COMPUTER SOFTWARE MAINTENANCE</v>
      </c>
      <c r="C106" s="11"/>
      <c r="D106" s="8">
        <v>59623.5</v>
      </c>
      <c r="E106" s="3"/>
      <c r="F106" s="7">
        <f t="shared" si="60"/>
        <v>0.18879875436868351</v>
      </c>
      <c r="G106" s="3"/>
      <c r="H106" s="8">
        <v>40000</v>
      </c>
      <c r="I106" s="3"/>
      <c r="J106" s="7">
        <f t="shared" si="61"/>
        <v>6.5790988608290316E-2</v>
      </c>
      <c r="K106" s="3"/>
      <c r="L106" s="8">
        <f t="shared" si="62"/>
        <v>19623.5</v>
      </c>
      <c r="M106" s="3"/>
      <c r="N106" s="7">
        <f t="shared" si="63"/>
        <v>0.49058750000000001</v>
      </c>
      <c r="O106" s="11"/>
      <c r="P106" s="8">
        <v>59623.5</v>
      </c>
      <c r="Q106" s="3"/>
      <c r="R106" s="7">
        <f t="shared" si="64"/>
        <v>0.18879875436868351</v>
      </c>
      <c r="S106" s="3"/>
      <c r="T106" s="8">
        <v>40000</v>
      </c>
      <c r="U106" s="3"/>
      <c r="V106" s="7">
        <f t="shared" si="65"/>
        <v>6.5790988608290316E-2</v>
      </c>
      <c r="W106" s="3"/>
      <c r="X106" s="8">
        <f t="shared" si="66"/>
        <v>19623.5</v>
      </c>
      <c r="Y106" s="3"/>
      <c r="Z106" s="7">
        <f t="shared" si="67"/>
        <v>0.49058750000000001</v>
      </c>
    </row>
    <row r="107" spans="1:26" s="24" customFormat="1" hidden="1" outlineLevel="2" x14ac:dyDescent="0.3">
      <c r="A107" s="29"/>
      <c r="B107" s="11" t="str">
        <f>CONCATENATE("          ", "6372", " - ", "COMPUTER HARDWARE MAINTENANCE")</f>
        <v xml:space="preserve">          6372 - COMPUTER HARDWARE MAINTENANCE</v>
      </c>
      <c r="C107" s="11"/>
      <c r="D107" s="8"/>
      <c r="E107" s="3"/>
      <c r="F107" s="7">
        <f t="shared" si="60"/>
        <v>0</v>
      </c>
      <c r="G107" s="3"/>
      <c r="H107" s="8">
        <v>370</v>
      </c>
      <c r="I107" s="3"/>
      <c r="J107" s="7">
        <f t="shared" si="61"/>
        <v>6.0856664462668553E-4</v>
      </c>
      <c r="K107" s="3"/>
      <c r="L107" s="8">
        <f t="shared" si="62"/>
        <v>-370</v>
      </c>
      <c r="M107" s="3"/>
      <c r="N107" s="7">
        <f t="shared" si="63"/>
        <v>-1</v>
      </c>
      <c r="O107" s="11"/>
      <c r="P107" s="8"/>
      <c r="Q107" s="3"/>
      <c r="R107" s="7">
        <f t="shared" si="64"/>
        <v>0</v>
      </c>
      <c r="S107" s="3"/>
      <c r="T107" s="8">
        <v>370</v>
      </c>
      <c r="U107" s="3"/>
      <c r="V107" s="7">
        <f t="shared" si="65"/>
        <v>6.0856664462668553E-4</v>
      </c>
      <c r="W107" s="3"/>
      <c r="X107" s="8">
        <f t="shared" si="66"/>
        <v>-370</v>
      </c>
      <c r="Y107" s="3"/>
      <c r="Z107" s="7">
        <f t="shared" si="67"/>
        <v>-1</v>
      </c>
    </row>
    <row r="108" spans="1:26" s="24" customFormat="1" hidden="1" outlineLevel="2" x14ac:dyDescent="0.3">
      <c r="A108" s="29"/>
      <c r="B108" s="11" t="str">
        <f>CONCATENATE("          ", "6373", " - ", "MAINTENANCE CONTRACTS")</f>
        <v xml:space="preserve">          6373 - MAINTENANCE CONTRACTS</v>
      </c>
      <c r="C108" s="11"/>
      <c r="D108" s="8">
        <v>654.63</v>
      </c>
      <c r="E108" s="3"/>
      <c r="F108" s="7">
        <f t="shared" si="60"/>
        <v>2.0728962334041322E-3</v>
      </c>
      <c r="G108" s="3"/>
      <c r="H108" s="8">
        <v>6355</v>
      </c>
      <c r="I108" s="3"/>
      <c r="J108" s="7">
        <f t="shared" si="61"/>
        <v>1.0452543315142126E-2</v>
      </c>
      <c r="K108" s="3"/>
      <c r="L108" s="8">
        <f t="shared" si="62"/>
        <v>-5700.37</v>
      </c>
      <c r="M108" s="3"/>
      <c r="N108" s="7">
        <f t="shared" si="63"/>
        <v>-0.89698977183320217</v>
      </c>
      <c r="O108" s="11"/>
      <c r="P108" s="8">
        <v>654.63</v>
      </c>
      <c r="Q108" s="3"/>
      <c r="R108" s="7">
        <f t="shared" si="64"/>
        <v>2.0728962334041322E-3</v>
      </c>
      <c r="S108" s="3"/>
      <c r="T108" s="8">
        <v>6355</v>
      </c>
      <c r="U108" s="3"/>
      <c r="V108" s="7">
        <f t="shared" si="65"/>
        <v>1.0452543315142126E-2</v>
      </c>
      <c r="W108" s="3"/>
      <c r="X108" s="8">
        <f t="shared" si="66"/>
        <v>-5700.37</v>
      </c>
      <c r="Y108" s="3"/>
      <c r="Z108" s="7">
        <f t="shared" si="67"/>
        <v>-0.89698977183320217</v>
      </c>
    </row>
    <row r="109" spans="1:26" s="24" customFormat="1" hidden="1" outlineLevel="2" x14ac:dyDescent="0.3">
      <c r="A109" s="29"/>
      <c r="B109" s="11" t="str">
        <f>CONCATENATE("          ", "6375", " - ", "OUTSIDE REPAIRS &amp; MAINTENANCE")</f>
        <v xml:space="preserve">          6375 - OUTSIDE REPAIRS &amp; MAINTENANCE</v>
      </c>
      <c r="C109" s="11"/>
      <c r="D109" s="8">
        <v>4484.6000000000004</v>
      </c>
      <c r="E109" s="3"/>
      <c r="F109" s="7">
        <f t="shared" si="60"/>
        <v>1.4200556724140617E-2</v>
      </c>
      <c r="G109" s="3"/>
      <c r="H109" s="8">
        <v>40</v>
      </c>
      <c r="I109" s="3"/>
      <c r="J109" s="7">
        <f t="shared" si="61"/>
        <v>6.5790988608290329E-5</v>
      </c>
      <c r="K109" s="3"/>
      <c r="L109" s="8">
        <f t="shared" si="62"/>
        <v>4444.6000000000004</v>
      </c>
      <c r="M109" s="3"/>
      <c r="N109" s="7">
        <f t="shared" si="63"/>
        <v>111.11500000000001</v>
      </c>
      <c r="O109" s="11"/>
      <c r="P109" s="8">
        <v>4484.6000000000004</v>
      </c>
      <c r="Q109" s="3"/>
      <c r="R109" s="7">
        <f t="shared" si="64"/>
        <v>1.4200556724140617E-2</v>
      </c>
      <c r="S109" s="3"/>
      <c r="T109" s="8">
        <v>40</v>
      </c>
      <c r="U109" s="3"/>
      <c r="V109" s="7">
        <f t="shared" si="65"/>
        <v>6.5790988608290329E-5</v>
      </c>
      <c r="W109" s="3"/>
      <c r="X109" s="8">
        <f t="shared" si="66"/>
        <v>4444.6000000000004</v>
      </c>
      <c r="Y109" s="3"/>
      <c r="Z109" s="7">
        <f t="shared" si="67"/>
        <v>111.11500000000001</v>
      </c>
    </row>
    <row r="110" spans="1:26" s="27" customFormat="1" outlineLevel="1" collapsed="1" x14ac:dyDescent="0.3">
      <c r="A110" s="28"/>
      <c r="B110" s="14" t="str">
        <f>CONCATENATE("     ","Royalty &amp; Commissions                             ")</f>
        <v xml:space="preserve">     Royalty &amp; Commissions                             </v>
      </c>
      <c r="C110" s="14"/>
      <c r="D110" s="1">
        <f>SUM(OSRRefD22_17x_0)</f>
        <v>7355.1000000000013</v>
      </c>
      <c r="E110" s="1"/>
      <c r="F110" s="5">
        <f t="shared" ref="F110:F114" si="68">IF(D$12=0,0,D110/D$12)</f>
        <v>2.3290040307212833E-2</v>
      </c>
      <c r="G110" s="1"/>
      <c r="H110" s="1">
        <f>SUM(OSRRefH22_17x_0)</f>
        <v>12514</v>
      </c>
      <c r="I110" s="1"/>
      <c r="J110" s="5">
        <f t="shared" ref="J110:J114" si="69">IF(H$12=0,0,H110/H$12)</f>
        <v>2.0582710786103627E-2</v>
      </c>
      <c r="K110" s="1"/>
      <c r="L110" s="1">
        <f t="shared" ref="L110:L114" si="70">+D110-H110</f>
        <v>-5158.8999999999987</v>
      </c>
      <c r="M110" s="1"/>
      <c r="N110" s="5">
        <f t="shared" ref="N110:N114" si="71">IF(H110=0,0,L110/H110)</f>
        <v>-0.41225027968675076</v>
      </c>
      <c r="O110" s="14"/>
      <c r="P110" s="1">
        <f>SUM(OSRRefP22_17x_0)</f>
        <v>7355.1000000000013</v>
      </c>
      <c r="Q110" s="1"/>
      <c r="R110" s="5">
        <f t="shared" ref="R110:R114" si="72">IF(P$12=0,0,P110/P$12)</f>
        <v>2.3290040307212833E-2</v>
      </c>
      <c r="S110" s="1"/>
      <c r="T110" s="1">
        <f>SUM(OSRRefT22_17x_0)</f>
        <v>12514</v>
      </c>
      <c r="U110" s="1"/>
      <c r="V110" s="5">
        <f t="shared" ref="V110:V114" si="73">IF(T$12=0,0,T110/T$12)</f>
        <v>2.0582710786103627E-2</v>
      </c>
      <c r="W110" s="1"/>
      <c r="X110" s="1">
        <f t="shared" ref="X110:X114" si="74">+P110-T110</f>
        <v>-5158.8999999999987</v>
      </c>
      <c r="Y110" s="1"/>
      <c r="Z110" s="5">
        <f t="shared" ref="Z110:Z114" si="75">IF(T110=0,0,X110/T110)</f>
        <v>-0.41225027968675076</v>
      </c>
    </row>
    <row r="111" spans="1:26" s="24" customFormat="1" hidden="1" outlineLevel="2" x14ac:dyDescent="0.3">
      <c r="A111" s="29"/>
      <c r="B111" s="11" t="str">
        <f>CONCATENATE("          ", "6252", " - ", "ROYALTY DUE CSTV")</f>
        <v xml:space="preserve">          6252 - ROYALTY DUE CSTV</v>
      </c>
      <c r="C111" s="11"/>
      <c r="D111" s="8"/>
      <c r="E111" s="3"/>
      <c r="F111" s="7">
        <f t="shared" si="68"/>
        <v>0</v>
      </c>
      <c r="G111" s="3"/>
      <c r="H111" s="8">
        <v>842</v>
      </c>
      <c r="I111" s="3"/>
      <c r="J111" s="7">
        <f t="shared" si="69"/>
        <v>1.3849003102045113E-3</v>
      </c>
      <c r="K111" s="3"/>
      <c r="L111" s="8">
        <f t="shared" si="70"/>
        <v>-842</v>
      </c>
      <c r="M111" s="3"/>
      <c r="N111" s="7">
        <f t="shared" si="71"/>
        <v>-1</v>
      </c>
      <c r="O111" s="11"/>
      <c r="P111" s="8"/>
      <c r="Q111" s="3"/>
      <c r="R111" s="7">
        <f t="shared" si="72"/>
        <v>0</v>
      </c>
      <c r="S111" s="3"/>
      <c r="T111" s="8">
        <v>842</v>
      </c>
      <c r="U111" s="3"/>
      <c r="V111" s="7">
        <f t="shared" si="73"/>
        <v>1.3849003102045113E-3</v>
      </c>
      <c r="W111" s="3"/>
      <c r="X111" s="8">
        <f t="shared" si="74"/>
        <v>-842</v>
      </c>
      <c r="Y111" s="3"/>
      <c r="Z111" s="7">
        <f t="shared" si="75"/>
        <v>-1</v>
      </c>
    </row>
    <row r="112" spans="1:26" s="24" customFormat="1" hidden="1" outlineLevel="2" x14ac:dyDescent="0.3">
      <c r="A112" s="29"/>
      <c r="B112" s="11" t="str">
        <f>CONCATENATE("          ", "6253", " - ", "ROYALTY DUE ATHLETICS-LRG")</f>
        <v xml:space="preserve">          6253 - ROYALTY DUE ATHLETICS-LRG</v>
      </c>
      <c r="C112" s="11"/>
      <c r="D112" s="8">
        <v>14376.54</v>
      </c>
      <c r="E112" s="3"/>
      <c r="F112" s="7">
        <f t="shared" si="68"/>
        <v>4.5523540955018628E-2</v>
      </c>
      <c r="G112" s="3"/>
      <c r="H112" s="8">
        <v>5672</v>
      </c>
      <c r="I112" s="3"/>
      <c r="J112" s="7">
        <f t="shared" si="69"/>
        <v>9.3291621846555671E-3</v>
      </c>
      <c r="K112" s="3"/>
      <c r="L112" s="8">
        <f t="shared" si="70"/>
        <v>8704.5400000000009</v>
      </c>
      <c r="M112" s="3"/>
      <c r="N112" s="7">
        <f t="shared" si="71"/>
        <v>1.5346509167842033</v>
      </c>
      <c r="O112" s="11"/>
      <c r="P112" s="8">
        <v>14376.54</v>
      </c>
      <c r="Q112" s="3"/>
      <c r="R112" s="7">
        <f t="shared" si="72"/>
        <v>4.5523540955018628E-2</v>
      </c>
      <c r="S112" s="3"/>
      <c r="T112" s="8">
        <v>5672</v>
      </c>
      <c r="U112" s="3"/>
      <c r="V112" s="7">
        <f t="shared" si="73"/>
        <v>9.3291621846555671E-3</v>
      </c>
      <c r="W112" s="3"/>
      <c r="X112" s="8">
        <f t="shared" si="74"/>
        <v>8704.5400000000009</v>
      </c>
      <c r="Y112" s="3"/>
      <c r="Z112" s="7">
        <f t="shared" si="75"/>
        <v>1.5346509167842033</v>
      </c>
    </row>
    <row r="113" spans="1:26" s="24" customFormat="1" hidden="1" outlineLevel="2" x14ac:dyDescent="0.3">
      <c r="A113" s="29"/>
      <c r="B113" s="11" t="str">
        <f>CONCATENATE("          ", "6254", " - ", "ROYALTY &amp; COMMISSIONS")</f>
        <v xml:space="preserve">          6254 - ROYALTY &amp; COMMISSIONS</v>
      </c>
      <c r="C113" s="11"/>
      <c r="D113" s="8">
        <v>-7027.5</v>
      </c>
      <c r="E113" s="3"/>
      <c r="F113" s="7">
        <f t="shared" si="68"/>
        <v>-2.2252689733509828E-2</v>
      </c>
      <c r="G113" s="3"/>
      <c r="H113" s="8">
        <v>0</v>
      </c>
      <c r="I113" s="3"/>
      <c r="J113" s="7">
        <f t="shared" si="69"/>
        <v>0</v>
      </c>
      <c r="K113" s="3"/>
      <c r="L113" s="8">
        <f t="shared" si="70"/>
        <v>-7027.5</v>
      </c>
      <c r="M113" s="3"/>
      <c r="N113" s="7">
        <f t="shared" si="71"/>
        <v>0</v>
      </c>
      <c r="O113" s="11"/>
      <c r="P113" s="8">
        <v>-7027.5</v>
      </c>
      <c r="Q113" s="3"/>
      <c r="R113" s="7">
        <f t="shared" si="72"/>
        <v>-2.2252689733509828E-2</v>
      </c>
      <c r="S113" s="3"/>
      <c r="T113" s="8">
        <v>0</v>
      </c>
      <c r="U113" s="3"/>
      <c r="V113" s="7">
        <f t="shared" si="73"/>
        <v>0</v>
      </c>
      <c r="W113" s="3"/>
      <c r="X113" s="8">
        <f t="shared" si="74"/>
        <v>-7027.5</v>
      </c>
      <c r="Y113" s="3"/>
      <c r="Z113" s="7">
        <f t="shared" si="75"/>
        <v>0</v>
      </c>
    </row>
    <row r="114" spans="1:26" s="24" customFormat="1" hidden="1" outlineLevel="2" x14ac:dyDescent="0.3">
      <c r="A114" s="29"/>
      <c r="B114" s="11" t="str">
        <f>CONCATENATE("          ", "6259", " - ", "ROYALTY &amp; COMMISSIONS")</f>
        <v xml:space="preserve">          6259 - ROYALTY &amp; COMMISSIONS</v>
      </c>
      <c r="C114" s="11"/>
      <c r="D114" s="8">
        <v>6.06</v>
      </c>
      <c r="E114" s="3"/>
      <c r="F114" s="7">
        <f t="shared" si="68"/>
        <v>1.9189085704029819E-5</v>
      </c>
      <c r="G114" s="3"/>
      <c r="H114" s="8">
        <v>6000</v>
      </c>
      <c r="I114" s="3"/>
      <c r="J114" s="7">
        <f t="shared" si="69"/>
        <v>9.8686482912435491E-3</v>
      </c>
      <c r="K114" s="3"/>
      <c r="L114" s="8">
        <f t="shared" si="70"/>
        <v>-5993.94</v>
      </c>
      <c r="M114" s="3"/>
      <c r="N114" s="7">
        <f t="shared" si="71"/>
        <v>-0.99898999999999993</v>
      </c>
      <c r="O114" s="11"/>
      <c r="P114" s="8">
        <v>6.06</v>
      </c>
      <c r="Q114" s="3"/>
      <c r="R114" s="7">
        <f t="shared" si="72"/>
        <v>1.9189085704029819E-5</v>
      </c>
      <c r="S114" s="3"/>
      <c r="T114" s="8">
        <v>6000</v>
      </c>
      <c r="U114" s="3"/>
      <c r="V114" s="7">
        <f t="shared" si="73"/>
        <v>9.8686482912435491E-3</v>
      </c>
      <c r="W114" s="3"/>
      <c r="X114" s="8">
        <f t="shared" si="74"/>
        <v>-5993.94</v>
      </c>
      <c r="Y114" s="3"/>
      <c r="Z114" s="7">
        <f t="shared" si="75"/>
        <v>-0.99898999999999993</v>
      </c>
    </row>
    <row r="115" spans="1:26" s="27" customFormat="1" outlineLevel="1" collapsed="1" x14ac:dyDescent="0.3">
      <c r="A115" s="28"/>
      <c r="B115" s="14" t="str">
        <f>CONCATENATE("     ","Services                                          ")</f>
        <v xml:space="preserve">     Services                                          </v>
      </c>
      <c r="C115" s="14"/>
      <c r="D115" s="1">
        <f>SUM(OSRRefD22_18x_0)</f>
        <v>4006.32</v>
      </c>
      <c r="E115" s="1"/>
      <c r="F115" s="5">
        <f t="shared" ref="F115:F118" si="76">IF(D$12=0,0,D115/D$12)</f>
        <v>1.2686075550786923E-2</v>
      </c>
      <c r="G115" s="1"/>
      <c r="H115" s="1">
        <f>SUM(OSRRefH22_18x_0)</f>
        <v>4360</v>
      </c>
      <c r="I115" s="1"/>
      <c r="J115" s="5">
        <f t="shared" ref="J115:J118" si="77">IF(H$12=0,0,H115/H$12)</f>
        <v>7.1712177583036453E-3</v>
      </c>
      <c r="K115" s="1"/>
      <c r="L115" s="1">
        <f t="shared" ref="L115:L118" si="78">+D115-H115</f>
        <v>-353.67999999999984</v>
      </c>
      <c r="M115" s="1"/>
      <c r="N115" s="5">
        <f t="shared" ref="N115:N118" si="79">IF(H115=0,0,L115/H115)</f>
        <v>-8.1119266055045838E-2</v>
      </c>
      <c r="O115" s="14"/>
      <c r="P115" s="1">
        <f>SUM(OSRRefP22_18x_0)</f>
        <v>4006.32</v>
      </c>
      <c r="Q115" s="1"/>
      <c r="R115" s="5">
        <f t="shared" ref="R115:R118" si="80">IF(P$12=0,0,P115/P$12)</f>
        <v>1.2686075550786923E-2</v>
      </c>
      <c r="S115" s="1"/>
      <c r="T115" s="1">
        <f>SUM(OSRRefT22_18x_0)</f>
        <v>4360</v>
      </c>
      <c r="U115" s="1"/>
      <c r="V115" s="5">
        <f t="shared" ref="V115:V118" si="81">IF(T$12=0,0,T115/T$12)</f>
        <v>7.1712177583036453E-3</v>
      </c>
      <c r="W115" s="1"/>
      <c r="X115" s="1">
        <f t="shared" ref="X115:X118" si="82">+P115-T115</f>
        <v>-353.67999999999984</v>
      </c>
      <c r="Y115" s="1"/>
      <c r="Z115" s="5">
        <f t="shared" ref="Z115:Z118" si="83">IF(T115=0,0,X115/T115)</f>
        <v>-8.1119266055045838E-2</v>
      </c>
    </row>
    <row r="116" spans="1:26" s="24" customFormat="1" hidden="1" outlineLevel="2" x14ac:dyDescent="0.3">
      <c r="A116" s="29"/>
      <c r="B116" s="11" t="str">
        <f>CONCATENATE("          ", "6282", " - ", "JANITORIAL/EXTERMINATOR EXPENS")</f>
        <v xml:space="preserve">          6282 - JANITORIAL/EXTERMINATOR EXPENS</v>
      </c>
      <c r="C116" s="11"/>
      <c r="D116" s="8"/>
      <c r="E116" s="3"/>
      <c r="F116" s="7">
        <f t="shared" si="76"/>
        <v>0</v>
      </c>
      <c r="G116" s="3"/>
      <c r="H116" s="8">
        <v>4300</v>
      </c>
      <c r="I116" s="3"/>
      <c r="J116" s="7">
        <f t="shared" si="77"/>
        <v>7.0725312753912098E-3</v>
      </c>
      <c r="K116" s="3"/>
      <c r="L116" s="8">
        <f t="shared" si="78"/>
        <v>-4300</v>
      </c>
      <c r="M116" s="3"/>
      <c r="N116" s="7">
        <f t="shared" si="79"/>
        <v>-1</v>
      </c>
      <c r="O116" s="11"/>
      <c r="P116" s="8"/>
      <c r="Q116" s="3"/>
      <c r="R116" s="7">
        <f t="shared" si="80"/>
        <v>0</v>
      </c>
      <c r="S116" s="3"/>
      <c r="T116" s="8">
        <v>4300</v>
      </c>
      <c r="U116" s="3"/>
      <c r="V116" s="7">
        <f t="shared" si="81"/>
        <v>7.0725312753912098E-3</v>
      </c>
      <c r="W116" s="3"/>
      <c r="X116" s="8">
        <f t="shared" si="82"/>
        <v>-4300</v>
      </c>
      <c r="Y116" s="3"/>
      <c r="Z116" s="7">
        <f t="shared" si="83"/>
        <v>-1</v>
      </c>
    </row>
    <row r="117" spans="1:26" s="24" customFormat="1" hidden="1" outlineLevel="2" x14ac:dyDescent="0.3">
      <c r="A117" s="29"/>
      <c r="B117" s="11" t="str">
        <f>CONCATENATE("          ", "6284", " - ", "TRASH REMOVAL EXPENSE")</f>
        <v xml:space="preserve">          6284 - TRASH REMOVAL EXPENSE</v>
      </c>
      <c r="C117" s="11"/>
      <c r="D117" s="8">
        <v>142.57</v>
      </c>
      <c r="E117" s="3"/>
      <c r="F117" s="7">
        <f t="shared" si="76"/>
        <v>4.5145015657153985E-4</v>
      </c>
      <c r="G117" s="3"/>
      <c r="H117" s="8">
        <v>60</v>
      </c>
      <c r="I117" s="3"/>
      <c r="J117" s="7">
        <f t="shared" si="77"/>
        <v>9.8686482912435487E-5</v>
      </c>
      <c r="K117" s="3"/>
      <c r="L117" s="8">
        <f t="shared" si="78"/>
        <v>82.57</v>
      </c>
      <c r="M117" s="3"/>
      <c r="N117" s="7">
        <f t="shared" si="79"/>
        <v>1.3761666666666665</v>
      </c>
      <c r="O117" s="11"/>
      <c r="P117" s="8">
        <v>142.57</v>
      </c>
      <c r="Q117" s="3"/>
      <c r="R117" s="7">
        <f t="shared" si="80"/>
        <v>4.5145015657153985E-4</v>
      </c>
      <c r="S117" s="3"/>
      <c r="T117" s="8">
        <v>60</v>
      </c>
      <c r="U117" s="3"/>
      <c r="V117" s="7">
        <f t="shared" si="81"/>
        <v>9.8686482912435487E-5</v>
      </c>
      <c r="W117" s="3"/>
      <c r="X117" s="8">
        <f t="shared" si="82"/>
        <v>82.57</v>
      </c>
      <c r="Y117" s="3"/>
      <c r="Z117" s="7">
        <f t="shared" si="83"/>
        <v>1.3761666666666665</v>
      </c>
    </row>
    <row r="118" spans="1:26" s="24" customFormat="1" hidden="1" outlineLevel="2" x14ac:dyDescent="0.3">
      <c r="A118" s="29"/>
      <c r="B118" s="11" t="str">
        <f>CONCATENATE("          ", "6285", " - ", "JANITORIAL SERVICES")</f>
        <v xml:space="preserve">          6285 - JANITORIAL SERVICES</v>
      </c>
      <c r="C118" s="11"/>
      <c r="D118" s="8">
        <v>3863.75</v>
      </c>
      <c r="E118" s="3"/>
      <c r="F118" s="7">
        <f t="shared" si="76"/>
        <v>1.2234625394215383E-2</v>
      </c>
      <c r="G118" s="3"/>
      <c r="H118" s="8"/>
      <c r="I118" s="3"/>
      <c r="J118" s="7">
        <f t="shared" si="77"/>
        <v>0</v>
      </c>
      <c r="K118" s="3"/>
      <c r="L118" s="8">
        <f t="shared" si="78"/>
        <v>3863.75</v>
      </c>
      <c r="M118" s="3"/>
      <c r="N118" s="7">
        <f t="shared" si="79"/>
        <v>0</v>
      </c>
      <c r="O118" s="11"/>
      <c r="P118" s="8">
        <v>3863.75</v>
      </c>
      <c r="Q118" s="3"/>
      <c r="R118" s="7">
        <f t="shared" si="80"/>
        <v>1.2234625394215383E-2</v>
      </c>
      <c r="S118" s="3"/>
      <c r="T118" s="8"/>
      <c r="U118" s="3"/>
      <c r="V118" s="7">
        <f t="shared" si="81"/>
        <v>0</v>
      </c>
      <c r="W118" s="3"/>
      <c r="X118" s="8">
        <f t="shared" si="82"/>
        <v>3863.75</v>
      </c>
      <c r="Y118" s="3"/>
      <c r="Z118" s="7">
        <f t="shared" si="83"/>
        <v>0</v>
      </c>
    </row>
    <row r="119" spans="1:26" s="27" customFormat="1" outlineLevel="1" collapsed="1" x14ac:dyDescent="0.3">
      <c r="A119" s="28"/>
      <c r="B119" s="14" t="str">
        <f>CONCATENATE("     ","Subscriptions &amp; Dues                              ")</f>
        <v xml:space="preserve">     Subscriptions &amp; Dues                              </v>
      </c>
      <c r="C119" s="14"/>
      <c r="D119" s="1">
        <f>SUM(OSRRefD22_19x_0)</f>
        <v>68.319999999999993</v>
      </c>
      <c r="E119" s="1"/>
      <c r="F119" s="5">
        <f t="shared" ref="F119:F121" si="84">IF(D$12=0,0,D119/D$12)</f>
        <v>2.1633635896028337E-4</v>
      </c>
      <c r="G119" s="1"/>
      <c r="H119" s="1">
        <f>SUM(OSRRefH22_19x_0)</f>
        <v>1776</v>
      </c>
      <c r="I119" s="1"/>
      <c r="J119" s="5">
        <f t="shared" ref="J119:J121" si="85">IF(H$12=0,0,H119/H$12)</f>
        <v>2.9211198942080902E-3</v>
      </c>
      <c r="K119" s="1"/>
      <c r="L119" s="1">
        <f t="shared" ref="L119:L121" si="86">+D119-H119</f>
        <v>-1707.68</v>
      </c>
      <c r="M119" s="1"/>
      <c r="N119" s="5">
        <f t="shared" ref="N119:N121" si="87">IF(H119=0,0,L119/H119)</f>
        <v>-0.96153153153153159</v>
      </c>
      <c r="O119" s="14"/>
      <c r="P119" s="1">
        <f>SUM(OSRRefP22_19x_0)</f>
        <v>68.319999999999993</v>
      </c>
      <c r="Q119" s="1"/>
      <c r="R119" s="5">
        <f t="shared" ref="R119:R121" si="88">IF(P$12=0,0,P119/P$12)</f>
        <v>2.1633635896028337E-4</v>
      </c>
      <c r="S119" s="1"/>
      <c r="T119" s="1">
        <f>SUM(OSRRefT22_19x_0)</f>
        <v>1776</v>
      </c>
      <c r="U119" s="1"/>
      <c r="V119" s="5">
        <f t="shared" ref="V119:V121" si="89">IF(T$12=0,0,T119/T$12)</f>
        <v>2.9211198942080902E-3</v>
      </c>
      <c r="W119" s="1"/>
      <c r="X119" s="1">
        <f t="shared" ref="X119:X121" si="90">+P119-T119</f>
        <v>-1707.68</v>
      </c>
      <c r="Y119" s="1"/>
      <c r="Z119" s="5">
        <f t="shared" ref="Z119:Z121" si="91">IF(T119=0,0,X119/T119)</f>
        <v>-0.96153153153153159</v>
      </c>
    </row>
    <row r="120" spans="1:26" s="24" customFormat="1" hidden="1" outlineLevel="2" x14ac:dyDescent="0.3">
      <c r="A120" s="29"/>
      <c r="B120" s="11" t="str">
        <f>CONCATENATE("          ", "6258", " - ", "MEMBERSHIP DUES")</f>
        <v xml:space="preserve">          6258 - MEMBERSHIP DUES</v>
      </c>
      <c r="C120" s="11"/>
      <c r="D120" s="8">
        <v>68.319999999999993</v>
      </c>
      <c r="E120" s="3"/>
      <c r="F120" s="7">
        <f t="shared" si="84"/>
        <v>2.1633635896028337E-4</v>
      </c>
      <c r="G120" s="3"/>
      <c r="H120" s="8">
        <v>1695</v>
      </c>
      <c r="I120" s="3"/>
      <c r="J120" s="7">
        <f t="shared" si="85"/>
        <v>2.7878931422763023E-3</v>
      </c>
      <c r="K120" s="3"/>
      <c r="L120" s="8">
        <f t="shared" si="86"/>
        <v>-1626.68</v>
      </c>
      <c r="M120" s="3"/>
      <c r="N120" s="7">
        <f t="shared" si="87"/>
        <v>-0.95969321533923313</v>
      </c>
      <c r="O120" s="11"/>
      <c r="P120" s="8">
        <v>68.319999999999993</v>
      </c>
      <c r="Q120" s="3"/>
      <c r="R120" s="7">
        <f t="shared" si="88"/>
        <v>2.1633635896028337E-4</v>
      </c>
      <c r="S120" s="3"/>
      <c r="T120" s="8">
        <v>1695</v>
      </c>
      <c r="U120" s="3"/>
      <c r="V120" s="7">
        <f t="shared" si="89"/>
        <v>2.7878931422763023E-3</v>
      </c>
      <c r="W120" s="3"/>
      <c r="X120" s="8">
        <f t="shared" si="90"/>
        <v>-1626.68</v>
      </c>
      <c r="Y120" s="3"/>
      <c r="Z120" s="7">
        <f t="shared" si="91"/>
        <v>-0.95969321533923313</v>
      </c>
    </row>
    <row r="121" spans="1:26" s="24" customFormat="1" hidden="1" outlineLevel="2" x14ac:dyDescent="0.3">
      <c r="A121" s="29"/>
      <c r="B121" s="11" t="str">
        <f>CONCATENATE("          ", "6275", " - ", "SUBSCRIPTIONS")</f>
        <v xml:space="preserve">          6275 - SUBSCRIPTIONS</v>
      </c>
      <c r="C121" s="11"/>
      <c r="D121" s="8"/>
      <c r="E121" s="3"/>
      <c r="F121" s="7">
        <f t="shared" si="84"/>
        <v>0</v>
      </c>
      <c r="G121" s="3"/>
      <c r="H121" s="8">
        <v>81</v>
      </c>
      <c r="I121" s="3"/>
      <c r="J121" s="7">
        <f t="shared" si="85"/>
        <v>1.332267519317879E-4</v>
      </c>
      <c r="K121" s="3"/>
      <c r="L121" s="8">
        <f t="shared" si="86"/>
        <v>-81</v>
      </c>
      <c r="M121" s="3"/>
      <c r="N121" s="7">
        <f t="shared" si="87"/>
        <v>-1</v>
      </c>
      <c r="O121" s="11"/>
      <c r="P121" s="8"/>
      <c r="Q121" s="3"/>
      <c r="R121" s="7">
        <f t="shared" si="88"/>
        <v>0</v>
      </c>
      <c r="S121" s="3"/>
      <c r="T121" s="8">
        <v>81</v>
      </c>
      <c r="U121" s="3"/>
      <c r="V121" s="7">
        <f t="shared" si="89"/>
        <v>1.332267519317879E-4</v>
      </c>
      <c r="W121" s="3"/>
      <c r="X121" s="8">
        <f t="shared" si="90"/>
        <v>-81</v>
      </c>
      <c r="Y121" s="3"/>
      <c r="Z121" s="7">
        <f t="shared" si="91"/>
        <v>-1</v>
      </c>
    </row>
    <row r="122" spans="1:26" s="27" customFormat="1" outlineLevel="1" collapsed="1" x14ac:dyDescent="0.3">
      <c r="A122" s="28"/>
      <c r="B122" s="14" t="str">
        <f>CONCATENATE("     ","Supplies                                          ")</f>
        <v xml:space="preserve">     Supplies                                          </v>
      </c>
      <c r="C122" s="14"/>
      <c r="D122" s="1">
        <f>SUM(OSRRefD22_20x_0)</f>
        <v>9128.16</v>
      </c>
      <c r="E122" s="1"/>
      <c r="F122" s="5">
        <f t="shared" ref="F122:F128" si="92">IF(D$12=0,0,D122/D$12)</f>
        <v>2.8904462798695848E-2</v>
      </c>
      <c r="G122" s="1"/>
      <c r="H122" s="1">
        <f>SUM(OSRRefH22_20x_0)</f>
        <v>10860</v>
      </c>
      <c r="I122" s="1"/>
      <c r="J122" s="5">
        <f t="shared" ref="J122:J128" si="93">IF(H$12=0,0,H122/H$12)</f>
        <v>1.7862253407150822E-2</v>
      </c>
      <c r="K122" s="1"/>
      <c r="L122" s="1">
        <f t="shared" ref="L122:L128" si="94">+D122-H122</f>
        <v>-1731.8400000000001</v>
      </c>
      <c r="M122" s="1"/>
      <c r="N122" s="5">
        <f t="shared" ref="N122:N128" si="95">IF(H122=0,0,L122/H122)</f>
        <v>-0.15946961325966852</v>
      </c>
      <c r="O122" s="14"/>
      <c r="P122" s="1">
        <f>SUM(OSRRefP22_20x_0)</f>
        <v>9128.16</v>
      </c>
      <c r="Q122" s="1"/>
      <c r="R122" s="5">
        <f t="shared" ref="R122:R128" si="96">IF(P$12=0,0,P122/P$12)</f>
        <v>2.8904462798695848E-2</v>
      </c>
      <c r="S122" s="1"/>
      <c r="T122" s="1">
        <f>SUM(OSRRefT22_20x_0)</f>
        <v>10860</v>
      </c>
      <c r="U122" s="1"/>
      <c r="V122" s="5">
        <f t="shared" ref="V122:V128" si="97">IF(T$12=0,0,T122/T$12)</f>
        <v>1.7862253407150822E-2</v>
      </c>
      <c r="W122" s="1"/>
      <c r="X122" s="1">
        <f t="shared" ref="X122:X128" si="98">+P122-T122</f>
        <v>-1731.8400000000001</v>
      </c>
      <c r="Y122" s="1"/>
      <c r="Z122" s="5">
        <f t="shared" ref="Z122:Z128" si="99">IF(T122=0,0,X122/T122)</f>
        <v>-0.15946961325966852</v>
      </c>
    </row>
    <row r="123" spans="1:26" s="24" customFormat="1" hidden="1" outlineLevel="2" x14ac:dyDescent="0.3">
      <c r="A123" s="29"/>
      <c r="B123" s="11" t="str">
        <f>CONCATENATE("          ", "6235", " - ", "COVID-19 EXPENSES")</f>
        <v xml:space="preserve">          6235 - COVID-19 EXPENSES</v>
      </c>
      <c r="C123" s="11"/>
      <c r="D123" s="8">
        <v>272.22000000000003</v>
      </c>
      <c r="E123" s="3"/>
      <c r="F123" s="7">
        <f t="shared" si="92"/>
        <v>8.6198892910082476E-4</v>
      </c>
      <c r="G123" s="3"/>
      <c r="H123" s="8">
        <v>125</v>
      </c>
      <c r="I123" s="3"/>
      <c r="J123" s="7">
        <f t="shared" si="93"/>
        <v>2.0559683940090726E-4</v>
      </c>
      <c r="K123" s="3"/>
      <c r="L123" s="8">
        <f t="shared" si="94"/>
        <v>147.22000000000003</v>
      </c>
      <c r="M123" s="3"/>
      <c r="N123" s="7">
        <f t="shared" si="95"/>
        <v>1.1777600000000001</v>
      </c>
      <c r="O123" s="11"/>
      <c r="P123" s="8">
        <v>272.22000000000003</v>
      </c>
      <c r="Q123" s="3"/>
      <c r="R123" s="7">
        <f t="shared" si="96"/>
        <v>8.6198892910082476E-4</v>
      </c>
      <c r="S123" s="3"/>
      <c r="T123" s="8">
        <v>125</v>
      </c>
      <c r="U123" s="3"/>
      <c r="V123" s="7">
        <f t="shared" si="97"/>
        <v>2.0559683940090726E-4</v>
      </c>
      <c r="W123" s="3"/>
      <c r="X123" s="8">
        <f t="shared" si="98"/>
        <v>147.22000000000003</v>
      </c>
      <c r="Y123" s="3"/>
      <c r="Z123" s="7">
        <f t="shared" si="99"/>
        <v>1.1777600000000001</v>
      </c>
    </row>
    <row r="124" spans="1:26" s="24" customFormat="1" hidden="1" outlineLevel="2" x14ac:dyDescent="0.3">
      <c r="A124" s="29"/>
      <c r="B124" s="11" t="str">
        <f>CONCATENATE("          ", "6237", " - ", "JANITORIAL SUPPLIES")</f>
        <v xml:space="preserve">          6237 - JANITORIAL SUPPLIES</v>
      </c>
      <c r="C124" s="11"/>
      <c r="D124" s="8">
        <v>655.97</v>
      </c>
      <c r="E124" s="3"/>
      <c r="F124" s="7">
        <f t="shared" si="92"/>
        <v>2.0771393645664096E-3</v>
      </c>
      <c r="G124" s="3"/>
      <c r="H124" s="8">
        <v>50</v>
      </c>
      <c r="I124" s="3"/>
      <c r="J124" s="7">
        <f t="shared" si="93"/>
        <v>8.2238735760362908E-5</v>
      </c>
      <c r="K124" s="3"/>
      <c r="L124" s="8">
        <f t="shared" si="94"/>
        <v>605.97</v>
      </c>
      <c r="M124" s="3"/>
      <c r="N124" s="7">
        <f t="shared" si="95"/>
        <v>12.119400000000001</v>
      </c>
      <c r="O124" s="11"/>
      <c r="P124" s="8">
        <v>655.97</v>
      </c>
      <c r="Q124" s="3"/>
      <c r="R124" s="7">
        <f t="shared" si="96"/>
        <v>2.0771393645664096E-3</v>
      </c>
      <c r="S124" s="3"/>
      <c r="T124" s="8">
        <v>50</v>
      </c>
      <c r="U124" s="3"/>
      <c r="V124" s="7">
        <f t="shared" si="97"/>
        <v>8.2238735760362908E-5</v>
      </c>
      <c r="W124" s="3"/>
      <c r="X124" s="8">
        <f t="shared" si="98"/>
        <v>605.97</v>
      </c>
      <c r="Y124" s="3"/>
      <c r="Z124" s="7">
        <f t="shared" si="99"/>
        <v>12.119400000000001</v>
      </c>
    </row>
    <row r="125" spans="1:26" s="24" customFormat="1" hidden="1" outlineLevel="2" x14ac:dyDescent="0.3">
      <c r="A125" s="29"/>
      <c r="B125" s="11" t="str">
        <f>CONCATENATE("          ", "6241", " - ", "OFFICE EXPENSE")</f>
        <v xml:space="preserve">          6241 - OFFICE EXPENSE</v>
      </c>
      <c r="C125" s="11"/>
      <c r="D125" s="8">
        <v>415.21</v>
      </c>
      <c r="E125" s="3"/>
      <c r="F125" s="7">
        <f t="shared" si="92"/>
        <v>1.314769022305317E-3</v>
      </c>
      <c r="G125" s="3"/>
      <c r="H125" s="8">
        <v>580</v>
      </c>
      <c r="I125" s="3"/>
      <c r="J125" s="7">
        <f t="shared" si="93"/>
        <v>9.5396933482020968E-4</v>
      </c>
      <c r="K125" s="3"/>
      <c r="L125" s="8">
        <f t="shared" si="94"/>
        <v>-164.79000000000002</v>
      </c>
      <c r="M125" s="3"/>
      <c r="N125" s="7">
        <f t="shared" si="95"/>
        <v>-0.28412068965517245</v>
      </c>
      <c r="O125" s="11"/>
      <c r="P125" s="8">
        <v>415.21</v>
      </c>
      <c r="Q125" s="3"/>
      <c r="R125" s="7">
        <f t="shared" si="96"/>
        <v>1.314769022305317E-3</v>
      </c>
      <c r="S125" s="3"/>
      <c r="T125" s="8">
        <v>580</v>
      </c>
      <c r="U125" s="3"/>
      <c r="V125" s="7">
        <f t="shared" si="97"/>
        <v>9.5396933482020968E-4</v>
      </c>
      <c r="W125" s="3"/>
      <c r="X125" s="8">
        <f t="shared" si="98"/>
        <v>-164.79000000000002</v>
      </c>
      <c r="Y125" s="3"/>
      <c r="Z125" s="7">
        <f t="shared" si="99"/>
        <v>-0.28412068965517245</v>
      </c>
    </row>
    <row r="126" spans="1:26" s="24" customFormat="1" hidden="1" outlineLevel="2" x14ac:dyDescent="0.3">
      <c r="A126" s="29"/>
      <c r="B126" s="11" t="str">
        <f>CONCATENATE("          ", "6243", " - ", "PAPER SUPPLIES")</f>
        <v xml:space="preserve">          6243 - PAPER SUPPLIES</v>
      </c>
      <c r="C126" s="11"/>
      <c r="D126" s="8">
        <v>1649.24</v>
      </c>
      <c r="E126" s="3"/>
      <c r="F126" s="7">
        <f t="shared" si="92"/>
        <v>5.2223445060254363E-3</v>
      </c>
      <c r="G126" s="3"/>
      <c r="H126" s="8">
        <v>4200</v>
      </c>
      <c r="I126" s="3"/>
      <c r="J126" s="7">
        <f t="shared" si="93"/>
        <v>6.908053803870484E-3</v>
      </c>
      <c r="K126" s="3"/>
      <c r="L126" s="8">
        <f t="shared" si="94"/>
        <v>-2550.7600000000002</v>
      </c>
      <c r="M126" s="3"/>
      <c r="N126" s="7">
        <f t="shared" si="95"/>
        <v>-0.6073238095238096</v>
      </c>
      <c r="O126" s="11"/>
      <c r="P126" s="8">
        <v>1649.24</v>
      </c>
      <c r="Q126" s="3"/>
      <c r="R126" s="7">
        <f t="shared" si="96"/>
        <v>5.2223445060254363E-3</v>
      </c>
      <c r="S126" s="3"/>
      <c r="T126" s="8">
        <v>4200</v>
      </c>
      <c r="U126" s="3"/>
      <c r="V126" s="7">
        <f t="shared" si="97"/>
        <v>6.908053803870484E-3</v>
      </c>
      <c r="W126" s="3"/>
      <c r="X126" s="8">
        <f t="shared" si="98"/>
        <v>-2550.7600000000002</v>
      </c>
      <c r="Y126" s="3"/>
      <c r="Z126" s="7">
        <f t="shared" si="99"/>
        <v>-0.6073238095238096</v>
      </c>
    </row>
    <row r="127" spans="1:26" s="24" customFormat="1" hidden="1" outlineLevel="2" x14ac:dyDescent="0.3">
      <c r="A127" s="29"/>
      <c r="B127" s="11" t="str">
        <f>CONCATENATE("          ", "6245", " - ", "PRINTING")</f>
        <v xml:space="preserve">          6245 - PRINTING</v>
      </c>
      <c r="C127" s="11"/>
      <c r="D127" s="8">
        <v>251.64</v>
      </c>
      <c r="E127" s="3"/>
      <c r="F127" s="7">
        <f t="shared" si="92"/>
        <v>7.9682203408614914E-4</v>
      </c>
      <c r="G127" s="3"/>
      <c r="H127" s="8">
        <v>25</v>
      </c>
      <c r="I127" s="3"/>
      <c r="J127" s="7">
        <f t="shared" si="93"/>
        <v>4.1119367880181454E-5</v>
      </c>
      <c r="K127" s="3"/>
      <c r="L127" s="8">
        <f t="shared" si="94"/>
        <v>226.64</v>
      </c>
      <c r="M127" s="3"/>
      <c r="N127" s="7">
        <f t="shared" si="95"/>
        <v>9.0655999999999999</v>
      </c>
      <c r="O127" s="11"/>
      <c r="P127" s="8">
        <v>251.64</v>
      </c>
      <c r="Q127" s="3"/>
      <c r="R127" s="7">
        <f t="shared" si="96"/>
        <v>7.9682203408614914E-4</v>
      </c>
      <c r="S127" s="3"/>
      <c r="T127" s="8">
        <v>25</v>
      </c>
      <c r="U127" s="3"/>
      <c r="V127" s="7">
        <f t="shared" si="97"/>
        <v>4.1119367880181454E-5</v>
      </c>
      <c r="W127" s="3"/>
      <c r="X127" s="8">
        <f t="shared" si="98"/>
        <v>226.64</v>
      </c>
      <c r="Y127" s="3"/>
      <c r="Z127" s="7">
        <f t="shared" si="99"/>
        <v>9.0655999999999999</v>
      </c>
    </row>
    <row r="128" spans="1:26" s="24" customFormat="1" hidden="1" outlineLevel="2" x14ac:dyDescent="0.3">
      <c r="A128" s="29"/>
      <c r="B128" s="11" t="str">
        <f>CONCATENATE("          ", "6247", " - ", "STORE SUPPLIES")</f>
        <v xml:space="preserve">          6247 - STORE SUPPLIES</v>
      </c>
      <c r="C128" s="11"/>
      <c r="D128" s="8">
        <v>5883.88</v>
      </c>
      <c r="E128" s="3"/>
      <c r="F128" s="7">
        <f t="shared" si="92"/>
        <v>1.8631398942611715E-2</v>
      </c>
      <c r="G128" s="3"/>
      <c r="H128" s="8">
        <v>5880</v>
      </c>
      <c r="I128" s="3"/>
      <c r="J128" s="7">
        <f t="shared" si="93"/>
        <v>9.6712753254186781E-3</v>
      </c>
      <c r="K128" s="3"/>
      <c r="L128" s="8">
        <f t="shared" si="94"/>
        <v>3.8800000000001091</v>
      </c>
      <c r="M128" s="3"/>
      <c r="N128" s="7">
        <f t="shared" si="95"/>
        <v>6.5986394557824982E-4</v>
      </c>
      <c r="O128" s="11"/>
      <c r="P128" s="8">
        <v>5883.88</v>
      </c>
      <c r="Q128" s="3"/>
      <c r="R128" s="7">
        <f t="shared" si="96"/>
        <v>1.8631398942611715E-2</v>
      </c>
      <c r="S128" s="3"/>
      <c r="T128" s="8">
        <v>5880</v>
      </c>
      <c r="U128" s="3"/>
      <c r="V128" s="7">
        <f t="shared" si="97"/>
        <v>9.6712753254186781E-3</v>
      </c>
      <c r="W128" s="3"/>
      <c r="X128" s="8">
        <f t="shared" si="98"/>
        <v>3.8800000000001091</v>
      </c>
      <c r="Y128" s="3"/>
      <c r="Z128" s="7">
        <f t="shared" si="99"/>
        <v>6.5986394557824982E-4</v>
      </c>
    </row>
    <row r="129" spans="1:26" s="27" customFormat="1" outlineLevel="1" collapsed="1" x14ac:dyDescent="0.3">
      <c r="A129" s="28"/>
      <c r="B129" s="14" t="str">
        <f>CONCATENATE("     ","Telephone/Data Lines                              ")</f>
        <v xml:space="preserve">     Telephone/Data Lines                              </v>
      </c>
      <c r="C129" s="14"/>
      <c r="D129" s="1">
        <f>SUM(OSRRefD22_21x_0)</f>
        <v>1851.74</v>
      </c>
      <c r="E129" s="1"/>
      <c r="F129" s="5">
        <f t="shared" ref="F129:F131" si="100">IF(D$12=0,0,D129/D$12)</f>
        <v>5.8635639540561358E-3</v>
      </c>
      <c r="G129" s="1"/>
      <c r="H129" s="1">
        <f>SUM(OSRRefH22_21x_0)</f>
        <v>2060</v>
      </c>
      <c r="I129" s="1"/>
      <c r="J129" s="5">
        <f t="shared" ref="J129:J131" si="101">IF(H$12=0,0,H129/H$12)</f>
        <v>3.3882359133269517E-3</v>
      </c>
      <c r="K129" s="1"/>
      <c r="L129" s="1">
        <f t="shared" ref="L129:L131" si="102">+D129-H129</f>
        <v>-208.26</v>
      </c>
      <c r="M129" s="1"/>
      <c r="N129" s="5">
        <f t="shared" ref="N129:N131" si="103">IF(H129=0,0,L129/H129)</f>
        <v>-0.10109708737864077</v>
      </c>
      <c r="O129" s="14"/>
      <c r="P129" s="1">
        <f>SUM(OSRRefP22_21x_0)</f>
        <v>1851.74</v>
      </c>
      <c r="Q129" s="1"/>
      <c r="R129" s="5">
        <f t="shared" ref="R129:R131" si="104">IF(P$12=0,0,P129/P$12)</f>
        <v>5.8635639540561358E-3</v>
      </c>
      <c r="S129" s="1"/>
      <c r="T129" s="1">
        <f>SUM(OSRRefT22_21x_0)</f>
        <v>2060</v>
      </c>
      <c r="U129" s="1"/>
      <c r="V129" s="5">
        <f t="shared" ref="V129:V131" si="105">IF(T$12=0,0,T129/T$12)</f>
        <v>3.3882359133269517E-3</v>
      </c>
      <c r="W129" s="1"/>
      <c r="X129" s="1">
        <f t="shared" ref="X129:X131" si="106">+P129-T129</f>
        <v>-208.26</v>
      </c>
      <c r="Y129" s="1"/>
      <c r="Z129" s="5">
        <f t="shared" ref="Z129:Z131" si="107">IF(T129=0,0,X129/T129)</f>
        <v>-0.10109708737864077</v>
      </c>
    </row>
    <row r="130" spans="1:26" s="24" customFormat="1" hidden="1" outlineLevel="2" x14ac:dyDescent="0.3">
      <c r="A130" s="29"/>
      <c r="B130" s="11" t="str">
        <f>CONCATENATE("          ", "6303", " - ", "DATA PHONE LINES")</f>
        <v xml:space="preserve">          6303 - DATA PHONE LINES</v>
      </c>
      <c r="C130" s="11"/>
      <c r="D130" s="8">
        <v>295</v>
      </c>
      <c r="E130" s="3"/>
      <c r="F130" s="7">
        <f t="shared" si="100"/>
        <v>9.3412215885953752E-4</v>
      </c>
      <c r="G130" s="3"/>
      <c r="H130" s="8">
        <v>0</v>
      </c>
      <c r="I130" s="3"/>
      <c r="J130" s="7">
        <f t="shared" si="101"/>
        <v>0</v>
      </c>
      <c r="K130" s="3"/>
      <c r="L130" s="8">
        <f t="shared" si="102"/>
        <v>295</v>
      </c>
      <c r="M130" s="3"/>
      <c r="N130" s="7">
        <f t="shared" si="103"/>
        <v>0</v>
      </c>
      <c r="O130" s="11"/>
      <c r="P130" s="8">
        <v>295</v>
      </c>
      <c r="Q130" s="3"/>
      <c r="R130" s="7">
        <f t="shared" si="104"/>
        <v>9.3412215885953752E-4</v>
      </c>
      <c r="S130" s="3"/>
      <c r="T130" s="8">
        <v>0</v>
      </c>
      <c r="U130" s="3"/>
      <c r="V130" s="7">
        <f t="shared" si="105"/>
        <v>0</v>
      </c>
      <c r="W130" s="3"/>
      <c r="X130" s="8">
        <f t="shared" si="106"/>
        <v>295</v>
      </c>
      <c r="Y130" s="3"/>
      <c r="Z130" s="7">
        <f t="shared" si="107"/>
        <v>0</v>
      </c>
    </row>
    <row r="131" spans="1:26" s="24" customFormat="1" hidden="1" outlineLevel="2" x14ac:dyDescent="0.3">
      <c r="A131" s="29"/>
      <c r="B131" s="11" t="str">
        <f>CONCATENATE("          ", "6309", " - ", "TELEPHONE")</f>
        <v xml:space="preserve">          6309 - TELEPHONE</v>
      </c>
      <c r="C131" s="11"/>
      <c r="D131" s="8">
        <v>1556.74</v>
      </c>
      <c r="E131" s="3"/>
      <c r="F131" s="7">
        <f t="shared" si="100"/>
        <v>4.9294417951965984E-3</v>
      </c>
      <c r="G131" s="3"/>
      <c r="H131" s="8">
        <v>2060</v>
      </c>
      <c r="I131" s="3"/>
      <c r="J131" s="7">
        <f t="shared" si="101"/>
        <v>3.3882359133269517E-3</v>
      </c>
      <c r="K131" s="3"/>
      <c r="L131" s="8">
        <f t="shared" si="102"/>
        <v>-503.26</v>
      </c>
      <c r="M131" s="3"/>
      <c r="N131" s="7">
        <f t="shared" si="103"/>
        <v>-0.24430097087378641</v>
      </c>
      <c r="O131" s="11"/>
      <c r="P131" s="8">
        <v>1556.74</v>
      </c>
      <c r="Q131" s="3"/>
      <c r="R131" s="7">
        <f t="shared" si="104"/>
        <v>4.9294417951965984E-3</v>
      </c>
      <c r="S131" s="3"/>
      <c r="T131" s="8">
        <v>2060</v>
      </c>
      <c r="U131" s="3"/>
      <c r="V131" s="7">
        <f t="shared" si="105"/>
        <v>3.3882359133269517E-3</v>
      </c>
      <c r="W131" s="3"/>
      <c r="X131" s="8">
        <f t="shared" si="106"/>
        <v>-503.26</v>
      </c>
      <c r="Y131" s="3"/>
      <c r="Z131" s="7">
        <f t="shared" si="107"/>
        <v>-0.24430097087378641</v>
      </c>
    </row>
    <row r="132" spans="1:26" s="27" customFormat="1" outlineLevel="1" collapsed="1" x14ac:dyDescent="0.3">
      <c r="A132" s="28"/>
      <c r="B132" s="14" t="str">
        <f>CONCATENATE("     ","Travel                                            ")</f>
        <v xml:space="preserve">     Travel                                            </v>
      </c>
      <c r="C132" s="14"/>
      <c r="D132" s="1">
        <f>SUM(OSRRefD22_22x_0)</f>
        <v>683.14</v>
      </c>
      <c r="E132" s="1"/>
      <c r="F132" s="5">
        <f t="shared" ref="F132:F135" si="108">IF(D$12=0,0,D132/D$12)</f>
        <v>2.163173598655269E-3</v>
      </c>
      <c r="G132" s="1"/>
      <c r="H132" s="1">
        <f>SUM(OSRRefH22_22x_0)</f>
        <v>175</v>
      </c>
      <c r="I132" s="1"/>
      <c r="J132" s="5">
        <f t="shared" ref="J132:J135" si="109">IF(H$12=0,0,H132/H$12)</f>
        <v>2.8783557516127018E-4</v>
      </c>
      <c r="K132" s="1"/>
      <c r="L132" s="1">
        <f t="shared" ref="L132:L135" si="110">+D132-H132</f>
        <v>508.14</v>
      </c>
      <c r="M132" s="1"/>
      <c r="N132" s="5">
        <f t="shared" ref="N132:N135" si="111">IF(H132=0,0,L132/H132)</f>
        <v>2.9036571428571429</v>
      </c>
      <c r="O132" s="14"/>
      <c r="P132" s="1">
        <f>SUM(OSRRefP22_22x_0)</f>
        <v>683.14</v>
      </c>
      <c r="Q132" s="1"/>
      <c r="R132" s="5">
        <f t="shared" ref="R132:R135" si="112">IF(P$12=0,0,P132/P$12)</f>
        <v>2.163173598655269E-3</v>
      </c>
      <c r="S132" s="1"/>
      <c r="T132" s="1">
        <f>SUM(OSRRefT22_22x_0)</f>
        <v>175</v>
      </c>
      <c r="U132" s="1"/>
      <c r="V132" s="5">
        <f t="shared" ref="V132:V135" si="113">IF(T$12=0,0,T132/T$12)</f>
        <v>2.8783557516127018E-4</v>
      </c>
      <c r="W132" s="1"/>
      <c r="X132" s="1">
        <f t="shared" ref="X132:X135" si="114">+P132-T132</f>
        <v>508.14</v>
      </c>
      <c r="Y132" s="1"/>
      <c r="Z132" s="5">
        <f t="shared" ref="Z132:Z135" si="115">IF(T132=0,0,X132/T132)</f>
        <v>2.9036571428571429</v>
      </c>
    </row>
    <row r="133" spans="1:26" s="24" customFormat="1" hidden="1" outlineLevel="2" x14ac:dyDescent="0.3">
      <c r="A133" s="29"/>
      <c r="B133" s="11" t="str">
        <f>CONCATENATE("          ", "6292", " - ", "TRAVEL/CONFERENCE")</f>
        <v xml:space="preserve">          6292 - TRAVEL/CONFERENCE</v>
      </c>
      <c r="C133" s="11"/>
      <c r="D133" s="8">
        <v>495</v>
      </c>
      <c r="E133" s="3"/>
      <c r="F133" s="7">
        <f t="shared" si="108"/>
        <v>1.5674253174083764E-3</v>
      </c>
      <c r="G133" s="3"/>
      <c r="H133" s="8">
        <v>125</v>
      </c>
      <c r="I133" s="3"/>
      <c r="J133" s="7">
        <f t="shared" si="109"/>
        <v>2.0559683940090726E-4</v>
      </c>
      <c r="K133" s="3"/>
      <c r="L133" s="8">
        <f t="shared" si="110"/>
        <v>370</v>
      </c>
      <c r="M133" s="3"/>
      <c r="N133" s="7">
        <f t="shared" si="111"/>
        <v>2.96</v>
      </c>
      <c r="O133" s="11"/>
      <c r="P133" s="8">
        <v>495</v>
      </c>
      <c r="Q133" s="3"/>
      <c r="R133" s="7">
        <f t="shared" si="112"/>
        <v>1.5674253174083764E-3</v>
      </c>
      <c r="S133" s="3"/>
      <c r="T133" s="8">
        <v>125</v>
      </c>
      <c r="U133" s="3"/>
      <c r="V133" s="7">
        <f t="shared" si="113"/>
        <v>2.0559683940090726E-4</v>
      </c>
      <c r="W133" s="3"/>
      <c r="X133" s="8">
        <f t="shared" si="114"/>
        <v>370</v>
      </c>
      <c r="Y133" s="3"/>
      <c r="Z133" s="7">
        <f t="shared" si="115"/>
        <v>2.96</v>
      </c>
    </row>
    <row r="134" spans="1:26" s="24" customFormat="1" hidden="1" outlineLevel="2" x14ac:dyDescent="0.3">
      <c r="A134" s="29"/>
      <c r="B134" s="11" t="str">
        <f>CONCATENATE("          ", "6294", " - ", "TRAVEL OPERATIONAL")</f>
        <v xml:space="preserve">          6294 - TRAVEL OPERATIONAL</v>
      </c>
      <c r="C134" s="11"/>
      <c r="D134" s="8">
        <v>188.14</v>
      </c>
      <c r="E134" s="3"/>
      <c r="F134" s="7">
        <f t="shared" si="108"/>
        <v>5.9574828124689275E-4</v>
      </c>
      <c r="G134" s="3"/>
      <c r="H134" s="8">
        <v>25</v>
      </c>
      <c r="I134" s="3"/>
      <c r="J134" s="7">
        <f t="shared" si="109"/>
        <v>4.1119367880181454E-5</v>
      </c>
      <c r="K134" s="3"/>
      <c r="L134" s="8">
        <f t="shared" si="110"/>
        <v>163.13999999999999</v>
      </c>
      <c r="M134" s="3"/>
      <c r="N134" s="7">
        <f t="shared" si="111"/>
        <v>6.5255999999999998</v>
      </c>
      <c r="O134" s="11"/>
      <c r="P134" s="8">
        <v>188.14</v>
      </c>
      <c r="Q134" s="3"/>
      <c r="R134" s="7">
        <f t="shared" si="112"/>
        <v>5.9574828124689275E-4</v>
      </c>
      <c r="S134" s="3"/>
      <c r="T134" s="8">
        <v>25</v>
      </c>
      <c r="U134" s="3"/>
      <c r="V134" s="7">
        <f t="shared" si="113"/>
        <v>4.1119367880181454E-5</v>
      </c>
      <c r="W134" s="3"/>
      <c r="X134" s="8">
        <f t="shared" si="114"/>
        <v>163.13999999999999</v>
      </c>
      <c r="Y134" s="3"/>
      <c r="Z134" s="7">
        <f t="shared" si="115"/>
        <v>6.5255999999999998</v>
      </c>
    </row>
    <row r="135" spans="1:26" s="24" customFormat="1" hidden="1" outlineLevel="2" x14ac:dyDescent="0.3">
      <c r="A135" s="29"/>
      <c r="B135" s="11" t="str">
        <f>CONCATENATE("          ", "6298", " - ", "VEHICLE MILEAGE")</f>
        <v xml:space="preserve">          6298 - VEHICLE MILEAGE</v>
      </c>
      <c r="C135" s="11"/>
      <c r="D135" s="8"/>
      <c r="E135" s="3"/>
      <c r="F135" s="7">
        <f t="shared" si="108"/>
        <v>0</v>
      </c>
      <c r="G135" s="3"/>
      <c r="H135" s="8">
        <v>25</v>
      </c>
      <c r="I135" s="3"/>
      <c r="J135" s="7">
        <f t="shared" si="109"/>
        <v>4.1119367880181454E-5</v>
      </c>
      <c r="K135" s="3"/>
      <c r="L135" s="8">
        <f t="shared" si="110"/>
        <v>-25</v>
      </c>
      <c r="M135" s="3"/>
      <c r="N135" s="7">
        <f t="shared" si="111"/>
        <v>-1</v>
      </c>
      <c r="O135" s="11"/>
      <c r="P135" s="8"/>
      <c r="Q135" s="3"/>
      <c r="R135" s="7">
        <f t="shared" si="112"/>
        <v>0</v>
      </c>
      <c r="S135" s="3"/>
      <c r="T135" s="8">
        <v>25</v>
      </c>
      <c r="U135" s="3"/>
      <c r="V135" s="7">
        <f t="shared" si="113"/>
        <v>4.1119367880181454E-5</v>
      </c>
      <c r="W135" s="3"/>
      <c r="X135" s="8">
        <f t="shared" si="114"/>
        <v>-25</v>
      </c>
      <c r="Y135" s="3"/>
      <c r="Z135" s="7">
        <f t="shared" si="115"/>
        <v>-1</v>
      </c>
    </row>
    <row r="136" spans="1:26" s="27" customFormat="1" outlineLevel="1" collapsed="1" x14ac:dyDescent="0.3">
      <c r="A136" s="28"/>
      <c r="B136" s="14" t="str">
        <f>CONCATENATE("     ","Utilities                                         ")</f>
        <v xml:space="preserve">     Utilities                                         </v>
      </c>
      <c r="C136" s="14"/>
      <c r="D136" s="1">
        <f>SUM(OSRRefD22_23x_0)</f>
        <v>6036.49</v>
      </c>
      <c r="E136" s="1"/>
      <c r="F136" s="5">
        <f t="shared" ref="F136:F137" si="116">IF(D$12=0,0,D136/D$12)</f>
        <v>1.9114640917742405E-2</v>
      </c>
      <c r="G136" s="1"/>
      <c r="H136" s="1">
        <f>SUM(OSRRefH22_23x_0)</f>
        <v>6120</v>
      </c>
      <c r="I136" s="1"/>
      <c r="J136" s="5">
        <f t="shared" ref="J136:J137" si="117">IF(H$12=0,0,H136/H$12)</f>
        <v>1.006602125706842E-2</v>
      </c>
      <c r="K136" s="1"/>
      <c r="L136" s="1">
        <f t="shared" ref="L136:L137" si="118">+D136-H136</f>
        <v>-83.510000000000218</v>
      </c>
      <c r="M136" s="1"/>
      <c r="N136" s="5">
        <f t="shared" ref="N136:N137" si="119">IF(H136=0,0,L136/H136)</f>
        <v>-1.3645424836601344E-2</v>
      </c>
      <c r="O136" s="14"/>
      <c r="P136" s="1">
        <f>SUM(OSRRefP22_23x_0)</f>
        <v>6036.49</v>
      </c>
      <c r="Q136" s="1"/>
      <c r="R136" s="5">
        <f t="shared" ref="R136:R137" si="120">IF(P$12=0,0,P136/P$12)</f>
        <v>1.9114640917742405E-2</v>
      </c>
      <c r="S136" s="1"/>
      <c r="T136" s="1">
        <f>SUM(OSRRefT22_23x_0)</f>
        <v>6120</v>
      </c>
      <c r="U136" s="1"/>
      <c r="V136" s="5">
        <f t="shared" ref="V136:V137" si="121">IF(T$12=0,0,T136/T$12)</f>
        <v>1.006602125706842E-2</v>
      </c>
      <c r="W136" s="1"/>
      <c r="X136" s="1">
        <f t="shared" ref="X136:X137" si="122">+P136-T136</f>
        <v>-83.510000000000218</v>
      </c>
      <c r="Y136" s="1"/>
      <c r="Z136" s="5">
        <f t="shared" ref="Z136:Z137" si="123">IF(T136=0,0,X136/T136)</f>
        <v>-1.3645424836601344E-2</v>
      </c>
    </row>
    <row r="137" spans="1:26" s="24" customFormat="1" hidden="1" outlineLevel="2" x14ac:dyDescent="0.3">
      <c r="A137" s="29"/>
      <c r="B137" s="11" t="str">
        <f>CONCATENATE("          ", "6274", " - ", "UTILITIES")</f>
        <v xml:space="preserve">          6274 - UTILITIES</v>
      </c>
      <c r="C137" s="11"/>
      <c r="D137" s="8">
        <v>6036.49</v>
      </c>
      <c r="E137" s="3"/>
      <c r="F137" s="7">
        <f t="shared" si="116"/>
        <v>1.9114640917742405E-2</v>
      </c>
      <c r="G137" s="3"/>
      <c r="H137" s="8">
        <v>6120</v>
      </c>
      <c r="I137" s="3"/>
      <c r="J137" s="7">
        <f t="shared" si="117"/>
        <v>1.006602125706842E-2</v>
      </c>
      <c r="K137" s="3"/>
      <c r="L137" s="8">
        <f t="shared" si="118"/>
        <v>-83.510000000000218</v>
      </c>
      <c r="M137" s="3"/>
      <c r="N137" s="7">
        <f t="shared" si="119"/>
        <v>-1.3645424836601344E-2</v>
      </c>
      <c r="O137" s="11"/>
      <c r="P137" s="8">
        <v>6036.49</v>
      </c>
      <c r="Q137" s="3"/>
      <c r="R137" s="7">
        <f t="shared" si="120"/>
        <v>1.9114640917742405E-2</v>
      </c>
      <c r="S137" s="3"/>
      <c r="T137" s="8">
        <v>6120</v>
      </c>
      <c r="U137" s="3"/>
      <c r="V137" s="7">
        <f t="shared" si="121"/>
        <v>1.006602125706842E-2</v>
      </c>
      <c r="W137" s="3"/>
      <c r="X137" s="8">
        <f t="shared" si="122"/>
        <v>-83.510000000000218</v>
      </c>
      <c r="Y137" s="3"/>
      <c r="Z137" s="7">
        <f t="shared" si="123"/>
        <v>-1.3645424836601344E-2</v>
      </c>
    </row>
    <row r="138" spans="1:26" s="62" customFormat="1" x14ac:dyDescent="0.3">
      <c r="A138" s="36"/>
      <c r="B138" s="36"/>
      <c r="C138" s="36"/>
      <c r="D138" s="1"/>
      <c r="E138" s="1"/>
      <c r="F138" s="5"/>
      <c r="G138" s="1"/>
      <c r="H138" s="1"/>
      <c r="I138" s="1"/>
      <c r="J138" s="5"/>
      <c r="K138" s="1"/>
      <c r="L138" s="1"/>
      <c r="M138" s="1"/>
      <c r="N138" s="5"/>
      <c r="O138" s="36"/>
      <c r="P138" s="1"/>
      <c r="Q138" s="1"/>
      <c r="R138" s="5"/>
      <c r="S138" s="1"/>
      <c r="T138" s="1"/>
      <c r="U138" s="1"/>
      <c r="V138" s="5"/>
      <c r="W138" s="1"/>
      <c r="X138" s="1"/>
      <c r="Y138" s="1"/>
      <c r="Z138" s="5"/>
    </row>
    <row r="139" spans="1:26" s="23" customFormat="1" collapsed="1" x14ac:dyDescent="0.3">
      <c r="A139" s="10"/>
      <c r="B139" s="25" t="s">
        <v>293</v>
      </c>
      <c r="C139" s="10"/>
      <c r="D139" s="4">
        <f>SUM(OSRRefD25x_0)</f>
        <v>39834.230000000003</v>
      </c>
      <c r="E139" s="4"/>
      <c r="F139" s="12">
        <f t="shared" ref="F139:F145" si="124">IF(D$12=0,0,D139/D$12)</f>
        <v>0.1261357183868046</v>
      </c>
      <c r="G139" s="4"/>
      <c r="H139" s="4">
        <f>SUM(OSRRefH25x_0)</f>
        <v>24353</v>
      </c>
      <c r="I139" s="4"/>
      <c r="J139" s="12">
        <f t="shared" ref="J139:J145" si="125">IF(H$12=0,0,H139/H$12)</f>
        <v>4.0055198639442353E-2</v>
      </c>
      <c r="K139" s="4"/>
      <c r="L139" s="4">
        <f t="shared" ref="L139:L145" si="126">+D139-H139</f>
        <v>15481.230000000003</v>
      </c>
      <c r="M139" s="4"/>
      <c r="N139" s="12">
        <f t="shared" ref="N139:N145" si="127">IF(H139=0,0,L139/H139)</f>
        <v>0.63570114564940683</v>
      </c>
      <c r="O139" s="10"/>
      <c r="P139" s="4">
        <f>SUM(OSRRefP25x_0)</f>
        <v>39834.230000000003</v>
      </c>
      <c r="Q139" s="4"/>
      <c r="R139" s="12">
        <f t="shared" ref="R139:R145" si="128">IF(P$12=0,0,P139/P$12)</f>
        <v>0.1261357183868046</v>
      </c>
      <c r="S139" s="4"/>
      <c r="T139" s="4">
        <f>SUM(OSRRefT25x_0)</f>
        <v>24353</v>
      </c>
      <c r="U139" s="4"/>
      <c r="V139" s="12">
        <f t="shared" ref="V139:V145" si="129">IF(T$12=0,0,T139/T$12)</f>
        <v>4.0055198639442353E-2</v>
      </c>
      <c r="W139" s="4"/>
      <c r="X139" s="4">
        <f t="shared" ref="X139:X145" si="130">+P139-T139</f>
        <v>15481.230000000003</v>
      </c>
      <c r="Y139" s="4"/>
      <c r="Z139" s="12">
        <f t="shared" ref="Z139:Z145" si="131">IF(T139=0,0,X139/T139)</f>
        <v>0.63570114564940683</v>
      </c>
    </row>
    <row r="140" spans="1:26" s="24" customFormat="1" hidden="1" outlineLevel="1" x14ac:dyDescent="0.3">
      <c r="A140" s="44"/>
      <c r="B140" s="11" t="str">
        <f>CONCATENATE("          ", "4187", " - ", "NON-TAXABLE SALES-COMPUTER REP")</f>
        <v xml:space="preserve">          4187 - NON-TAXABLE SALES-COMPUTER REP</v>
      </c>
      <c r="C140" s="11"/>
      <c r="D140" s="3">
        <f>0</f>
        <v>0</v>
      </c>
      <c r="E140" s="3"/>
      <c r="F140" s="19">
        <f t="shared" si="124"/>
        <v>0</v>
      </c>
      <c r="G140" s="3"/>
      <c r="H140" s="3"/>
      <c r="I140" s="3"/>
      <c r="J140" s="19">
        <f t="shared" si="125"/>
        <v>0</v>
      </c>
      <c r="K140" s="3"/>
      <c r="L140" s="3">
        <f t="shared" si="126"/>
        <v>0</v>
      </c>
      <c r="M140" s="3"/>
      <c r="N140" s="19">
        <f t="shared" si="127"/>
        <v>0</v>
      </c>
      <c r="O140" s="11"/>
      <c r="P140" s="3">
        <f>0</f>
        <v>0</v>
      </c>
      <c r="Q140" s="3"/>
      <c r="R140" s="19">
        <f t="shared" si="128"/>
        <v>0</v>
      </c>
      <c r="S140" s="3"/>
      <c r="T140" s="3"/>
      <c r="U140" s="3"/>
      <c r="V140" s="19">
        <f t="shared" si="129"/>
        <v>0</v>
      </c>
      <c r="W140" s="3"/>
      <c r="X140" s="3">
        <f t="shared" si="130"/>
        <v>0</v>
      </c>
      <c r="Y140" s="3"/>
      <c r="Z140" s="19">
        <f t="shared" si="131"/>
        <v>0</v>
      </c>
    </row>
    <row r="141" spans="1:26" s="24" customFormat="1" hidden="1" outlineLevel="1" x14ac:dyDescent="0.3">
      <c r="A141" s="44"/>
      <c r="B141" s="11" t="str">
        <f>CONCATENATE("          ", "9087", " - ", "")</f>
        <v xml:space="preserve">          9087 - </v>
      </c>
      <c r="C141" s="11"/>
      <c r="D141" s="3">
        <f>--73.47</f>
        <v>73.47</v>
      </c>
      <c r="E141" s="3"/>
      <c r="F141" s="19">
        <f t="shared" si="124"/>
        <v>2.3264391529291599E-4</v>
      </c>
      <c r="G141" s="3"/>
      <c r="H141" s="3"/>
      <c r="I141" s="3"/>
      <c r="J141" s="19">
        <f t="shared" si="125"/>
        <v>0</v>
      </c>
      <c r="K141" s="3"/>
      <c r="L141" s="3">
        <f t="shared" si="126"/>
        <v>73.47</v>
      </c>
      <c r="M141" s="3"/>
      <c r="N141" s="19">
        <f t="shared" si="127"/>
        <v>0</v>
      </c>
      <c r="O141" s="11"/>
      <c r="P141" s="3">
        <f>--73.47</f>
        <v>73.47</v>
      </c>
      <c r="Q141" s="3"/>
      <c r="R141" s="19">
        <f t="shared" si="128"/>
        <v>2.3264391529291599E-4</v>
      </c>
      <c r="S141" s="3"/>
      <c r="T141" s="3"/>
      <c r="U141" s="3"/>
      <c r="V141" s="19">
        <f t="shared" si="129"/>
        <v>0</v>
      </c>
      <c r="W141" s="3"/>
      <c r="X141" s="3">
        <f t="shared" si="130"/>
        <v>73.47</v>
      </c>
      <c r="Y141" s="3"/>
      <c r="Z141" s="19">
        <f t="shared" si="131"/>
        <v>0</v>
      </c>
    </row>
    <row r="142" spans="1:26" s="24" customFormat="1" hidden="1" outlineLevel="1" x14ac:dyDescent="0.3">
      <c r="A142" s="44"/>
      <c r="B142" s="11" t="str">
        <f>CONCATENATE("          ", "9150", " - ", "MISC. INCOME")</f>
        <v xml:space="preserve">          9150 - MISC. INCOME</v>
      </c>
      <c r="C142" s="11"/>
      <c r="D142" s="3">
        <f>--33364.9</f>
        <v>33364.9</v>
      </c>
      <c r="E142" s="3"/>
      <c r="F142" s="19">
        <f t="shared" si="124"/>
        <v>0.10565048277333079</v>
      </c>
      <c r="G142" s="3"/>
      <c r="H142" s="3">
        <v>24353</v>
      </c>
      <c r="I142" s="3"/>
      <c r="J142" s="19">
        <f t="shared" si="125"/>
        <v>4.0055198639442353E-2</v>
      </c>
      <c r="K142" s="3"/>
      <c r="L142" s="3">
        <f t="shared" si="126"/>
        <v>9011.9000000000015</v>
      </c>
      <c r="M142" s="3"/>
      <c r="N142" s="19">
        <f t="shared" si="127"/>
        <v>0.37005297088654382</v>
      </c>
      <c r="O142" s="11"/>
      <c r="P142" s="3">
        <f>--33364.9</f>
        <v>33364.9</v>
      </c>
      <c r="Q142" s="3"/>
      <c r="R142" s="19">
        <f t="shared" si="128"/>
        <v>0.10565048277333079</v>
      </c>
      <c r="S142" s="3"/>
      <c r="T142" s="3">
        <v>24353</v>
      </c>
      <c r="U142" s="3"/>
      <c r="V142" s="19">
        <f t="shared" si="129"/>
        <v>4.0055198639442353E-2</v>
      </c>
      <c r="W142" s="3"/>
      <c r="X142" s="3">
        <f t="shared" si="130"/>
        <v>9011.9000000000015</v>
      </c>
      <c r="Y142" s="3"/>
      <c r="Z142" s="19">
        <f t="shared" si="131"/>
        <v>0.37005297088654382</v>
      </c>
    </row>
    <row r="143" spans="1:26" s="24" customFormat="1" hidden="1" outlineLevel="1" x14ac:dyDescent="0.3">
      <c r="A143" s="44"/>
      <c r="B143" s="11" t="str">
        <f>CONCATENATE("          ", "9152", " - ", "MISC. INCOME")</f>
        <v xml:space="preserve">          9152 - MISC. INCOME</v>
      </c>
      <c r="C143" s="11"/>
      <c r="D143" s="3">
        <f>--66.92</f>
        <v>66.92</v>
      </c>
      <c r="E143" s="3"/>
      <c r="F143" s="19">
        <f t="shared" si="124"/>
        <v>2.1190323685044152E-4</v>
      </c>
      <c r="G143" s="3"/>
      <c r="H143" s="3"/>
      <c r="I143" s="3"/>
      <c r="J143" s="19">
        <f t="shared" si="125"/>
        <v>0</v>
      </c>
      <c r="K143" s="3"/>
      <c r="L143" s="3">
        <f t="shared" si="126"/>
        <v>66.92</v>
      </c>
      <c r="M143" s="3"/>
      <c r="N143" s="19">
        <f t="shared" si="127"/>
        <v>0</v>
      </c>
      <c r="O143" s="11"/>
      <c r="P143" s="3">
        <f>--66.92</f>
        <v>66.92</v>
      </c>
      <c r="Q143" s="3"/>
      <c r="R143" s="19">
        <f t="shared" si="128"/>
        <v>2.1190323685044152E-4</v>
      </c>
      <c r="S143" s="3"/>
      <c r="T143" s="3"/>
      <c r="U143" s="3"/>
      <c r="V143" s="19">
        <f t="shared" si="129"/>
        <v>0</v>
      </c>
      <c r="W143" s="3"/>
      <c r="X143" s="3">
        <f t="shared" si="130"/>
        <v>66.92</v>
      </c>
      <c r="Y143" s="3"/>
      <c r="Z143" s="19">
        <f t="shared" si="131"/>
        <v>0</v>
      </c>
    </row>
    <row r="144" spans="1:26" s="24" customFormat="1" hidden="1" outlineLevel="1" x14ac:dyDescent="0.3">
      <c r="A144" s="44"/>
      <c r="B144" s="11" t="str">
        <f>CONCATENATE("          ", "9160", " - ", "MISC. INCOME")</f>
        <v xml:space="preserve">          9160 - MISC. INCOME</v>
      </c>
      <c r="C144" s="11"/>
      <c r="D144" s="3">
        <f>0</f>
        <v>0</v>
      </c>
      <c r="E144" s="3"/>
      <c r="F144" s="19">
        <f t="shared" si="124"/>
        <v>0</v>
      </c>
      <c r="G144" s="3"/>
      <c r="H144" s="3">
        <v>0</v>
      </c>
      <c r="I144" s="3"/>
      <c r="J144" s="19">
        <f t="shared" si="125"/>
        <v>0</v>
      </c>
      <c r="K144" s="3"/>
      <c r="L144" s="3">
        <f t="shared" si="126"/>
        <v>0</v>
      </c>
      <c r="M144" s="3"/>
      <c r="N144" s="19">
        <f t="shared" si="127"/>
        <v>0</v>
      </c>
      <c r="O144" s="11"/>
      <c r="P144" s="3">
        <f>0</f>
        <v>0</v>
      </c>
      <c r="Q144" s="3"/>
      <c r="R144" s="19">
        <f t="shared" si="128"/>
        <v>0</v>
      </c>
      <c r="S144" s="3"/>
      <c r="T144" s="3">
        <v>0</v>
      </c>
      <c r="U144" s="3"/>
      <c r="V144" s="19">
        <f t="shared" si="129"/>
        <v>0</v>
      </c>
      <c r="W144" s="3"/>
      <c r="X144" s="3">
        <f t="shared" si="130"/>
        <v>0</v>
      </c>
      <c r="Y144" s="3"/>
      <c r="Z144" s="19">
        <f t="shared" si="131"/>
        <v>0</v>
      </c>
    </row>
    <row r="145" spans="1:26" s="24" customFormat="1" hidden="1" outlineLevel="1" x14ac:dyDescent="0.3">
      <c r="A145" s="44"/>
      <c r="B145" s="11" t="str">
        <f>CONCATENATE("          ", "9163", " - ", "MISC. INCOME")</f>
        <v xml:space="preserve">          9163 - MISC. INCOME</v>
      </c>
      <c r="C145" s="11"/>
      <c r="D145" s="3">
        <f>--6328.94</f>
        <v>6328.94</v>
      </c>
      <c r="E145" s="3"/>
      <c r="F145" s="19">
        <f t="shared" si="124"/>
        <v>2.0040688461330444E-2</v>
      </c>
      <c r="G145" s="3"/>
      <c r="H145" s="3"/>
      <c r="I145" s="3"/>
      <c r="J145" s="19">
        <f t="shared" si="125"/>
        <v>0</v>
      </c>
      <c r="K145" s="3"/>
      <c r="L145" s="3">
        <f t="shared" si="126"/>
        <v>6328.94</v>
      </c>
      <c r="M145" s="3"/>
      <c r="N145" s="19">
        <f t="shared" si="127"/>
        <v>0</v>
      </c>
      <c r="O145" s="11"/>
      <c r="P145" s="3">
        <f>--6328.94</f>
        <v>6328.94</v>
      </c>
      <c r="Q145" s="3"/>
      <c r="R145" s="19">
        <f t="shared" si="128"/>
        <v>2.0040688461330444E-2</v>
      </c>
      <c r="S145" s="3"/>
      <c r="T145" s="3"/>
      <c r="U145" s="3"/>
      <c r="V145" s="19">
        <f t="shared" si="129"/>
        <v>0</v>
      </c>
      <c r="W145" s="3"/>
      <c r="X145" s="3">
        <f t="shared" si="130"/>
        <v>6328.94</v>
      </c>
      <c r="Y145" s="3"/>
      <c r="Z145" s="19">
        <f t="shared" si="131"/>
        <v>0</v>
      </c>
    </row>
    <row r="146" spans="1:26" x14ac:dyDescent="0.3">
      <c r="A146" s="9"/>
      <c r="B146" s="10"/>
      <c r="C146" s="10"/>
      <c r="D146" s="2"/>
      <c r="E146" s="2"/>
      <c r="F146" s="6"/>
      <c r="G146" s="2"/>
      <c r="H146" s="2"/>
      <c r="I146" s="2"/>
      <c r="J146" s="6"/>
      <c r="K146" s="2"/>
      <c r="L146" s="2"/>
      <c r="M146" s="2"/>
      <c r="N146" s="6"/>
      <c r="O146" s="10"/>
      <c r="P146" s="2"/>
      <c r="Q146" s="2"/>
      <c r="R146" s="6"/>
      <c r="S146" s="2"/>
      <c r="T146" s="2"/>
      <c r="U146" s="2"/>
      <c r="V146" s="6"/>
      <c r="W146" s="2"/>
      <c r="X146" s="2"/>
      <c r="Y146" s="2"/>
      <c r="Z146" s="6"/>
    </row>
    <row r="147" spans="1:26" s="23" customFormat="1" x14ac:dyDescent="0.3">
      <c r="A147" s="10"/>
      <c r="B147" s="26" t="s">
        <v>277</v>
      </c>
      <c r="C147" s="26"/>
      <c r="D147" s="21">
        <f>+D48-D50+D139</f>
        <v>-234469.15999999989</v>
      </c>
      <c r="E147" s="13"/>
      <c r="F147" s="22">
        <f>IF(D$12=0,0,D147/D$12)</f>
        <v>-0.74245029805146512</v>
      </c>
      <c r="G147" s="13"/>
      <c r="H147" s="21">
        <f>+H48-H50+H139</f>
        <v>-241561.75836761313</v>
      </c>
      <c r="I147" s="13"/>
      <c r="J147" s="22">
        <f>IF(H$12=0,0,H147/H$12)</f>
        <v>-0.39731467232405537</v>
      </c>
      <c r="K147" s="16"/>
      <c r="L147" s="21">
        <f>+D147-H147</f>
        <v>7092.5983676132455</v>
      </c>
      <c r="M147" s="16"/>
      <c r="N147" s="22">
        <f>IF(H147=0,0,L147/H147)</f>
        <v>-2.9361428793789449E-2</v>
      </c>
      <c r="O147" s="25"/>
      <c r="P147" s="21">
        <f>+P48-P50+P139</f>
        <v>-234469.15999999989</v>
      </c>
      <c r="Q147" s="13"/>
      <c r="R147" s="22">
        <f>IF(P$12=0,0,P147/P$12)</f>
        <v>-0.74245029805146512</v>
      </c>
      <c r="S147" s="13"/>
      <c r="T147" s="21">
        <f>+T48-T50+T139</f>
        <v>-241561.75836761313</v>
      </c>
      <c r="U147" s="13"/>
      <c r="V147" s="22">
        <f>IF(T$12=0,0,T147/T$12)</f>
        <v>-0.39731467232405537</v>
      </c>
      <c r="W147" s="16"/>
      <c r="X147" s="21">
        <f>+P147-T147</f>
        <v>7092.5983676132455</v>
      </c>
      <c r="Y147" s="16"/>
      <c r="Z147" s="22">
        <f>IF(T147=0,0,X147/T147)</f>
        <v>-2.9361428793789449E-2</v>
      </c>
    </row>
    <row r="148" spans="1:26" x14ac:dyDescent="0.3">
      <c r="A148" s="9"/>
      <c r="B148" s="10"/>
      <c r="C148" s="9"/>
      <c r="D148" s="2"/>
      <c r="E148" s="2"/>
      <c r="F148" s="6"/>
      <c r="G148" s="2"/>
      <c r="H148" s="2"/>
      <c r="I148" s="2"/>
      <c r="J148" s="6"/>
      <c r="K148" s="2"/>
      <c r="L148" s="2"/>
      <c r="M148" s="2"/>
      <c r="N148" s="6"/>
      <c r="P148" s="2"/>
      <c r="Q148" s="2"/>
      <c r="R148" s="6"/>
      <c r="S148" s="2"/>
      <c r="T148" s="2"/>
      <c r="U148" s="2"/>
      <c r="V148" s="6"/>
      <c r="W148" s="2"/>
      <c r="X148" s="2"/>
      <c r="Y148" s="2"/>
      <c r="Z148" s="6"/>
    </row>
    <row r="149" spans="1:26" s="23" customFormat="1" x14ac:dyDescent="0.3">
      <c r="A149" s="52"/>
      <c r="B149" s="10" t="s">
        <v>128</v>
      </c>
      <c r="C149" s="10"/>
      <c r="D149" s="4">
        <v>145900.39000000001</v>
      </c>
      <c r="E149" s="4"/>
      <c r="F149" s="12">
        <f>IF(D$12=0,0,D149/D$12)</f>
        <v>0.46199588910253725</v>
      </c>
      <c r="G149" s="4"/>
      <c r="H149" s="4">
        <v>220182</v>
      </c>
      <c r="I149" s="4"/>
      <c r="J149" s="12">
        <f>IF(H$12=0,0,H149/H$12)</f>
        <v>0.36214978634376449</v>
      </c>
      <c r="K149" s="4"/>
      <c r="L149" s="4">
        <f>+D149-H149</f>
        <v>-74281.609999999986</v>
      </c>
      <c r="M149" s="4"/>
      <c r="N149" s="12">
        <f>IF(H149=0,0,L149/H149)</f>
        <v>-0.33736458929431101</v>
      </c>
      <c r="O149" s="10"/>
      <c r="P149" s="4">
        <v>145900.39000000001</v>
      </c>
      <c r="Q149" s="4"/>
      <c r="R149" s="12">
        <f>IF(P$12=0,0,P149/P$12)</f>
        <v>0.46199588910253725</v>
      </c>
      <c r="S149" s="4"/>
      <c r="T149" s="4">
        <v>220182</v>
      </c>
      <c r="U149" s="4"/>
      <c r="V149" s="12">
        <f>IF(T$12=0,0,T149/T$12)</f>
        <v>0.36214978634376449</v>
      </c>
      <c r="W149" s="4"/>
      <c r="X149" s="4">
        <f>+P149-T149</f>
        <v>-74281.609999999986</v>
      </c>
      <c r="Y149" s="4"/>
      <c r="Z149" s="12">
        <f>IF(T149=0,0,X149/T149)</f>
        <v>-0.33736458929431101</v>
      </c>
    </row>
    <row r="150" spans="1:26" x14ac:dyDescent="0.3">
      <c r="A150" s="9"/>
      <c r="B150" s="10"/>
      <c r="C150" s="10"/>
      <c r="D150" s="2"/>
      <c r="E150" s="2"/>
      <c r="F150" s="6"/>
      <c r="G150" s="2"/>
      <c r="H150" s="2"/>
      <c r="I150" s="2"/>
      <c r="J150" s="6"/>
      <c r="K150" s="2"/>
      <c r="L150" s="2"/>
      <c r="M150" s="2"/>
      <c r="N150" s="6"/>
      <c r="O150" s="10"/>
      <c r="P150" s="2"/>
      <c r="Q150" s="2"/>
      <c r="R150" s="6"/>
      <c r="S150" s="2"/>
      <c r="T150" s="2"/>
      <c r="U150" s="2"/>
      <c r="V150" s="6"/>
      <c r="W150" s="2"/>
      <c r="X150" s="2"/>
      <c r="Y150" s="2"/>
      <c r="Z150" s="6"/>
    </row>
    <row r="151" spans="1:26" s="23" customFormat="1" ht="15" thickBot="1" x14ac:dyDescent="0.35">
      <c r="A151" s="10"/>
      <c r="B151" s="26" t="s">
        <v>126</v>
      </c>
      <c r="C151" s="26"/>
      <c r="D151" s="35">
        <f>+D147-D149</f>
        <v>-380369.54999999993</v>
      </c>
      <c r="E151" s="13"/>
      <c r="F151" s="30">
        <f>IF(D$12=0,0,D151/D$12)</f>
        <v>-1.2044461871540024</v>
      </c>
      <c r="G151" s="13"/>
      <c r="H151" s="35">
        <f>+H147-H149</f>
        <v>-461743.75836761313</v>
      </c>
      <c r="I151" s="13"/>
      <c r="J151" s="30">
        <f>IF(H$12=0,0,H151/H$12)</f>
        <v>-0.75946445866781986</v>
      </c>
      <c r="K151" s="16"/>
      <c r="L151" s="35">
        <f>D151-H151</f>
        <v>81374.208367613202</v>
      </c>
      <c r="M151" s="16"/>
      <c r="N151" s="30">
        <f>IF(H151=0,0,L151/H151)</f>
        <v>-0.1762323949007836</v>
      </c>
      <c r="O151" s="25"/>
      <c r="P151" s="35">
        <f>+P147-P149</f>
        <v>-380369.54999999993</v>
      </c>
      <c r="Q151" s="13"/>
      <c r="R151" s="30">
        <f>IF(P$12=0,0,P151/P$12)</f>
        <v>-1.2044461871540024</v>
      </c>
      <c r="S151" s="13"/>
      <c r="T151" s="35">
        <f>+T147-T149</f>
        <v>-461743.75836761313</v>
      </c>
      <c r="U151" s="13"/>
      <c r="V151" s="30">
        <f>IF(T$12=0,0,T151/T$12)</f>
        <v>-0.75946445866781986</v>
      </c>
      <c r="W151" s="16"/>
      <c r="X151" s="35">
        <f>P151-T151</f>
        <v>81374.208367613202</v>
      </c>
      <c r="Y151" s="16"/>
      <c r="Z151" s="30">
        <f>IF(T151=0,0,X151/T151)</f>
        <v>-0.1762323949007836</v>
      </c>
    </row>
    <row r="152" spans="1:26" ht="15" thickTop="1" x14ac:dyDescent="0.3">
      <c r="A152" s="9"/>
      <c r="B152" s="9"/>
      <c r="C152" s="9"/>
      <c r="D152" s="2"/>
      <c r="E152" s="2"/>
      <c r="F152" s="6"/>
      <c r="G152" s="2"/>
      <c r="H152" s="2"/>
      <c r="I152" s="2"/>
      <c r="J152" s="6"/>
      <c r="K152" s="2"/>
      <c r="L152" s="2"/>
      <c r="M152" s="2"/>
      <c r="N152" s="6"/>
      <c r="P152" s="2"/>
      <c r="Q152" s="2"/>
      <c r="R152" s="6"/>
      <c r="S152" s="2"/>
      <c r="T152" s="2"/>
      <c r="U152" s="2"/>
      <c r="V152" s="6"/>
      <c r="W152" s="2"/>
      <c r="X152" s="2"/>
      <c r="Y152" s="2"/>
      <c r="Z152" s="6"/>
    </row>
    <row r="153" spans="1:26" x14ac:dyDescent="0.3">
      <c r="A153" s="9"/>
      <c r="B153" s="9"/>
      <c r="C153" s="9"/>
      <c r="D153" s="2"/>
      <c r="E153" s="2"/>
      <c r="F153" s="6"/>
      <c r="G153" s="2"/>
      <c r="H153" s="2"/>
      <c r="I153" s="2"/>
      <c r="J153" s="6"/>
      <c r="K153" s="2"/>
      <c r="L153" s="2"/>
      <c r="M153" s="2"/>
      <c r="N153" s="6"/>
      <c r="P153" s="2"/>
      <c r="Q153" s="2"/>
      <c r="R153" s="6"/>
      <c r="S153" s="2"/>
      <c r="T153" s="2"/>
      <c r="U153" s="2"/>
      <c r="V153" s="6"/>
      <c r="W153" s="2"/>
      <c r="X153" s="2"/>
      <c r="Y153" s="2"/>
      <c r="Z153" s="6"/>
    </row>
    <row r="154" spans="1:26" s="23" customFormat="1" ht="15" thickBot="1" x14ac:dyDescent="0.35">
      <c r="A154" s="10"/>
      <c r="B154" s="26" t="s">
        <v>294</v>
      </c>
      <c r="C154" s="26"/>
      <c r="D154" s="33">
        <f>SUM(D151:D153)</f>
        <v>-380369.54999999993</v>
      </c>
      <c r="E154" s="13"/>
      <c r="F154" s="31">
        <f>IF(D$12=0,0,D154/D$12)</f>
        <v>-1.2044461871540024</v>
      </c>
      <c r="G154" s="13"/>
      <c r="H154" s="33">
        <f>SUM(H151:H153)</f>
        <v>-461743.75836761313</v>
      </c>
      <c r="I154" s="13"/>
      <c r="J154" s="31">
        <f>IF(H$12=0,0,H154/H$12)</f>
        <v>-0.75946445866781986</v>
      </c>
      <c r="K154" s="16"/>
      <c r="L154" s="33">
        <f>+D154-H154</f>
        <v>81374.208367613202</v>
      </c>
      <c r="M154" s="16"/>
      <c r="N154" s="31">
        <f>IF(H154=0,0,L154/H154)</f>
        <v>-0.1762323949007836</v>
      </c>
      <c r="O154" s="25"/>
      <c r="P154" s="33">
        <f>SUM(P151:P153)</f>
        <v>-380369.54999999993</v>
      </c>
      <c r="Q154" s="13"/>
      <c r="R154" s="31">
        <f>IF(P$12=0,0,P154/P$12)</f>
        <v>-1.2044461871540024</v>
      </c>
      <c r="S154" s="13"/>
      <c r="T154" s="33">
        <f>SUM(T151:T153)</f>
        <v>-461743.75836761313</v>
      </c>
      <c r="U154" s="13"/>
      <c r="V154" s="31">
        <f>IF(T$12=0,0,T154/T$12)</f>
        <v>-0.75946445866781986</v>
      </c>
      <c r="W154" s="16"/>
      <c r="X154" s="33">
        <f>+P154-T154</f>
        <v>81374.208367613202</v>
      </c>
      <c r="Y154" s="16"/>
      <c r="Z154" s="31">
        <f>IF(T154=0,0,X154/T154)</f>
        <v>-0.1762323949007836</v>
      </c>
    </row>
    <row r="155" spans="1:26" ht="15" thickTop="1" x14ac:dyDescent="0.3">
      <c r="A155" s="9"/>
      <c r="C155" s="9"/>
      <c r="D155" s="18"/>
      <c r="E155" s="18"/>
      <c r="G155" s="18"/>
      <c r="H155" s="18"/>
      <c r="I155" s="18"/>
      <c r="J155" s="43"/>
      <c r="K155" s="18"/>
      <c r="L155" s="18"/>
      <c r="M155" s="18"/>
      <c r="P155" s="18"/>
      <c r="Q155" s="18"/>
      <c r="R155" s="43"/>
      <c r="S155" s="18"/>
      <c r="T155" s="18"/>
      <c r="U155" s="18"/>
      <c r="V155" s="43"/>
      <c r="W155" s="18"/>
      <c r="X155" s="18"/>
    </row>
    <row r="156" spans="1:26" x14ac:dyDescent="0.3">
      <c r="A156" s="9"/>
      <c r="B156" s="54">
        <v>44462.645470173615</v>
      </c>
      <c r="D156" s="18"/>
      <c r="E156" s="18"/>
      <c r="G156" s="18"/>
      <c r="H156" s="18"/>
      <c r="I156" s="18"/>
      <c r="J156" s="43"/>
      <c r="K156" s="18"/>
      <c r="L156" s="18"/>
      <c r="M156" s="18"/>
      <c r="P156" s="18"/>
      <c r="Q156" s="18"/>
      <c r="R156" s="43"/>
      <c r="S156" s="18"/>
      <c r="T156" s="18"/>
      <c r="U156" s="18"/>
      <c r="V156" s="43"/>
      <c r="W156" s="18"/>
      <c r="X156" s="18"/>
    </row>
    <row r="157" spans="1:26" x14ac:dyDescent="0.3">
      <c r="A157" s="9"/>
      <c r="B157" s="59" t="s">
        <v>56</v>
      </c>
      <c r="D157" s="18"/>
      <c r="E157" s="18"/>
      <c r="G157" s="18"/>
      <c r="H157" s="18"/>
      <c r="I157" s="18"/>
      <c r="J157" s="43"/>
      <c r="K157" s="18"/>
      <c r="L157" s="18"/>
      <c r="M157" s="18"/>
      <c r="P157" s="18"/>
      <c r="Q157" s="18"/>
      <c r="R157" s="43"/>
      <c r="S157" s="18"/>
      <c r="T157" s="18"/>
      <c r="U157" s="18"/>
      <c r="V157" s="43"/>
      <c r="W157" s="18"/>
      <c r="X157" s="18"/>
    </row>
    <row r="158" spans="1:26" x14ac:dyDescent="0.3">
      <c r="A158" s="9"/>
      <c r="B158" s="55"/>
      <c r="D158" s="18"/>
      <c r="E158" s="18"/>
      <c r="G158" s="18"/>
      <c r="H158" s="18"/>
      <c r="I158" s="18"/>
      <c r="J158" s="43"/>
      <c r="K158" s="18"/>
      <c r="L158" s="18"/>
      <c r="M158" s="18"/>
      <c r="P158" s="18"/>
      <c r="Q158" s="18"/>
      <c r="R158" s="43"/>
      <c r="S158" s="18"/>
      <c r="T158" s="18"/>
      <c r="U158" s="18"/>
      <c r="V158" s="43"/>
      <c r="W158" s="18"/>
      <c r="X158" s="18"/>
    </row>
    <row r="159" spans="1:26" x14ac:dyDescent="0.3">
      <c r="D159" s="18"/>
      <c r="E159" s="18"/>
      <c r="G159" s="18"/>
      <c r="H159" s="18"/>
      <c r="I159" s="18"/>
      <c r="J159" s="43"/>
      <c r="K159" s="18"/>
      <c r="L159" s="18"/>
      <c r="M159" s="18"/>
      <c r="P159" s="18"/>
      <c r="Q159" s="18"/>
      <c r="R159" s="43"/>
      <c r="S159" s="18"/>
      <c r="T159" s="18"/>
      <c r="U159" s="18"/>
      <c r="V159" s="43"/>
      <c r="W159" s="18"/>
      <c r="X159" s="18"/>
    </row>
  </sheetData>
  <pageMargins left="0.25" right="0.25" top="0.75" bottom="0.75" header="0.3" footer="0.3"/>
  <pageSetup scale="55" fitToWidth="2" orientation="landscape"/>
  <drawing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>
    <tabColor rgb="FF92D050"/>
    <outlinePr summaryBelow="0" summaryRight="0"/>
  </sheetPr>
  <dimension ref="A2:Z99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50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7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50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7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7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7" customWidth="1" outlineLevel="1"/>
  </cols>
  <sheetData>
    <row r="2" spans="1:26" x14ac:dyDescent="0.3">
      <c r="D2" s="57" t="s">
        <v>23</v>
      </c>
    </row>
    <row r="3" spans="1:26" x14ac:dyDescent="0.3">
      <c r="D3" s="57" t="s">
        <v>237</v>
      </c>
      <c r="E3" s="17"/>
      <c r="F3" s="51"/>
      <c r="G3" s="17"/>
      <c r="H3" s="17"/>
      <c r="I3" s="17"/>
      <c r="J3" s="39"/>
      <c r="K3" s="17"/>
      <c r="L3" s="17"/>
      <c r="M3" s="17"/>
      <c r="N3" s="51"/>
      <c r="O3" s="61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3">
      <c r="D4" s="57" t="str">
        <f>CONCATENATE("Period ",RIGHT(202201,2),", ",2022)</f>
        <v>Period 01, 2022</v>
      </c>
      <c r="E4" s="17"/>
      <c r="F4" s="51"/>
      <c r="G4" s="17"/>
      <c r="H4" s="17"/>
      <c r="I4" s="17"/>
      <c r="J4" s="39"/>
      <c r="K4" s="17"/>
      <c r="L4" s="17"/>
      <c r="M4" s="17"/>
      <c r="N4" s="51"/>
      <c r="O4" s="61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3">
      <c r="A5" s="23"/>
      <c r="D5" s="64">
        <v>44408</v>
      </c>
      <c r="E5" s="17"/>
      <c r="F5" s="51"/>
      <c r="G5" s="17"/>
      <c r="H5" s="17"/>
      <c r="I5" s="17"/>
      <c r="J5" s="39"/>
      <c r="K5" s="17"/>
      <c r="L5" s="17"/>
      <c r="M5" s="17"/>
      <c r="N5" s="51"/>
      <c r="O5" s="61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3">
      <c r="A6" s="23"/>
      <c r="B6" s="47"/>
      <c r="C6" s="47"/>
      <c r="D6" s="23" t="str">
        <f>CONCATENATE("Department ","301", " - ", "Bookstore Operations")</f>
        <v>Department 301 - Bookstore Operations</v>
      </c>
      <c r="E6" s="17"/>
      <c r="F6" s="51"/>
      <c r="G6" s="17"/>
      <c r="H6" s="17"/>
      <c r="I6" s="17"/>
      <c r="J6" s="39"/>
      <c r="K6" s="17"/>
      <c r="L6" s="17"/>
      <c r="M6" s="17"/>
      <c r="N6" s="51"/>
      <c r="O6" s="60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3">
      <c r="B7" s="63"/>
    </row>
    <row r="8" spans="1:26" x14ac:dyDescent="0.3">
      <c r="B8" s="63"/>
    </row>
    <row r="9" spans="1:26" x14ac:dyDescent="0.3">
      <c r="B9" s="9"/>
      <c r="C9" s="9"/>
      <c r="D9" s="15" t="s">
        <v>292</v>
      </c>
      <c r="E9" s="15"/>
      <c r="F9" s="38"/>
      <c r="G9" s="15"/>
      <c r="H9" s="15"/>
      <c r="I9" s="15"/>
      <c r="J9" s="49"/>
      <c r="K9" s="15"/>
      <c r="L9" s="15"/>
      <c r="M9" s="15"/>
      <c r="N9" s="38"/>
      <c r="P9" s="15" t="s">
        <v>39</v>
      </c>
      <c r="Q9" s="15"/>
      <c r="R9" s="38"/>
      <c r="S9" s="15"/>
      <c r="T9" s="15"/>
      <c r="U9" s="15"/>
      <c r="V9" s="49"/>
      <c r="W9" s="15"/>
      <c r="X9" s="15"/>
      <c r="Y9" s="15"/>
      <c r="Z9" s="38"/>
    </row>
    <row r="10" spans="1:26" x14ac:dyDescent="0.3">
      <c r="A10" s="10"/>
      <c r="B10" s="53"/>
      <c r="C10" s="10"/>
      <c r="D10" s="42" t="s">
        <v>57</v>
      </c>
      <c r="E10" s="34"/>
      <c r="F10" s="40" t="s">
        <v>40</v>
      </c>
      <c r="G10" s="34"/>
      <c r="H10" s="45" t="s">
        <v>238</v>
      </c>
      <c r="I10" s="34"/>
      <c r="J10" s="48" t="s">
        <v>58</v>
      </c>
      <c r="K10" s="10"/>
      <c r="L10" s="42" t="s">
        <v>127</v>
      </c>
      <c r="M10" s="10"/>
      <c r="N10" s="40" t="s">
        <v>258</v>
      </c>
      <c r="O10" s="10"/>
      <c r="P10" s="56" t="s">
        <v>57</v>
      </c>
      <c r="Q10" s="34"/>
      <c r="R10" s="40" t="s">
        <v>40</v>
      </c>
      <c r="S10" s="34"/>
      <c r="T10" s="45" t="s">
        <v>238</v>
      </c>
      <c r="U10" s="34"/>
      <c r="V10" s="48" t="s">
        <v>58</v>
      </c>
      <c r="W10" s="10"/>
      <c r="X10" s="42" t="s">
        <v>127</v>
      </c>
      <c r="Y10" s="10"/>
      <c r="Z10" s="40" t="s">
        <v>258</v>
      </c>
    </row>
    <row r="11" spans="1:26" ht="15.6" x14ac:dyDescent="0.3">
      <c r="A11" s="9"/>
      <c r="B11" s="58"/>
      <c r="C11" s="9"/>
      <c r="D11" s="9"/>
      <c r="E11" s="9"/>
      <c r="F11" s="6"/>
      <c r="G11" s="9"/>
      <c r="H11" s="9"/>
      <c r="I11" s="9"/>
      <c r="J11" s="46"/>
      <c r="K11" s="9"/>
      <c r="L11" s="9"/>
      <c r="M11" s="9"/>
      <c r="N11" s="6"/>
      <c r="P11" s="9"/>
      <c r="Q11" s="9"/>
      <c r="R11" s="6"/>
      <c r="S11" s="9"/>
      <c r="T11" s="9"/>
      <c r="U11" s="9"/>
      <c r="V11" s="46"/>
      <c r="W11" s="9"/>
      <c r="X11" s="9"/>
      <c r="Y11" s="9"/>
      <c r="Z11" s="6"/>
    </row>
    <row r="12" spans="1:26" s="23" customFormat="1" x14ac:dyDescent="0.3">
      <c r="A12" s="10"/>
      <c r="B12" s="25" t="s">
        <v>140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3">
      <c r="A13" s="9"/>
      <c r="B13" s="10"/>
      <c r="C13" s="9"/>
      <c r="D13" s="2"/>
      <c r="E13" s="2"/>
      <c r="F13" s="6"/>
      <c r="G13" s="2"/>
      <c r="H13" s="2"/>
      <c r="I13" s="2"/>
      <c r="J13" s="6"/>
      <c r="K13" s="2"/>
      <c r="L13" s="2"/>
      <c r="M13" s="2"/>
      <c r="N13" s="6"/>
      <c r="P13" s="2"/>
      <c r="Q13" s="2"/>
      <c r="R13" s="6"/>
      <c r="S13" s="2"/>
      <c r="T13" s="2"/>
      <c r="U13" s="2"/>
      <c r="V13" s="6"/>
      <c r="W13" s="2"/>
      <c r="X13" s="2"/>
      <c r="Y13" s="2"/>
      <c r="Z13" s="6"/>
    </row>
    <row r="14" spans="1:26" s="23" customFormat="1" x14ac:dyDescent="0.3">
      <c r="A14" s="10"/>
      <c r="B14" s="25" t="s">
        <v>257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3">
      <c r="A15" s="9"/>
      <c r="B15" s="10"/>
      <c r="C15" s="10"/>
      <c r="D15" s="2"/>
      <c r="E15" s="2"/>
      <c r="F15" s="6"/>
      <c r="G15" s="2"/>
      <c r="H15" s="2"/>
      <c r="I15" s="2"/>
      <c r="J15" s="6"/>
      <c r="K15" s="2"/>
      <c r="L15" s="2"/>
      <c r="M15" s="2"/>
      <c r="N15" s="6"/>
      <c r="O15" s="10"/>
      <c r="P15" s="2"/>
      <c r="Q15" s="2"/>
      <c r="R15" s="6"/>
      <c r="S15" s="2"/>
      <c r="T15" s="2"/>
      <c r="U15" s="2"/>
      <c r="V15" s="6"/>
      <c r="W15" s="2"/>
      <c r="X15" s="2"/>
      <c r="Y15" s="2"/>
      <c r="Z15" s="6"/>
    </row>
    <row r="16" spans="1:26" s="23" customFormat="1" x14ac:dyDescent="0.3">
      <c r="A16" s="10"/>
      <c r="B16" s="26" t="s">
        <v>108</v>
      </c>
      <c r="C16" s="26"/>
      <c r="D16" s="21">
        <f>D12-D14</f>
        <v>0</v>
      </c>
      <c r="E16" s="13"/>
      <c r="F16" s="22">
        <f>IF(D$12=0,0,D16/D$12)</f>
        <v>0</v>
      </c>
      <c r="G16" s="13"/>
      <c r="H16" s="21">
        <f>H12-H14</f>
        <v>0</v>
      </c>
      <c r="I16" s="13"/>
      <c r="J16" s="22">
        <f>IF(H$12=0,0,H16/H$12)</f>
        <v>0</v>
      </c>
      <c r="K16" s="16"/>
      <c r="L16" s="21">
        <f>+D16-H16</f>
        <v>0</v>
      </c>
      <c r="M16" s="16"/>
      <c r="N16" s="22">
        <f>IF(H16=0,0,L16/H16)</f>
        <v>0</v>
      </c>
      <c r="O16" s="25"/>
      <c r="P16" s="21">
        <f>P12-P14</f>
        <v>0</v>
      </c>
      <c r="Q16" s="13"/>
      <c r="R16" s="22">
        <f>IF(P$12=0,0,P16/P$12)</f>
        <v>0</v>
      </c>
      <c r="S16" s="13"/>
      <c r="T16" s="21">
        <f>T12-T14</f>
        <v>0</v>
      </c>
      <c r="U16" s="13"/>
      <c r="V16" s="22">
        <f>IF(T$12=0,0,T16/T$12)</f>
        <v>0</v>
      </c>
      <c r="W16" s="16"/>
      <c r="X16" s="21">
        <f>+P16-T16</f>
        <v>0</v>
      </c>
      <c r="Y16" s="16"/>
      <c r="Z16" s="22">
        <f>IF(T16=0,0,X16/T16)</f>
        <v>0</v>
      </c>
    </row>
    <row r="17" spans="1:26" x14ac:dyDescent="0.3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3">
      <c r="A18" s="10"/>
      <c r="B18" s="25" t="s">
        <v>295</v>
      </c>
      <c r="C18" s="10"/>
      <c r="D18" s="20">
        <f>SUM(OSRRefD22x_0)</f>
        <v>179674.92000000004</v>
      </c>
      <c r="E18" s="20"/>
      <c r="F18" s="32">
        <f t="shared" ref="F18:F29" si="0">IF(D$12=0,0,D18/D$12)</f>
        <v>0</v>
      </c>
      <c r="G18" s="20"/>
      <c r="H18" s="20">
        <f>SUM(OSRRefH22x_0)</f>
        <v>164460.77304788464</v>
      </c>
      <c r="I18" s="20"/>
      <c r="J18" s="32">
        <f t="shared" ref="J18:J29" si="1">IF(H$12=0,0,H18/H$12)</f>
        <v>0</v>
      </c>
      <c r="K18" s="4"/>
      <c r="L18" s="20">
        <f t="shared" ref="L18:L29" si="2">+D18-H18</f>
        <v>15214.146952115407</v>
      </c>
      <c r="M18" s="4"/>
      <c r="N18" s="32">
        <f t="shared" ref="N18:N29" si="3">IF(H18=0,0,L18/H18)</f>
        <v>9.2509275434851768E-2</v>
      </c>
      <c r="O18" s="10"/>
      <c r="P18" s="20">
        <f>SUM(OSRRefP22x_0)</f>
        <v>179674.92000000004</v>
      </c>
      <c r="Q18" s="20"/>
      <c r="R18" s="32">
        <f t="shared" ref="R18:R29" si="4">IF(P$12=0,0,P18/P$12)</f>
        <v>0</v>
      </c>
      <c r="S18" s="20"/>
      <c r="T18" s="20">
        <f>SUM(OSRRefT22x_0)</f>
        <v>164460.77304788464</v>
      </c>
      <c r="U18" s="20"/>
      <c r="V18" s="32">
        <f t="shared" ref="V18:V29" si="5">IF(T$12=0,0,T18/T$12)</f>
        <v>0</v>
      </c>
      <c r="W18" s="4"/>
      <c r="X18" s="20">
        <f t="shared" ref="X18:X29" si="6">+P18-T18</f>
        <v>15214.146952115407</v>
      </c>
      <c r="Y18" s="4"/>
      <c r="Z18" s="32">
        <f t="shared" ref="Z18:Z29" si="7">IF(T18=0,0,X18/T18)</f>
        <v>9.2509275434851768E-2</v>
      </c>
    </row>
    <row r="19" spans="1:26" s="27" customFormat="1" outlineLevel="1" collapsed="1" x14ac:dyDescent="0.3">
      <c r="A19" s="28"/>
      <c r="B19" s="14" t="str">
        <f>CONCATENATE("     ","*Benefits                                         ")</f>
        <v xml:space="preserve">     *Benefits                                         </v>
      </c>
      <c r="C19" s="14"/>
      <c r="D19" s="1">
        <f>SUM(OSRRefD22_0x_0)</f>
        <v>13023.77</v>
      </c>
      <c r="E19" s="1"/>
      <c r="F19" s="5">
        <f t="shared" si="0"/>
        <v>0</v>
      </c>
      <c r="G19" s="1"/>
      <c r="H19" s="1">
        <f>SUM(OSRRefH22_0x_0)</f>
        <v>8567.0609325000059</v>
      </c>
      <c r="I19" s="1"/>
      <c r="J19" s="5">
        <f t="shared" si="1"/>
        <v>0</v>
      </c>
      <c r="K19" s="1"/>
      <c r="L19" s="1">
        <f t="shared" si="2"/>
        <v>4456.7090674999945</v>
      </c>
      <c r="M19" s="1"/>
      <c r="N19" s="5">
        <f t="shared" si="3"/>
        <v>0.52021447058850967</v>
      </c>
      <c r="O19" s="14"/>
      <c r="P19" s="1">
        <f>SUM(OSRRefP22_0x_0)</f>
        <v>13023.77</v>
      </c>
      <c r="Q19" s="1"/>
      <c r="R19" s="5">
        <f t="shared" si="4"/>
        <v>0</v>
      </c>
      <c r="S19" s="1"/>
      <c r="T19" s="1">
        <f>SUM(OSRRefT22_0x_0)</f>
        <v>8567.0609325000059</v>
      </c>
      <c r="U19" s="1"/>
      <c r="V19" s="5">
        <f t="shared" si="5"/>
        <v>0</v>
      </c>
      <c r="W19" s="1"/>
      <c r="X19" s="1">
        <f t="shared" si="6"/>
        <v>4456.7090674999945</v>
      </c>
      <c r="Y19" s="1"/>
      <c r="Z19" s="5">
        <f t="shared" si="7"/>
        <v>0.52021447058850967</v>
      </c>
    </row>
    <row r="20" spans="1:26" s="24" customFormat="1" hidden="1" outlineLevel="2" x14ac:dyDescent="0.3">
      <c r="A20" s="29"/>
      <c r="B20" s="11" t="str">
        <f>CONCATENATE("          ", "6111", " - ", "F.I.C.A.")</f>
        <v xml:space="preserve">          6111 - F.I.C.A.</v>
      </c>
      <c r="C20" s="11"/>
      <c r="D20" s="8">
        <v>3019.49</v>
      </c>
      <c r="E20" s="3"/>
      <c r="F20" s="7">
        <f t="shared" si="0"/>
        <v>0</v>
      </c>
      <c r="G20" s="3"/>
      <c r="H20" s="8">
        <v>3964.0523728846201</v>
      </c>
      <c r="I20" s="3"/>
      <c r="J20" s="7">
        <f t="shared" si="1"/>
        <v>0</v>
      </c>
      <c r="K20" s="3"/>
      <c r="L20" s="8">
        <f t="shared" si="2"/>
        <v>-944.56237288462034</v>
      </c>
      <c r="M20" s="3"/>
      <c r="N20" s="7">
        <f t="shared" si="3"/>
        <v>-0.23828201144508776</v>
      </c>
      <c r="O20" s="11"/>
      <c r="P20" s="8">
        <v>3019.49</v>
      </c>
      <c r="Q20" s="3"/>
      <c r="R20" s="7">
        <f t="shared" si="4"/>
        <v>0</v>
      </c>
      <c r="S20" s="3"/>
      <c r="T20" s="8">
        <v>3964.0523728846201</v>
      </c>
      <c r="U20" s="3"/>
      <c r="V20" s="7">
        <f t="shared" si="5"/>
        <v>0</v>
      </c>
      <c r="W20" s="3"/>
      <c r="X20" s="8">
        <f t="shared" si="6"/>
        <v>-944.56237288462034</v>
      </c>
      <c r="Y20" s="3"/>
      <c r="Z20" s="7">
        <f t="shared" si="7"/>
        <v>-0.23828201144508776</v>
      </c>
    </row>
    <row r="21" spans="1:26" s="24" customFormat="1" hidden="1" outlineLevel="2" x14ac:dyDescent="0.3">
      <c r="A21" s="29"/>
      <c r="B21" s="11" t="str">
        <f>CONCATENATE("          ", "6112", " - ", "COMPENSATION INSURANCE")</f>
        <v xml:space="preserve">          6112 - COMPENSATION INSURANCE</v>
      </c>
      <c r="C21" s="11"/>
      <c r="D21" s="8">
        <v>605.14</v>
      </c>
      <c r="E21" s="3"/>
      <c r="F21" s="7">
        <f t="shared" si="0"/>
        <v>0</v>
      </c>
      <c r="G21" s="3"/>
      <c r="H21" s="8">
        <v>808.03890000000001</v>
      </c>
      <c r="I21" s="3"/>
      <c r="J21" s="7">
        <f t="shared" si="1"/>
        <v>0</v>
      </c>
      <c r="K21" s="3"/>
      <c r="L21" s="8">
        <f t="shared" si="2"/>
        <v>-202.89890000000003</v>
      </c>
      <c r="M21" s="3"/>
      <c r="N21" s="7">
        <f t="shared" si="3"/>
        <v>-0.2511004111311968</v>
      </c>
      <c r="O21" s="11"/>
      <c r="P21" s="8">
        <v>605.14</v>
      </c>
      <c r="Q21" s="3"/>
      <c r="R21" s="7">
        <f t="shared" si="4"/>
        <v>0</v>
      </c>
      <c r="S21" s="3"/>
      <c r="T21" s="8">
        <v>808.03890000000001</v>
      </c>
      <c r="U21" s="3"/>
      <c r="V21" s="7">
        <f t="shared" si="5"/>
        <v>0</v>
      </c>
      <c r="W21" s="3"/>
      <c r="X21" s="8">
        <f t="shared" si="6"/>
        <v>-202.89890000000003</v>
      </c>
      <c r="Y21" s="3"/>
      <c r="Z21" s="7">
        <f t="shared" si="7"/>
        <v>-0.2511004111311968</v>
      </c>
    </row>
    <row r="22" spans="1:26" s="24" customFormat="1" hidden="1" outlineLevel="2" x14ac:dyDescent="0.3">
      <c r="A22" s="29"/>
      <c r="B22" s="11" t="str">
        <f>CONCATENATE("          ", "6113", " - ", "GROUP INSURANCE")</f>
        <v xml:space="preserve">          6113 - GROUP INSURANCE</v>
      </c>
      <c r="C22" s="11"/>
      <c r="D22" s="8">
        <v>5081.28</v>
      </c>
      <c r="E22" s="3"/>
      <c r="F22" s="7">
        <f t="shared" si="0"/>
        <v>0</v>
      </c>
      <c r="G22" s="3"/>
      <c r="H22" s="8">
        <v>1456</v>
      </c>
      <c r="I22" s="3"/>
      <c r="J22" s="7">
        <f t="shared" si="1"/>
        <v>0</v>
      </c>
      <c r="K22" s="3"/>
      <c r="L22" s="8">
        <f t="shared" si="2"/>
        <v>3625.2799999999997</v>
      </c>
      <c r="M22" s="3"/>
      <c r="N22" s="7">
        <f t="shared" si="3"/>
        <v>2.4898901098901098</v>
      </c>
      <c r="O22" s="11"/>
      <c r="P22" s="8">
        <v>5081.28</v>
      </c>
      <c r="Q22" s="3"/>
      <c r="R22" s="7">
        <f t="shared" si="4"/>
        <v>0</v>
      </c>
      <c r="S22" s="3"/>
      <c r="T22" s="8">
        <v>1456</v>
      </c>
      <c r="U22" s="3"/>
      <c r="V22" s="7">
        <f t="shared" si="5"/>
        <v>0</v>
      </c>
      <c r="W22" s="3"/>
      <c r="X22" s="8">
        <f t="shared" si="6"/>
        <v>3625.2799999999997</v>
      </c>
      <c r="Y22" s="3"/>
      <c r="Z22" s="7">
        <f t="shared" si="7"/>
        <v>2.4898901098901098</v>
      </c>
    </row>
    <row r="23" spans="1:26" s="24" customFormat="1" hidden="1" outlineLevel="2" x14ac:dyDescent="0.3">
      <c r="A23" s="29"/>
      <c r="B23" s="11" t="str">
        <f>CONCATENATE("          ", "6114", " - ", "STATE UNEMPLOYMENT INSURANCE")</f>
        <v xml:space="preserve">          6114 - STATE UNEMPLOYMENT INSURANCE</v>
      </c>
      <c r="C23" s="11"/>
      <c r="D23" s="8">
        <v>109.65</v>
      </c>
      <c r="E23" s="3"/>
      <c r="F23" s="7">
        <f t="shared" si="0"/>
        <v>0</v>
      </c>
      <c r="G23" s="3"/>
      <c r="H23" s="8">
        <v>108.77446730769201</v>
      </c>
      <c r="I23" s="3"/>
      <c r="J23" s="7">
        <f t="shared" si="1"/>
        <v>0</v>
      </c>
      <c r="K23" s="3"/>
      <c r="L23" s="8">
        <f t="shared" si="2"/>
        <v>0.87553269230799913</v>
      </c>
      <c r="M23" s="3"/>
      <c r="N23" s="7">
        <f t="shared" si="3"/>
        <v>8.0490643988296116E-3</v>
      </c>
      <c r="O23" s="11"/>
      <c r="P23" s="8">
        <v>109.65</v>
      </c>
      <c r="Q23" s="3"/>
      <c r="R23" s="7">
        <f t="shared" si="4"/>
        <v>0</v>
      </c>
      <c r="S23" s="3"/>
      <c r="T23" s="8">
        <v>108.77446730769201</v>
      </c>
      <c r="U23" s="3"/>
      <c r="V23" s="7">
        <f t="shared" si="5"/>
        <v>0</v>
      </c>
      <c r="W23" s="3"/>
      <c r="X23" s="8">
        <f t="shared" si="6"/>
        <v>0.87553269230799913</v>
      </c>
      <c r="Y23" s="3"/>
      <c r="Z23" s="7">
        <f t="shared" si="7"/>
        <v>8.0490643988296116E-3</v>
      </c>
    </row>
    <row r="24" spans="1:26" s="24" customFormat="1" hidden="1" outlineLevel="2" x14ac:dyDescent="0.3">
      <c r="A24" s="29"/>
      <c r="B24" s="11" t="str">
        <f>CONCATENATE("          ", "6115", " - ", "P.E.R.S.")</f>
        <v xml:space="preserve">          6115 - P.E.R.S.</v>
      </c>
      <c r="C24" s="11"/>
      <c r="D24" s="8">
        <v>1518.86</v>
      </c>
      <c r="E24" s="3"/>
      <c r="F24" s="7">
        <f t="shared" si="0"/>
        <v>0</v>
      </c>
      <c r="G24" s="3"/>
      <c r="H24" s="8">
        <v>468.45192307692298</v>
      </c>
      <c r="I24" s="3"/>
      <c r="J24" s="7">
        <f t="shared" si="1"/>
        <v>0</v>
      </c>
      <c r="K24" s="3"/>
      <c r="L24" s="8">
        <f t="shared" si="2"/>
        <v>1050.4080769230768</v>
      </c>
      <c r="M24" s="3"/>
      <c r="N24" s="7">
        <f t="shared" si="3"/>
        <v>2.2422964346558838</v>
      </c>
      <c r="O24" s="11"/>
      <c r="P24" s="8">
        <v>1518.86</v>
      </c>
      <c r="Q24" s="3"/>
      <c r="R24" s="7">
        <f t="shared" si="4"/>
        <v>0</v>
      </c>
      <c r="S24" s="3"/>
      <c r="T24" s="8">
        <v>468.45192307692298</v>
      </c>
      <c r="U24" s="3"/>
      <c r="V24" s="7">
        <f t="shared" si="5"/>
        <v>0</v>
      </c>
      <c r="W24" s="3"/>
      <c r="X24" s="8">
        <f t="shared" si="6"/>
        <v>1050.4080769230768</v>
      </c>
      <c r="Y24" s="3"/>
      <c r="Z24" s="7">
        <f t="shared" si="7"/>
        <v>2.2422964346558838</v>
      </c>
    </row>
    <row r="25" spans="1:26" s="24" customFormat="1" hidden="1" outlineLevel="2" x14ac:dyDescent="0.3">
      <c r="A25" s="29"/>
      <c r="B25" s="11" t="str">
        <f>CONCATENATE("          ", "6116", " - ", "EDUCATIONAL BENEFITS")</f>
        <v xml:space="preserve">          6116 - EDUCATIONAL BENEFITS</v>
      </c>
      <c r="C25" s="11"/>
      <c r="D25" s="8"/>
      <c r="E25" s="3"/>
      <c r="F25" s="7">
        <f t="shared" si="0"/>
        <v>0</v>
      </c>
      <c r="G25" s="3"/>
      <c r="H25" s="8">
        <v>0</v>
      </c>
      <c r="I25" s="3"/>
      <c r="J25" s="7">
        <f t="shared" si="1"/>
        <v>0</v>
      </c>
      <c r="K25" s="3"/>
      <c r="L25" s="8">
        <f t="shared" si="2"/>
        <v>0</v>
      </c>
      <c r="M25" s="3"/>
      <c r="N25" s="7">
        <f t="shared" si="3"/>
        <v>0</v>
      </c>
      <c r="O25" s="11"/>
      <c r="P25" s="8"/>
      <c r="Q25" s="3"/>
      <c r="R25" s="7">
        <f t="shared" si="4"/>
        <v>0</v>
      </c>
      <c r="S25" s="3"/>
      <c r="T25" s="8">
        <v>0</v>
      </c>
      <c r="U25" s="3"/>
      <c r="V25" s="7">
        <f t="shared" si="5"/>
        <v>0</v>
      </c>
      <c r="W25" s="3"/>
      <c r="X25" s="8">
        <f t="shared" si="6"/>
        <v>0</v>
      </c>
      <c r="Y25" s="3"/>
      <c r="Z25" s="7">
        <f t="shared" si="7"/>
        <v>0</v>
      </c>
    </row>
    <row r="26" spans="1:26" s="24" customFormat="1" hidden="1" outlineLevel="2" x14ac:dyDescent="0.3">
      <c r="A26" s="29"/>
      <c r="B26" s="11" t="str">
        <f>CONCATENATE("          ", "6117", " - ", "RETIREMENT STAFF HOURLY")</f>
        <v xml:space="preserve">          6117 - RETIREMENT STAFF HOURLY</v>
      </c>
      <c r="C26" s="11"/>
      <c r="D26" s="8">
        <v>299.24</v>
      </c>
      <c r="E26" s="3"/>
      <c r="F26" s="7">
        <f t="shared" si="0"/>
        <v>0</v>
      </c>
      <c r="G26" s="3"/>
      <c r="H26" s="8"/>
      <c r="I26" s="3"/>
      <c r="J26" s="7">
        <f t="shared" si="1"/>
        <v>0</v>
      </c>
      <c r="K26" s="3"/>
      <c r="L26" s="8">
        <f t="shared" si="2"/>
        <v>299.24</v>
      </c>
      <c r="M26" s="3"/>
      <c r="N26" s="7">
        <f t="shared" si="3"/>
        <v>0</v>
      </c>
      <c r="O26" s="11"/>
      <c r="P26" s="8">
        <v>299.24</v>
      </c>
      <c r="Q26" s="3"/>
      <c r="R26" s="7">
        <f t="shared" si="4"/>
        <v>0</v>
      </c>
      <c r="S26" s="3"/>
      <c r="T26" s="8"/>
      <c r="U26" s="3"/>
      <c r="V26" s="7">
        <f t="shared" si="5"/>
        <v>0</v>
      </c>
      <c r="W26" s="3"/>
      <c r="X26" s="8">
        <f t="shared" si="6"/>
        <v>299.24</v>
      </c>
      <c r="Y26" s="3"/>
      <c r="Z26" s="7">
        <f t="shared" si="7"/>
        <v>0</v>
      </c>
    </row>
    <row r="27" spans="1:26" s="24" customFormat="1" hidden="1" outlineLevel="2" x14ac:dyDescent="0.3">
      <c r="A27" s="29"/>
      <c r="B27" s="11" t="str">
        <f>CONCATENATE("          ", "6118", " - ", "VACATION")</f>
        <v xml:space="preserve">          6118 - VACATION</v>
      </c>
      <c r="C27" s="11"/>
      <c r="D27" s="8">
        <v>1168.29</v>
      </c>
      <c r="E27" s="3"/>
      <c r="F27" s="7">
        <f t="shared" si="0"/>
        <v>0</v>
      </c>
      <c r="G27" s="3"/>
      <c r="H27" s="8">
        <v>311.733461538462</v>
      </c>
      <c r="I27" s="3"/>
      <c r="J27" s="7">
        <f t="shared" si="1"/>
        <v>0</v>
      </c>
      <c r="K27" s="3"/>
      <c r="L27" s="8">
        <f t="shared" si="2"/>
        <v>856.55653846153791</v>
      </c>
      <c r="M27" s="3"/>
      <c r="N27" s="7">
        <f t="shared" si="3"/>
        <v>2.7477208710103618</v>
      </c>
      <c r="O27" s="11"/>
      <c r="P27" s="8">
        <v>1168.29</v>
      </c>
      <c r="Q27" s="3"/>
      <c r="R27" s="7">
        <f t="shared" si="4"/>
        <v>0</v>
      </c>
      <c r="S27" s="3"/>
      <c r="T27" s="8">
        <v>311.733461538462</v>
      </c>
      <c r="U27" s="3"/>
      <c r="V27" s="7">
        <f t="shared" si="5"/>
        <v>0</v>
      </c>
      <c r="W27" s="3"/>
      <c r="X27" s="8">
        <f t="shared" si="6"/>
        <v>856.55653846153791</v>
      </c>
      <c r="Y27" s="3"/>
      <c r="Z27" s="7">
        <f t="shared" si="7"/>
        <v>2.7477208710103618</v>
      </c>
    </row>
    <row r="28" spans="1:26" s="24" customFormat="1" hidden="1" outlineLevel="2" x14ac:dyDescent="0.3">
      <c r="A28" s="29"/>
      <c r="B28" s="11" t="str">
        <f>CONCATENATE("          ", "6119", " - ", "SICK LEAVE")</f>
        <v xml:space="preserve">          6119 - SICK LEAVE</v>
      </c>
      <c r="C28" s="11"/>
      <c r="D28" s="8">
        <v>955.23</v>
      </c>
      <c r="E28" s="3"/>
      <c r="F28" s="7">
        <f t="shared" si="0"/>
        <v>0</v>
      </c>
      <c r="G28" s="3"/>
      <c r="H28" s="8">
        <v>1450.00980769231</v>
      </c>
      <c r="I28" s="3"/>
      <c r="J28" s="7">
        <f t="shared" si="1"/>
        <v>0</v>
      </c>
      <c r="K28" s="3"/>
      <c r="L28" s="8">
        <f t="shared" si="2"/>
        <v>-494.77980769230999</v>
      </c>
      <c r="M28" s="3"/>
      <c r="N28" s="7">
        <f t="shared" si="3"/>
        <v>-0.34122514555936129</v>
      </c>
      <c r="O28" s="11"/>
      <c r="P28" s="8">
        <v>955.23</v>
      </c>
      <c r="Q28" s="3"/>
      <c r="R28" s="7">
        <f t="shared" si="4"/>
        <v>0</v>
      </c>
      <c r="S28" s="3"/>
      <c r="T28" s="8">
        <v>1450.00980769231</v>
      </c>
      <c r="U28" s="3"/>
      <c r="V28" s="7">
        <f t="shared" si="5"/>
        <v>0</v>
      </c>
      <c r="W28" s="3"/>
      <c r="X28" s="8">
        <f t="shared" si="6"/>
        <v>-494.77980769230999</v>
      </c>
      <c r="Y28" s="3"/>
      <c r="Z28" s="7">
        <f t="shared" si="7"/>
        <v>-0.34122514555936129</v>
      </c>
    </row>
    <row r="29" spans="1:26" s="24" customFormat="1" hidden="1" outlineLevel="2" x14ac:dyDescent="0.3">
      <c r="A29" s="29"/>
      <c r="B29" s="11" t="str">
        <f>CONCATENATE("          ", "6156", " - ", "EMPLOYEE MEALS")</f>
        <v xml:space="preserve">          6156 - EMPLOYEE MEALS</v>
      </c>
      <c r="C29" s="11"/>
      <c r="D29" s="8">
        <v>266.58999999999997</v>
      </c>
      <c r="E29" s="3"/>
      <c r="F29" s="7">
        <f t="shared" si="0"/>
        <v>0</v>
      </c>
      <c r="G29" s="3"/>
      <c r="H29" s="8"/>
      <c r="I29" s="3"/>
      <c r="J29" s="7">
        <f t="shared" si="1"/>
        <v>0</v>
      </c>
      <c r="K29" s="3"/>
      <c r="L29" s="8">
        <f t="shared" si="2"/>
        <v>266.58999999999997</v>
      </c>
      <c r="M29" s="3"/>
      <c r="N29" s="7">
        <f t="shared" si="3"/>
        <v>0</v>
      </c>
      <c r="O29" s="11"/>
      <c r="P29" s="8">
        <v>266.58999999999997</v>
      </c>
      <c r="Q29" s="3"/>
      <c r="R29" s="7">
        <f t="shared" si="4"/>
        <v>0</v>
      </c>
      <c r="S29" s="3"/>
      <c r="T29" s="8"/>
      <c r="U29" s="3"/>
      <c r="V29" s="7">
        <f t="shared" si="5"/>
        <v>0</v>
      </c>
      <c r="W29" s="3"/>
      <c r="X29" s="8">
        <f t="shared" si="6"/>
        <v>266.58999999999997</v>
      </c>
      <c r="Y29" s="3"/>
      <c r="Z29" s="7">
        <f t="shared" si="7"/>
        <v>0</v>
      </c>
    </row>
    <row r="30" spans="1:26" s="27" customFormat="1" outlineLevel="1" collapsed="1" x14ac:dyDescent="0.3">
      <c r="A30" s="28"/>
      <c r="B30" s="14" t="str">
        <f>CONCATENATE("     ","*Payroll                                          ")</f>
        <v xml:space="preserve">     *Payroll                                          </v>
      </c>
      <c r="C30" s="14"/>
      <c r="D30" s="1">
        <f>SUM(OSRRefD22_1x_0)</f>
        <v>55192.97</v>
      </c>
      <c r="E30" s="1"/>
      <c r="F30" s="5">
        <f t="shared" ref="F30:F40" si="8">IF(D$12=0,0,D30/D$12)</f>
        <v>0</v>
      </c>
      <c r="G30" s="1"/>
      <c r="H30" s="1">
        <f>SUM(OSRRefH22_1x_0)</f>
        <v>51518.712115384624</v>
      </c>
      <c r="I30" s="1"/>
      <c r="J30" s="5">
        <f t="shared" ref="J30:J40" si="9">IF(H$12=0,0,H30/H$12)</f>
        <v>0</v>
      </c>
      <c r="K30" s="1"/>
      <c r="L30" s="1">
        <f t="shared" ref="L30:L40" si="10">+D30-H30</f>
        <v>3674.2578846153774</v>
      </c>
      <c r="M30" s="1"/>
      <c r="N30" s="5">
        <f t="shared" ref="N30:N40" si="11">IF(H30=0,0,L30/H30)</f>
        <v>7.1318900138386085E-2</v>
      </c>
      <c r="O30" s="14"/>
      <c r="P30" s="1">
        <f>SUM(OSRRefP22_1x_0)</f>
        <v>55192.97</v>
      </c>
      <c r="Q30" s="1"/>
      <c r="R30" s="5">
        <f t="shared" ref="R30:R40" si="12">IF(P$12=0,0,P30/P$12)</f>
        <v>0</v>
      </c>
      <c r="S30" s="1"/>
      <c r="T30" s="1">
        <f>SUM(OSRRefT22_1x_0)</f>
        <v>51518.712115384624</v>
      </c>
      <c r="U30" s="1"/>
      <c r="V30" s="5">
        <f t="shared" ref="V30:V40" si="13">IF(T$12=0,0,T30/T$12)</f>
        <v>0</v>
      </c>
      <c r="W30" s="1"/>
      <c r="X30" s="1">
        <f t="shared" ref="X30:X40" si="14">+P30-T30</f>
        <v>3674.2578846153774</v>
      </c>
      <c r="Y30" s="1"/>
      <c r="Z30" s="5">
        <f t="shared" ref="Z30:Z40" si="15">IF(T30=0,0,X30/T30)</f>
        <v>7.1318900138386085E-2</v>
      </c>
    </row>
    <row r="31" spans="1:26" s="24" customFormat="1" hidden="1" outlineLevel="2" x14ac:dyDescent="0.3">
      <c r="A31" s="29"/>
      <c r="B31" s="11" t="str">
        <f>CONCATENATE("          ", "6001", " - ", "ADMINISTRATIVE SALARIES")</f>
        <v xml:space="preserve">          6001 - ADMINISTRATIVE SALARIES</v>
      </c>
      <c r="C31" s="11"/>
      <c r="D31" s="8">
        <v>5599.1</v>
      </c>
      <c r="E31" s="3"/>
      <c r="F31" s="7">
        <f t="shared" si="8"/>
        <v>0</v>
      </c>
      <c r="G31" s="3"/>
      <c r="H31" s="8">
        <v>5174.7596153846198</v>
      </c>
      <c r="I31" s="3"/>
      <c r="J31" s="7">
        <f t="shared" si="9"/>
        <v>0</v>
      </c>
      <c r="K31" s="3"/>
      <c r="L31" s="8">
        <f t="shared" si="10"/>
        <v>424.34038461538057</v>
      </c>
      <c r="M31" s="3"/>
      <c r="N31" s="7">
        <f t="shared" si="11"/>
        <v>8.2001951038230214E-2</v>
      </c>
      <c r="O31" s="11"/>
      <c r="P31" s="8">
        <v>5599.1</v>
      </c>
      <c r="Q31" s="3"/>
      <c r="R31" s="7">
        <f t="shared" si="12"/>
        <v>0</v>
      </c>
      <c r="S31" s="3"/>
      <c r="T31" s="8">
        <v>5174.7596153846198</v>
      </c>
      <c r="U31" s="3"/>
      <c r="V31" s="7">
        <f t="shared" si="13"/>
        <v>0</v>
      </c>
      <c r="W31" s="3"/>
      <c r="X31" s="8">
        <f t="shared" si="14"/>
        <v>424.34038461538057</v>
      </c>
      <c r="Y31" s="3"/>
      <c r="Z31" s="7">
        <f t="shared" si="15"/>
        <v>8.2001951038230214E-2</v>
      </c>
    </row>
    <row r="32" spans="1:26" s="24" customFormat="1" hidden="1" outlineLevel="2" x14ac:dyDescent="0.3">
      <c r="A32" s="29"/>
      <c r="B32" s="11" t="str">
        <f>CONCATENATE("          ", "6002", " - ", "STAFF SALARIES")</f>
        <v xml:space="preserve">          6002 - STAFF SALARIES</v>
      </c>
      <c r="C32" s="11"/>
      <c r="D32" s="8">
        <v>13415.64</v>
      </c>
      <c r="E32" s="3"/>
      <c r="F32" s="7">
        <f t="shared" si="8"/>
        <v>0</v>
      </c>
      <c r="G32" s="3"/>
      <c r="H32" s="8">
        <v>0</v>
      </c>
      <c r="I32" s="3"/>
      <c r="J32" s="7">
        <f t="shared" si="9"/>
        <v>0</v>
      </c>
      <c r="K32" s="3"/>
      <c r="L32" s="8">
        <f t="shared" si="10"/>
        <v>13415.64</v>
      </c>
      <c r="M32" s="3"/>
      <c r="N32" s="7">
        <f t="shared" si="11"/>
        <v>0</v>
      </c>
      <c r="O32" s="11"/>
      <c r="P32" s="8">
        <v>13415.64</v>
      </c>
      <c r="Q32" s="3"/>
      <c r="R32" s="7">
        <f t="shared" si="12"/>
        <v>0</v>
      </c>
      <c r="S32" s="3"/>
      <c r="T32" s="8">
        <v>0</v>
      </c>
      <c r="U32" s="3"/>
      <c r="V32" s="7">
        <f t="shared" si="13"/>
        <v>0</v>
      </c>
      <c r="W32" s="3"/>
      <c r="X32" s="8">
        <f t="shared" si="14"/>
        <v>13415.64</v>
      </c>
      <c r="Y32" s="3"/>
      <c r="Z32" s="7">
        <f t="shared" si="15"/>
        <v>0</v>
      </c>
    </row>
    <row r="33" spans="1:26" s="24" customFormat="1" hidden="1" outlineLevel="2" x14ac:dyDescent="0.3">
      <c r="A33" s="29"/>
      <c r="B33" s="11" t="str">
        <f>CONCATENATE("          ", "6003", " - ", "STAFF HOURLY-9 MONTH")</f>
        <v xml:space="preserve">          6003 - STAFF HOURLY-9 MONTH</v>
      </c>
      <c r="C33" s="11"/>
      <c r="D33" s="8"/>
      <c r="E33" s="3"/>
      <c r="F33" s="7">
        <f t="shared" si="8"/>
        <v>0</v>
      </c>
      <c r="G33" s="3"/>
      <c r="H33" s="8">
        <v>0</v>
      </c>
      <c r="I33" s="3"/>
      <c r="J33" s="7">
        <f t="shared" si="9"/>
        <v>0</v>
      </c>
      <c r="K33" s="3"/>
      <c r="L33" s="8">
        <f t="shared" si="10"/>
        <v>0</v>
      </c>
      <c r="M33" s="3"/>
      <c r="N33" s="7">
        <f t="shared" si="11"/>
        <v>0</v>
      </c>
      <c r="O33" s="11"/>
      <c r="P33" s="8"/>
      <c r="Q33" s="3"/>
      <c r="R33" s="7">
        <f t="shared" si="12"/>
        <v>0</v>
      </c>
      <c r="S33" s="3"/>
      <c r="T33" s="8">
        <v>0</v>
      </c>
      <c r="U33" s="3"/>
      <c r="V33" s="7">
        <f t="shared" si="13"/>
        <v>0</v>
      </c>
      <c r="W33" s="3"/>
      <c r="X33" s="8">
        <f t="shared" si="14"/>
        <v>0</v>
      </c>
      <c r="Y33" s="3"/>
      <c r="Z33" s="7">
        <f t="shared" si="15"/>
        <v>0</v>
      </c>
    </row>
    <row r="34" spans="1:26" s="24" customFormat="1" hidden="1" outlineLevel="2" x14ac:dyDescent="0.3">
      <c r="A34" s="29"/>
      <c r="B34" s="11" t="str">
        <f>CONCATENATE("          ", "6004", " - ", "STAFF HOURLY")</f>
        <v xml:space="preserve">          6004 - STAFF HOURLY</v>
      </c>
      <c r="C34" s="11"/>
      <c r="D34" s="8">
        <v>3554.5</v>
      </c>
      <c r="E34" s="3"/>
      <c r="F34" s="7">
        <f t="shared" si="8"/>
        <v>0</v>
      </c>
      <c r="G34" s="3"/>
      <c r="H34" s="8">
        <v>10144.290000000001</v>
      </c>
      <c r="I34" s="3"/>
      <c r="J34" s="7">
        <f t="shared" si="9"/>
        <v>0</v>
      </c>
      <c r="K34" s="3"/>
      <c r="L34" s="8">
        <f t="shared" si="10"/>
        <v>-6589.7900000000009</v>
      </c>
      <c r="M34" s="3"/>
      <c r="N34" s="7">
        <f t="shared" si="11"/>
        <v>-0.64960583737255151</v>
      </c>
      <c r="O34" s="11"/>
      <c r="P34" s="8">
        <v>3554.5</v>
      </c>
      <c r="Q34" s="3"/>
      <c r="R34" s="7">
        <f t="shared" si="12"/>
        <v>0</v>
      </c>
      <c r="S34" s="3"/>
      <c r="T34" s="8">
        <v>10144.290000000001</v>
      </c>
      <c r="U34" s="3"/>
      <c r="V34" s="7">
        <f t="shared" si="13"/>
        <v>0</v>
      </c>
      <c r="W34" s="3"/>
      <c r="X34" s="8">
        <f t="shared" si="14"/>
        <v>-6589.7900000000009</v>
      </c>
      <c r="Y34" s="3"/>
      <c r="Z34" s="7">
        <f t="shared" si="15"/>
        <v>-0.64960583737255151</v>
      </c>
    </row>
    <row r="35" spans="1:26" s="24" customFormat="1" hidden="1" outlineLevel="2" x14ac:dyDescent="0.3">
      <c r="A35" s="29"/>
      <c r="B35" s="11" t="str">
        <f>CONCATENATE("          ", "6005", " - ", "TEMPORARY WAGES-HOURLY")</f>
        <v xml:space="preserve">          6005 - TEMPORARY WAGES-HOURLY</v>
      </c>
      <c r="C35" s="11"/>
      <c r="D35" s="8">
        <v>2204.2399999999998</v>
      </c>
      <c r="E35" s="3"/>
      <c r="F35" s="7">
        <f t="shared" si="8"/>
        <v>0</v>
      </c>
      <c r="G35" s="3"/>
      <c r="H35" s="8">
        <v>0</v>
      </c>
      <c r="I35" s="3"/>
      <c r="J35" s="7">
        <f t="shared" si="9"/>
        <v>0</v>
      </c>
      <c r="K35" s="3"/>
      <c r="L35" s="8">
        <f t="shared" si="10"/>
        <v>2204.2399999999998</v>
      </c>
      <c r="M35" s="3"/>
      <c r="N35" s="7">
        <f t="shared" si="11"/>
        <v>0</v>
      </c>
      <c r="O35" s="11"/>
      <c r="P35" s="8">
        <v>2204.2399999999998</v>
      </c>
      <c r="Q35" s="3"/>
      <c r="R35" s="7">
        <f t="shared" si="12"/>
        <v>0</v>
      </c>
      <c r="S35" s="3"/>
      <c r="T35" s="8">
        <v>0</v>
      </c>
      <c r="U35" s="3"/>
      <c r="V35" s="7">
        <f t="shared" si="13"/>
        <v>0</v>
      </c>
      <c r="W35" s="3"/>
      <c r="X35" s="8">
        <f t="shared" si="14"/>
        <v>2204.2399999999998</v>
      </c>
      <c r="Y35" s="3"/>
      <c r="Z35" s="7">
        <f t="shared" si="15"/>
        <v>0</v>
      </c>
    </row>
    <row r="36" spans="1:26" s="24" customFormat="1" hidden="1" outlineLevel="2" x14ac:dyDescent="0.3">
      <c r="A36" s="29"/>
      <c r="B36" s="11" t="str">
        <f>CONCATENATE("          ", "6006", " - ", "TEMPORARY PART TIME")</f>
        <v xml:space="preserve">          6006 - TEMPORARY PART TIME</v>
      </c>
      <c r="C36" s="11"/>
      <c r="D36" s="8">
        <v>2864.4</v>
      </c>
      <c r="E36" s="3"/>
      <c r="F36" s="7">
        <f t="shared" si="8"/>
        <v>0</v>
      </c>
      <c r="G36" s="3"/>
      <c r="H36" s="8">
        <v>0</v>
      </c>
      <c r="I36" s="3"/>
      <c r="J36" s="7">
        <f t="shared" si="9"/>
        <v>0</v>
      </c>
      <c r="K36" s="3"/>
      <c r="L36" s="8">
        <f t="shared" si="10"/>
        <v>2864.4</v>
      </c>
      <c r="M36" s="3"/>
      <c r="N36" s="7">
        <f t="shared" si="11"/>
        <v>0</v>
      </c>
      <c r="O36" s="11"/>
      <c r="P36" s="8">
        <v>2864.4</v>
      </c>
      <c r="Q36" s="3"/>
      <c r="R36" s="7">
        <f t="shared" si="12"/>
        <v>0</v>
      </c>
      <c r="S36" s="3"/>
      <c r="T36" s="8">
        <v>0</v>
      </c>
      <c r="U36" s="3"/>
      <c r="V36" s="7">
        <f t="shared" si="13"/>
        <v>0</v>
      </c>
      <c r="W36" s="3"/>
      <c r="X36" s="8">
        <f t="shared" si="14"/>
        <v>2864.4</v>
      </c>
      <c r="Y36" s="3"/>
      <c r="Z36" s="7">
        <f t="shared" si="15"/>
        <v>0</v>
      </c>
    </row>
    <row r="37" spans="1:26" s="24" customFormat="1" hidden="1" outlineLevel="2" x14ac:dyDescent="0.3">
      <c r="A37" s="29"/>
      <c r="B37" s="11" t="str">
        <f>CONCATENATE("          ", "6007", " - ", "STUDENT HOURLY")</f>
        <v xml:space="preserve">          6007 - STUDENT HOURLY</v>
      </c>
      <c r="C37" s="11"/>
      <c r="D37" s="8">
        <v>25588.93</v>
      </c>
      <c r="E37" s="3"/>
      <c r="F37" s="7">
        <f t="shared" si="8"/>
        <v>0</v>
      </c>
      <c r="G37" s="3"/>
      <c r="H37" s="8">
        <v>36199.662499999999</v>
      </c>
      <c r="I37" s="3"/>
      <c r="J37" s="7">
        <f t="shared" si="9"/>
        <v>0</v>
      </c>
      <c r="K37" s="3"/>
      <c r="L37" s="8">
        <f t="shared" si="10"/>
        <v>-10610.732499999998</v>
      </c>
      <c r="M37" s="3"/>
      <c r="N37" s="7">
        <f t="shared" si="11"/>
        <v>-0.29311689024725018</v>
      </c>
      <c r="O37" s="11"/>
      <c r="P37" s="8">
        <v>25588.93</v>
      </c>
      <c r="Q37" s="3"/>
      <c r="R37" s="7">
        <f t="shared" si="12"/>
        <v>0</v>
      </c>
      <c r="S37" s="3"/>
      <c r="T37" s="8">
        <v>36199.662499999999</v>
      </c>
      <c r="U37" s="3"/>
      <c r="V37" s="7">
        <f t="shared" si="13"/>
        <v>0</v>
      </c>
      <c r="W37" s="3"/>
      <c r="X37" s="8">
        <f t="shared" si="14"/>
        <v>-10610.732499999998</v>
      </c>
      <c r="Y37" s="3"/>
      <c r="Z37" s="7">
        <f t="shared" si="15"/>
        <v>-0.29311689024725018</v>
      </c>
    </row>
    <row r="38" spans="1:26" s="24" customFormat="1" hidden="1" outlineLevel="2" x14ac:dyDescent="0.3">
      <c r="A38" s="29"/>
      <c r="B38" s="11" t="str">
        <f>CONCATENATE("          ", "6008", " - ", "STUDENT HOURLY-FICA EXEMPT")</f>
        <v xml:space="preserve">          6008 - STUDENT HOURLY-FICA EXEMPT</v>
      </c>
      <c r="C38" s="11"/>
      <c r="D38" s="8">
        <v>1966.16</v>
      </c>
      <c r="E38" s="3"/>
      <c r="F38" s="7">
        <f t="shared" si="8"/>
        <v>0</v>
      </c>
      <c r="G38" s="3"/>
      <c r="H38" s="8">
        <v>0</v>
      </c>
      <c r="I38" s="3"/>
      <c r="J38" s="7">
        <f t="shared" si="9"/>
        <v>0</v>
      </c>
      <c r="K38" s="3"/>
      <c r="L38" s="8">
        <f t="shared" si="10"/>
        <v>1966.16</v>
      </c>
      <c r="M38" s="3"/>
      <c r="N38" s="7">
        <f t="shared" si="11"/>
        <v>0</v>
      </c>
      <c r="O38" s="11"/>
      <c r="P38" s="8">
        <v>1966.16</v>
      </c>
      <c r="Q38" s="3"/>
      <c r="R38" s="7">
        <f t="shared" si="12"/>
        <v>0</v>
      </c>
      <c r="S38" s="3"/>
      <c r="T38" s="8">
        <v>0</v>
      </c>
      <c r="U38" s="3"/>
      <c r="V38" s="7">
        <f t="shared" si="13"/>
        <v>0</v>
      </c>
      <c r="W38" s="3"/>
      <c r="X38" s="8">
        <f t="shared" si="14"/>
        <v>1966.16</v>
      </c>
      <c r="Y38" s="3"/>
      <c r="Z38" s="7">
        <f t="shared" si="15"/>
        <v>0</v>
      </c>
    </row>
    <row r="39" spans="1:26" s="24" customFormat="1" hidden="1" outlineLevel="2" x14ac:dyDescent="0.3">
      <c r="A39" s="29"/>
      <c r="B39" s="11" t="str">
        <f>CONCATENATE("          ", "6009", " - ", "TEMPORARY-SEASONAL")</f>
        <v xml:space="preserve">          6009 - TEMPORARY-SEASONAL</v>
      </c>
      <c r="C39" s="11"/>
      <c r="D39" s="8"/>
      <c r="E39" s="3"/>
      <c r="F39" s="7">
        <f t="shared" si="8"/>
        <v>0</v>
      </c>
      <c r="G39" s="3"/>
      <c r="H39" s="8">
        <v>0</v>
      </c>
      <c r="I39" s="3"/>
      <c r="J39" s="7">
        <f t="shared" si="9"/>
        <v>0</v>
      </c>
      <c r="K39" s="3"/>
      <c r="L39" s="8">
        <f t="shared" si="10"/>
        <v>0</v>
      </c>
      <c r="M39" s="3"/>
      <c r="N39" s="7">
        <f t="shared" si="11"/>
        <v>0</v>
      </c>
      <c r="O39" s="11"/>
      <c r="P39" s="8"/>
      <c r="Q39" s="3"/>
      <c r="R39" s="7">
        <f t="shared" si="12"/>
        <v>0</v>
      </c>
      <c r="S39" s="3"/>
      <c r="T39" s="8">
        <v>0</v>
      </c>
      <c r="U39" s="3"/>
      <c r="V39" s="7">
        <f t="shared" si="13"/>
        <v>0</v>
      </c>
      <c r="W39" s="3"/>
      <c r="X39" s="8">
        <f t="shared" si="14"/>
        <v>0</v>
      </c>
      <c r="Y39" s="3"/>
      <c r="Z39" s="7">
        <f t="shared" si="15"/>
        <v>0</v>
      </c>
    </row>
    <row r="40" spans="1:26" s="24" customFormat="1" hidden="1" outlineLevel="2" x14ac:dyDescent="0.3">
      <c r="A40" s="29"/>
      <c r="B40" s="11" t="str">
        <f>CONCATENATE("          ", "6010", " - ", "GRATUITY")</f>
        <v xml:space="preserve">          6010 - GRATUITY</v>
      </c>
      <c r="C40" s="11"/>
      <c r="D40" s="8"/>
      <c r="E40" s="3"/>
      <c r="F40" s="7">
        <f t="shared" si="8"/>
        <v>0</v>
      </c>
      <c r="G40" s="3"/>
      <c r="H40" s="8">
        <v>0</v>
      </c>
      <c r="I40" s="3"/>
      <c r="J40" s="7">
        <f t="shared" si="9"/>
        <v>0</v>
      </c>
      <c r="K40" s="3"/>
      <c r="L40" s="8">
        <f t="shared" si="10"/>
        <v>0</v>
      </c>
      <c r="M40" s="3"/>
      <c r="N40" s="7">
        <f t="shared" si="11"/>
        <v>0</v>
      </c>
      <c r="O40" s="11"/>
      <c r="P40" s="8"/>
      <c r="Q40" s="3"/>
      <c r="R40" s="7">
        <f t="shared" si="12"/>
        <v>0</v>
      </c>
      <c r="S40" s="3"/>
      <c r="T40" s="8">
        <v>0</v>
      </c>
      <c r="U40" s="3"/>
      <c r="V40" s="7">
        <f t="shared" si="13"/>
        <v>0</v>
      </c>
      <c r="W40" s="3"/>
      <c r="X40" s="8">
        <f t="shared" si="14"/>
        <v>0</v>
      </c>
      <c r="Y40" s="3"/>
      <c r="Z40" s="7">
        <f t="shared" si="15"/>
        <v>0</v>
      </c>
    </row>
    <row r="41" spans="1:26" s="27" customFormat="1" outlineLevel="1" collapsed="1" x14ac:dyDescent="0.3">
      <c r="A41" s="28"/>
      <c r="B41" s="14" t="str">
        <f>CONCATENATE("     ","Bad Debts/Over/Short                              ")</f>
        <v xml:space="preserve">     Bad Debts/Over/Short                              </v>
      </c>
      <c r="C41" s="14"/>
      <c r="D41" s="1">
        <f>SUM(OSRRefD22_2x_0)</f>
        <v>0.67</v>
      </c>
      <c r="E41" s="1"/>
      <c r="F41" s="5">
        <f t="shared" ref="F41:F47" si="16">IF(D$12=0,0,D41/D$12)</f>
        <v>0</v>
      </c>
      <c r="G41" s="1"/>
      <c r="H41" s="1">
        <f>SUM(OSRRefH22_2x_0)</f>
        <v>200</v>
      </c>
      <c r="I41" s="1"/>
      <c r="J41" s="5">
        <f t="shared" ref="J41:J47" si="17">IF(H$12=0,0,H41/H$12)</f>
        <v>0</v>
      </c>
      <c r="K41" s="1"/>
      <c r="L41" s="1">
        <f t="shared" ref="L41:L47" si="18">+D41-H41</f>
        <v>-199.33</v>
      </c>
      <c r="M41" s="1"/>
      <c r="N41" s="5">
        <f t="shared" ref="N41:N47" si="19">IF(H41=0,0,L41/H41)</f>
        <v>-0.99665000000000004</v>
      </c>
      <c r="O41" s="14"/>
      <c r="P41" s="1">
        <f>SUM(OSRRefP22_2x_0)</f>
        <v>0.67</v>
      </c>
      <c r="Q41" s="1"/>
      <c r="R41" s="5">
        <f t="shared" ref="R41:R47" si="20">IF(P$12=0,0,P41/P$12)</f>
        <v>0</v>
      </c>
      <c r="S41" s="1"/>
      <c r="T41" s="1">
        <f>SUM(OSRRefT22_2x_0)</f>
        <v>200</v>
      </c>
      <c r="U41" s="1"/>
      <c r="V41" s="5">
        <f t="shared" ref="V41:V47" si="21">IF(T$12=0,0,T41/T$12)</f>
        <v>0</v>
      </c>
      <c r="W41" s="1"/>
      <c r="X41" s="1">
        <f t="shared" ref="X41:X47" si="22">+P41-T41</f>
        <v>-199.33</v>
      </c>
      <c r="Y41" s="1"/>
      <c r="Z41" s="5">
        <f t="shared" ref="Z41:Z47" si="23">IF(T41=0,0,X41/T41)</f>
        <v>-0.99665000000000004</v>
      </c>
    </row>
    <row r="42" spans="1:26" s="24" customFormat="1" hidden="1" outlineLevel="2" x14ac:dyDescent="0.3">
      <c r="A42" s="29"/>
      <c r="B42" s="11" t="str">
        <f>CONCATENATE("          ", "6272", " - ", "CASH (OVER/SHORT)")</f>
        <v xml:space="preserve">          6272 - CASH (OVER/SHORT)</v>
      </c>
      <c r="C42" s="11"/>
      <c r="D42" s="8">
        <v>0.67</v>
      </c>
      <c r="E42" s="3"/>
      <c r="F42" s="7">
        <f t="shared" si="16"/>
        <v>0</v>
      </c>
      <c r="G42" s="3"/>
      <c r="H42" s="8">
        <v>200</v>
      </c>
      <c r="I42" s="3"/>
      <c r="J42" s="7">
        <f t="shared" si="17"/>
        <v>0</v>
      </c>
      <c r="K42" s="3"/>
      <c r="L42" s="8">
        <f t="shared" si="18"/>
        <v>-199.33</v>
      </c>
      <c r="M42" s="3"/>
      <c r="N42" s="7">
        <f t="shared" si="19"/>
        <v>-0.99665000000000004</v>
      </c>
      <c r="O42" s="11"/>
      <c r="P42" s="8">
        <v>0.67</v>
      </c>
      <c r="Q42" s="3"/>
      <c r="R42" s="7">
        <f t="shared" si="20"/>
        <v>0</v>
      </c>
      <c r="S42" s="3"/>
      <c r="T42" s="8">
        <v>200</v>
      </c>
      <c r="U42" s="3"/>
      <c r="V42" s="7">
        <f t="shared" si="21"/>
        <v>0</v>
      </c>
      <c r="W42" s="3"/>
      <c r="X42" s="8">
        <f t="shared" si="22"/>
        <v>-199.33</v>
      </c>
      <c r="Y42" s="3"/>
      <c r="Z42" s="7">
        <f t="shared" si="23"/>
        <v>-0.99665000000000004</v>
      </c>
    </row>
    <row r="43" spans="1:26" s="27" customFormat="1" outlineLevel="1" collapsed="1" x14ac:dyDescent="0.3">
      <c r="A43" s="28"/>
      <c r="B43" s="14" t="str">
        <f>CONCATENATE("     ","Bank/card Fees                                    ")</f>
        <v xml:space="preserve">     Bank/card Fees                                    </v>
      </c>
      <c r="C43" s="14"/>
      <c r="D43" s="1">
        <f>SUM(OSRRefD22_3x_0)</f>
        <v>3469.56</v>
      </c>
      <c r="E43" s="1"/>
      <c r="F43" s="5">
        <f t="shared" si="16"/>
        <v>0</v>
      </c>
      <c r="G43" s="1"/>
      <c r="H43" s="1">
        <f>SUM(OSRRefH22_3x_0)</f>
        <v>10600</v>
      </c>
      <c r="I43" s="1"/>
      <c r="J43" s="5">
        <f t="shared" si="17"/>
        <v>0</v>
      </c>
      <c r="K43" s="1"/>
      <c r="L43" s="1">
        <f t="shared" si="18"/>
        <v>-7130.4400000000005</v>
      </c>
      <c r="M43" s="1"/>
      <c r="N43" s="5">
        <f t="shared" si="19"/>
        <v>-0.67268301886792459</v>
      </c>
      <c r="O43" s="14"/>
      <c r="P43" s="1">
        <f>SUM(OSRRefP22_3x_0)</f>
        <v>3469.56</v>
      </c>
      <c r="Q43" s="1"/>
      <c r="R43" s="5">
        <f t="shared" si="20"/>
        <v>0</v>
      </c>
      <c r="S43" s="1"/>
      <c r="T43" s="1">
        <f>SUM(OSRRefT22_3x_0)</f>
        <v>10600</v>
      </c>
      <c r="U43" s="1"/>
      <c r="V43" s="5">
        <f t="shared" si="21"/>
        <v>0</v>
      </c>
      <c r="W43" s="1"/>
      <c r="X43" s="1">
        <f t="shared" si="22"/>
        <v>-7130.4400000000005</v>
      </c>
      <c r="Y43" s="1"/>
      <c r="Z43" s="5">
        <f t="shared" si="23"/>
        <v>-0.67268301886792459</v>
      </c>
    </row>
    <row r="44" spans="1:26" s="24" customFormat="1" hidden="1" outlineLevel="2" x14ac:dyDescent="0.3">
      <c r="A44" s="29"/>
      <c r="B44" s="11" t="str">
        <f>CONCATENATE("          ", "6381", " - ", "BANK/CREDIT CARD FEES")</f>
        <v xml:space="preserve">          6381 - BANK/CREDIT CARD FEES</v>
      </c>
      <c r="C44" s="11"/>
      <c r="D44" s="8">
        <v>3469.56</v>
      </c>
      <c r="E44" s="3"/>
      <c r="F44" s="7">
        <f t="shared" si="16"/>
        <v>0</v>
      </c>
      <c r="G44" s="3"/>
      <c r="H44" s="8">
        <v>10600</v>
      </c>
      <c r="I44" s="3"/>
      <c r="J44" s="7">
        <f t="shared" si="17"/>
        <v>0</v>
      </c>
      <c r="K44" s="3"/>
      <c r="L44" s="8">
        <f t="shared" si="18"/>
        <v>-7130.4400000000005</v>
      </c>
      <c r="M44" s="3"/>
      <c r="N44" s="7">
        <f t="shared" si="19"/>
        <v>-0.67268301886792459</v>
      </c>
      <c r="O44" s="11"/>
      <c r="P44" s="8">
        <v>3469.56</v>
      </c>
      <c r="Q44" s="3"/>
      <c r="R44" s="7">
        <f t="shared" si="20"/>
        <v>0</v>
      </c>
      <c r="S44" s="3"/>
      <c r="T44" s="8">
        <v>10600</v>
      </c>
      <c r="U44" s="3"/>
      <c r="V44" s="7">
        <f t="shared" si="21"/>
        <v>0</v>
      </c>
      <c r="W44" s="3"/>
      <c r="X44" s="8">
        <f t="shared" si="22"/>
        <v>-7130.4400000000005</v>
      </c>
      <c r="Y44" s="3"/>
      <c r="Z44" s="7">
        <f t="shared" si="23"/>
        <v>-0.67268301886792459</v>
      </c>
    </row>
    <row r="45" spans="1:26" s="27" customFormat="1" outlineLevel="1" collapsed="1" x14ac:dyDescent="0.3">
      <c r="A45" s="28"/>
      <c r="B45" s="14" t="str">
        <f>CONCATENATE("     ","Depreciation                                      ")</f>
        <v xml:space="preserve">     Depreciation                                      </v>
      </c>
      <c r="C45" s="14"/>
      <c r="D45" s="1">
        <f>SUM(OSRRefD22_4x_0)</f>
        <v>30550.800000000003</v>
      </c>
      <c r="E45" s="1"/>
      <c r="F45" s="5">
        <f t="shared" si="16"/>
        <v>0</v>
      </c>
      <c r="G45" s="1"/>
      <c r="H45" s="1">
        <f>SUM(OSRRefH22_4x_0)</f>
        <v>30430</v>
      </c>
      <c r="I45" s="1"/>
      <c r="J45" s="5">
        <f t="shared" si="17"/>
        <v>0</v>
      </c>
      <c r="K45" s="1"/>
      <c r="L45" s="1">
        <f t="shared" si="18"/>
        <v>120.80000000000291</v>
      </c>
      <c r="M45" s="1"/>
      <c r="N45" s="5">
        <f t="shared" si="19"/>
        <v>3.9697666776208644E-3</v>
      </c>
      <c r="O45" s="14"/>
      <c r="P45" s="1">
        <f>SUM(OSRRefP22_4x_0)</f>
        <v>30550.800000000003</v>
      </c>
      <c r="Q45" s="1"/>
      <c r="R45" s="5">
        <f t="shared" si="20"/>
        <v>0</v>
      </c>
      <c r="S45" s="1"/>
      <c r="T45" s="1">
        <f>SUM(OSRRefT22_4x_0)</f>
        <v>30430</v>
      </c>
      <c r="U45" s="1"/>
      <c r="V45" s="5">
        <f t="shared" si="21"/>
        <v>0</v>
      </c>
      <c r="W45" s="1"/>
      <c r="X45" s="1">
        <f t="shared" si="22"/>
        <v>120.80000000000291</v>
      </c>
      <c r="Y45" s="1"/>
      <c r="Z45" s="5">
        <f t="shared" si="23"/>
        <v>3.9697666776208644E-3</v>
      </c>
    </row>
    <row r="46" spans="1:26" s="24" customFormat="1" hidden="1" outlineLevel="2" x14ac:dyDescent="0.3">
      <c r="A46" s="29"/>
      <c r="B46" s="11" t="str">
        <f>CONCATENATE("          ", "6321", " - ", "BUILDING DEPRECIATION")</f>
        <v xml:space="preserve">          6321 - BUILDING DEPRECIATION</v>
      </c>
      <c r="C46" s="11"/>
      <c r="D46" s="8">
        <v>16396.52</v>
      </c>
      <c r="E46" s="3"/>
      <c r="F46" s="7">
        <f t="shared" si="16"/>
        <v>0</v>
      </c>
      <c r="G46" s="3"/>
      <c r="H46" s="8"/>
      <c r="I46" s="3"/>
      <c r="J46" s="7">
        <f t="shared" si="17"/>
        <v>0</v>
      </c>
      <c r="K46" s="3"/>
      <c r="L46" s="8">
        <f t="shared" si="18"/>
        <v>16396.52</v>
      </c>
      <c r="M46" s="3"/>
      <c r="N46" s="7">
        <f t="shared" si="19"/>
        <v>0</v>
      </c>
      <c r="O46" s="11"/>
      <c r="P46" s="8">
        <v>16396.52</v>
      </c>
      <c r="Q46" s="3"/>
      <c r="R46" s="7">
        <f t="shared" si="20"/>
        <v>0</v>
      </c>
      <c r="S46" s="3"/>
      <c r="T46" s="8"/>
      <c r="U46" s="3"/>
      <c r="V46" s="7">
        <f t="shared" si="21"/>
        <v>0</v>
      </c>
      <c r="W46" s="3"/>
      <c r="X46" s="8">
        <f t="shared" si="22"/>
        <v>16396.52</v>
      </c>
      <c r="Y46" s="3"/>
      <c r="Z46" s="7">
        <f t="shared" si="23"/>
        <v>0</v>
      </c>
    </row>
    <row r="47" spans="1:26" s="24" customFormat="1" hidden="1" outlineLevel="2" x14ac:dyDescent="0.3">
      <c r="A47" s="29"/>
      <c r="B47" s="11" t="str">
        <f>CONCATENATE("          ", "6322", " - ", "EQUIPMENT DEPRECIATION EXPENSE")</f>
        <v xml:space="preserve">          6322 - EQUIPMENT DEPRECIATION EXPENSE</v>
      </c>
      <c r="C47" s="11"/>
      <c r="D47" s="8">
        <v>14154.28</v>
      </c>
      <c r="E47" s="3"/>
      <c r="F47" s="7">
        <f t="shared" si="16"/>
        <v>0</v>
      </c>
      <c r="G47" s="3"/>
      <c r="H47" s="8">
        <v>30430</v>
      </c>
      <c r="I47" s="3"/>
      <c r="J47" s="7">
        <f t="shared" si="17"/>
        <v>0</v>
      </c>
      <c r="K47" s="3"/>
      <c r="L47" s="8">
        <f t="shared" si="18"/>
        <v>-16275.72</v>
      </c>
      <c r="M47" s="3"/>
      <c r="N47" s="7">
        <f t="shared" si="19"/>
        <v>-0.53485770621097595</v>
      </c>
      <c r="O47" s="11"/>
      <c r="P47" s="8">
        <v>14154.28</v>
      </c>
      <c r="Q47" s="3"/>
      <c r="R47" s="7">
        <f t="shared" si="20"/>
        <v>0</v>
      </c>
      <c r="S47" s="3"/>
      <c r="T47" s="8">
        <v>30430</v>
      </c>
      <c r="U47" s="3"/>
      <c r="V47" s="7">
        <f t="shared" si="21"/>
        <v>0</v>
      </c>
      <c r="W47" s="3"/>
      <c r="X47" s="8">
        <f t="shared" si="22"/>
        <v>-16275.72</v>
      </c>
      <c r="Y47" s="3"/>
      <c r="Z47" s="7">
        <f t="shared" si="23"/>
        <v>-0.53485770621097595</v>
      </c>
    </row>
    <row r="48" spans="1:26" s="27" customFormat="1" outlineLevel="1" collapsed="1" x14ac:dyDescent="0.3">
      <c r="A48" s="28"/>
      <c r="B48" s="14" t="str">
        <f>CONCATENATE("     ","Discounts and Markdowns                           ")</f>
        <v xml:space="preserve">     Discounts and Markdowns                           </v>
      </c>
      <c r="C48" s="14"/>
      <c r="D48" s="1">
        <f>SUM(OSRRefD22_5x_0)</f>
        <v>-0.68</v>
      </c>
      <c r="E48" s="1"/>
      <c r="F48" s="5">
        <f t="shared" ref="F48:F68" si="24">IF(D$12=0,0,D48/D$12)</f>
        <v>0</v>
      </c>
      <c r="G48" s="1"/>
      <c r="H48" s="1">
        <f>SUM(OSRRefH22_5x_0)</f>
        <v>0</v>
      </c>
      <c r="I48" s="1"/>
      <c r="J48" s="5">
        <f t="shared" ref="J48:J68" si="25">IF(H$12=0,0,H48/H$12)</f>
        <v>0</v>
      </c>
      <c r="K48" s="1"/>
      <c r="L48" s="1">
        <f t="shared" ref="L48:L68" si="26">+D48-H48</f>
        <v>-0.68</v>
      </c>
      <c r="M48" s="1"/>
      <c r="N48" s="5">
        <f t="shared" ref="N48:N68" si="27">IF(H48=0,0,L48/H48)</f>
        <v>0</v>
      </c>
      <c r="O48" s="14"/>
      <c r="P48" s="1">
        <f>SUM(OSRRefP22_5x_0)</f>
        <v>-0.68</v>
      </c>
      <c r="Q48" s="1"/>
      <c r="R48" s="5">
        <f t="shared" ref="R48:R68" si="28">IF(P$12=0,0,P48/P$12)</f>
        <v>0</v>
      </c>
      <c r="S48" s="1"/>
      <c r="T48" s="1">
        <f>SUM(OSRRefT22_5x_0)</f>
        <v>0</v>
      </c>
      <c r="U48" s="1"/>
      <c r="V48" s="5">
        <f t="shared" ref="V48:V68" si="29">IF(T$12=0,0,T48/T$12)</f>
        <v>0</v>
      </c>
      <c r="W48" s="1"/>
      <c r="X48" s="1">
        <f t="shared" ref="X48:X68" si="30">+P48-T48</f>
        <v>-0.68</v>
      </c>
      <c r="Y48" s="1"/>
      <c r="Z48" s="5">
        <f t="shared" ref="Z48:Z68" si="31">IF(T48=0,0,X48/T48)</f>
        <v>0</v>
      </c>
    </row>
    <row r="49" spans="1:26" s="24" customFormat="1" hidden="1" outlineLevel="2" x14ac:dyDescent="0.3">
      <c r="A49" s="29"/>
      <c r="B49" s="11" t="str">
        <f>CONCATENATE("          ", "9175", " - ", "EARNED DISCOUNTS")</f>
        <v xml:space="preserve">          9175 - EARNED DISCOUNTS</v>
      </c>
      <c r="C49" s="11"/>
      <c r="D49" s="8">
        <v>-0.68</v>
      </c>
      <c r="E49" s="3"/>
      <c r="F49" s="7">
        <f t="shared" si="24"/>
        <v>0</v>
      </c>
      <c r="G49" s="3"/>
      <c r="H49" s="8"/>
      <c r="I49" s="3"/>
      <c r="J49" s="7">
        <f t="shared" si="25"/>
        <v>0</v>
      </c>
      <c r="K49" s="3"/>
      <c r="L49" s="8">
        <f t="shared" si="26"/>
        <v>-0.68</v>
      </c>
      <c r="M49" s="3"/>
      <c r="N49" s="7">
        <f t="shared" si="27"/>
        <v>0</v>
      </c>
      <c r="O49" s="11"/>
      <c r="P49" s="8">
        <v>-0.68</v>
      </c>
      <c r="Q49" s="3"/>
      <c r="R49" s="7">
        <f t="shared" si="28"/>
        <v>0</v>
      </c>
      <c r="S49" s="3"/>
      <c r="T49" s="8"/>
      <c r="U49" s="3"/>
      <c r="V49" s="7">
        <f t="shared" si="29"/>
        <v>0</v>
      </c>
      <c r="W49" s="3"/>
      <c r="X49" s="8">
        <f t="shared" si="30"/>
        <v>-0.68</v>
      </c>
      <c r="Y49" s="3"/>
      <c r="Z49" s="7">
        <f t="shared" si="31"/>
        <v>0</v>
      </c>
    </row>
    <row r="50" spans="1:26" s="27" customFormat="1" outlineLevel="1" collapsed="1" x14ac:dyDescent="0.3">
      <c r="A50" s="28"/>
      <c r="B50" s="14" t="str">
        <f>CONCATENATE("     ","Donations                                         ")</f>
        <v xml:space="preserve">     Donations                                         </v>
      </c>
      <c r="C50" s="14"/>
      <c r="D50" s="1">
        <f>SUM(OSRRefD22_6x_0)</f>
        <v>0</v>
      </c>
      <c r="E50" s="1"/>
      <c r="F50" s="5">
        <f t="shared" si="24"/>
        <v>0</v>
      </c>
      <c r="G50" s="1"/>
      <c r="H50" s="1">
        <f>SUM(OSRRefH22_6x_0)</f>
        <v>1250</v>
      </c>
      <c r="I50" s="1"/>
      <c r="J50" s="5">
        <f t="shared" si="25"/>
        <v>0</v>
      </c>
      <c r="K50" s="1"/>
      <c r="L50" s="1">
        <f t="shared" si="26"/>
        <v>-1250</v>
      </c>
      <c r="M50" s="1"/>
      <c r="N50" s="5">
        <f t="shared" si="27"/>
        <v>-1</v>
      </c>
      <c r="O50" s="14"/>
      <c r="P50" s="1">
        <f>SUM(OSRRefP22_6x_0)</f>
        <v>0</v>
      </c>
      <c r="Q50" s="1"/>
      <c r="R50" s="5">
        <f t="shared" si="28"/>
        <v>0</v>
      </c>
      <c r="S50" s="1"/>
      <c r="T50" s="1">
        <f>SUM(OSRRefT22_6x_0)</f>
        <v>1250</v>
      </c>
      <c r="U50" s="1"/>
      <c r="V50" s="5">
        <f t="shared" si="29"/>
        <v>0</v>
      </c>
      <c r="W50" s="1"/>
      <c r="X50" s="1">
        <f t="shared" si="30"/>
        <v>-1250</v>
      </c>
      <c r="Y50" s="1"/>
      <c r="Z50" s="5">
        <f t="shared" si="31"/>
        <v>-1</v>
      </c>
    </row>
    <row r="51" spans="1:26" s="24" customFormat="1" hidden="1" outlineLevel="2" x14ac:dyDescent="0.3">
      <c r="A51" s="29"/>
      <c r="B51" s="11" t="str">
        <f>CONCATENATE("          ", "6399", " - ", "DONATION-ON CAMPUS")</f>
        <v xml:space="preserve">          6399 - DONATION-ON CAMPUS</v>
      </c>
      <c r="C51" s="11"/>
      <c r="D51" s="8"/>
      <c r="E51" s="3"/>
      <c r="F51" s="7">
        <f t="shared" si="24"/>
        <v>0</v>
      </c>
      <c r="G51" s="3"/>
      <c r="H51" s="8">
        <v>1250</v>
      </c>
      <c r="I51" s="3"/>
      <c r="J51" s="7">
        <f t="shared" si="25"/>
        <v>0</v>
      </c>
      <c r="K51" s="3"/>
      <c r="L51" s="8">
        <f t="shared" si="26"/>
        <v>-1250</v>
      </c>
      <c r="M51" s="3"/>
      <c r="N51" s="7">
        <f t="shared" si="27"/>
        <v>-1</v>
      </c>
      <c r="O51" s="11"/>
      <c r="P51" s="8"/>
      <c r="Q51" s="3"/>
      <c r="R51" s="7">
        <f t="shared" si="28"/>
        <v>0</v>
      </c>
      <c r="S51" s="3"/>
      <c r="T51" s="8">
        <v>1250</v>
      </c>
      <c r="U51" s="3"/>
      <c r="V51" s="7">
        <f t="shared" si="29"/>
        <v>0</v>
      </c>
      <c r="W51" s="3"/>
      <c r="X51" s="8">
        <f t="shared" si="30"/>
        <v>-1250</v>
      </c>
      <c r="Y51" s="3"/>
      <c r="Z51" s="7">
        <f t="shared" si="31"/>
        <v>-1</v>
      </c>
    </row>
    <row r="52" spans="1:26" s="27" customFormat="1" outlineLevel="1" collapsed="1" x14ac:dyDescent="0.3">
      <c r="A52" s="28"/>
      <c r="B52" s="14" t="str">
        <f>CONCATENATE("     ","Employees' Appreciation                           ")</f>
        <v xml:space="preserve">     Employees' Appreciation                           </v>
      </c>
      <c r="C52" s="14"/>
      <c r="D52" s="1">
        <f>SUM(OSRRefD22_7x_0)</f>
        <v>320.92</v>
      </c>
      <c r="E52" s="1"/>
      <c r="F52" s="5">
        <f t="shared" si="24"/>
        <v>0</v>
      </c>
      <c r="G52" s="1"/>
      <c r="H52" s="1">
        <f>SUM(OSRRefH22_7x_0)</f>
        <v>100</v>
      </c>
      <c r="I52" s="1"/>
      <c r="J52" s="5">
        <f t="shared" si="25"/>
        <v>0</v>
      </c>
      <c r="K52" s="1"/>
      <c r="L52" s="1">
        <f t="shared" si="26"/>
        <v>220.92000000000002</v>
      </c>
      <c r="M52" s="1"/>
      <c r="N52" s="5">
        <f t="shared" si="27"/>
        <v>2.2092000000000001</v>
      </c>
      <c r="O52" s="14"/>
      <c r="P52" s="1">
        <f>SUM(OSRRefP22_7x_0)</f>
        <v>320.92</v>
      </c>
      <c r="Q52" s="1"/>
      <c r="R52" s="5">
        <f t="shared" si="28"/>
        <v>0</v>
      </c>
      <c r="S52" s="1"/>
      <c r="T52" s="1">
        <f>SUM(OSRRefT22_7x_0)</f>
        <v>100</v>
      </c>
      <c r="U52" s="1"/>
      <c r="V52" s="5">
        <f t="shared" si="29"/>
        <v>0</v>
      </c>
      <c r="W52" s="1"/>
      <c r="X52" s="1">
        <f t="shared" si="30"/>
        <v>220.92000000000002</v>
      </c>
      <c r="Y52" s="1"/>
      <c r="Z52" s="5">
        <f t="shared" si="31"/>
        <v>2.2092000000000001</v>
      </c>
    </row>
    <row r="53" spans="1:26" s="24" customFormat="1" hidden="1" outlineLevel="2" x14ac:dyDescent="0.3">
      <c r="A53" s="29"/>
      <c r="B53" s="11" t="str">
        <f>CONCATENATE("          ", "6277", " - ", "EMPLOYEE APPRECIATION")</f>
        <v xml:space="preserve">          6277 - EMPLOYEE APPRECIATION</v>
      </c>
      <c r="C53" s="11"/>
      <c r="D53" s="8">
        <v>320.92</v>
      </c>
      <c r="E53" s="3"/>
      <c r="F53" s="7">
        <f t="shared" si="24"/>
        <v>0</v>
      </c>
      <c r="G53" s="3"/>
      <c r="H53" s="8">
        <v>100</v>
      </c>
      <c r="I53" s="3"/>
      <c r="J53" s="7">
        <f t="shared" si="25"/>
        <v>0</v>
      </c>
      <c r="K53" s="3"/>
      <c r="L53" s="8">
        <f t="shared" si="26"/>
        <v>220.92000000000002</v>
      </c>
      <c r="M53" s="3"/>
      <c r="N53" s="7">
        <f t="shared" si="27"/>
        <v>2.2092000000000001</v>
      </c>
      <c r="O53" s="11"/>
      <c r="P53" s="8">
        <v>320.92</v>
      </c>
      <c r="Q53" s="3"/>
      <c r="R53" s="7">
        <f t="shared" si="28"/>
        <v>0</v>
      </c>
      <c r="S53" s="3"/>
      <c r="T53" s="8">
        <v>100</v>
      </c>
      <c r="U53" s="3"/>
      <c r="V53" s="7">
        <f t="shared" si="29"/>
        <v>0</v>
      </c>
      <c r="W53" s="3"/>
      <c r="X53" s="8">
        <f t="shared" si="30"/>
        <v>220.92000000000002</v>
      </c>
      <c r="Y53" s="3"/>
      <c r="Z53" s="7">
        <f t="shared" si="31"/>
        <v>2.2092000000000001</v>
      </c>
    </row>
    <row r="54" spans="1:26" s="27" customFormat="1" outlineLevel="1" collapsed="1" x14ac:dyDescent="0.3">
      <c r="A54" s="28"/>
      <c r="B54" s="14" t="str">
        <f>CONCATENATE("     ","Equipment Rental                                  ")</f>
        <v xml:space="preserve">     Equipment Rental                                  </v>
      </c>
      <c r="C54" s="14"/>
      <c r="D54" s="1">
        <f>SUM(OSRRefD22_8x_0)</f>
        <v>91.26</v>
      </c>
      <c r="E54" s="1"/>
      <c r="F54" s="5">
        <f t="shared" si="24"/>
        <v>0</v>
      </c>
      <c r="G54" s="1"/>
      <c r="H54" s="1">
        <f>SUM(OSRRefH22_8x_0)</f>
        <v>300</v>
      </c>
      <c r="I54" s="1"/>
      <c r="J54" s="5">
        <f t="shared" si="25"/>
        <v>0</v>
      </c>
      <c r="K54" s="1"/>
      <c r="L54" s="1">
        <f t="shared" si="26"/>
        <v>-208.74</v>
      </c>
      <c r="M54" s="1"/>
      <c r="N54" s="5">
        <f t="shared" si="27"/>
        <v>-0.69580000000000009</v>
      </c>
      <c r="O54" s="14"/>
      <c r="P54" s="1">
        <f>SUM(OSRRefP22_8x_0)</f>
        <v>91.26</v>
      </c>
      <c r="Q54" s="1"/>
      <c r="R54" s="5">
        <f t="shared" si="28"/>
        <v>0</v>
      </c>
      <c r="S54" s="1"/>
      <c r="T54" s="1">
        <f>SUM(OSRRefT22_8x_0)</f>
        <v>300</v>
      </c>
      <c r="U54" s="1"/>
      <c r="V54" s="5">
        <f t="shared" si="29"/>
        <v>0</v>
      </c>
      <c r="W54" s="1"/>
      <c r="X54" s="1">
        <f t="shared" si="30"/>
        <v>-208.74</v>
      </c>
      <c r="Y54" s="1"/>
      <c r="Z54" s="5">
        <f t="shared" si="31"/>
        <v>-0.69580000000000009</v>
      </c>
    </row>
    <row r="55" spans="1:26" s="24" customFormat="1" hidden="1" outlineLevel="2" x14ac:dyDescent="0.3">
      <c r="A55" s="29"/>
      <c r="B55" s="11" t="str">
        <f>CONCATENATE("          ", "6351", " - ", "EQUIPMENT RENTAL")</f>
        <v xml:space="preserve">          6351 - EQUIPMENT RENTAL</v>
      </c>
      <c r="C55" s="11"/>
      <c r="D55" s="8">
        <v>91.26</v>
      </c>
      <c r="E55" s="3"/>
      <c r="F55" s="7">
        <f t="shared" si="24"/>
        <v>0</v>
      </c>
      <c r="G55" s="3"/>
      <c r="H55" s="8">
        <v>300</v>
      </c>
      <c r="I55" s="3"/>
      <c r="J55" s="7">
        <f t="shared" si="25"/>
        <v>0</v>
      </c>
      <c r="K55" s="3"/>
      <c r="L55" s="8">
        <f t="shared" si="26"/>
        <v>-208.74</v>
      </c>
      <c r="M55" s="3"/>
      <c r="N55" s="7">
        <f t="shared" si="27"/>
        <v>-0.69580000000000009</v>
      </c>
      <c r="O55" s="11"/>
      <c r="P55" s="8">
        <v>91.26</v>
      </c>
      <c r="Q55" s="3"/>
      <c r="R55" s="7">
        <f t="shared" si="28"/>
        <v>0</v>
      </c>
      <c r="S55" s="3"/>
      <c r="T55" s="8">
        <v>300</v>
      </c>
      <c r="U55" s="3"/>
      <c r="V55" s="7">
        <f t="shared" si="29"/>
        <v>0</v>
      </c>
      <c r="W55" s="3"/>
      <c r="X55" s="8">
        <f t="shared" si="30"/>
        <v>-208.74</v>
      </c>
      <c r="Y55" s="3"/>
      <c r="Z55" s="7">
        <f t="shared" si="31"/>
        <v>-0.69580000000000009</v>
      </c>
    </row>
    <row r="56" spans="1:26" s="27" customFormat="1" outlineLevel="1" collapsed="1" x14ac:dyDescent="0.3">
      <c r="A56" s="28"/>
      <c r="B56" s="14" t="str">
        <f>CONCATENATE("     ","Freight out/Postage                               ")</f>
        <v xml:space="preserve">     Freight out/Postage                               </v>
      </c>
      <c r="C56" s="14"/>
      <c r="D56" s="1">
        <f>SUM(OSRRefD22_9x_0)</f>
        <v>315.95</v>
      </c>
      <c r="E56" s="1"/>
      <c r="F56" s="5">
        <f t="shared" si="24"/>
        <v>0</v>
      </c>
      <c r="G56" s="1"/>
      <c r="H56" s="1">
        <f>SUM(OSRRefH22_9x_0)</f>
        <v>100</v>
      </c>
      <c r="I56" s="1"/>
      <c r="J56" s="5">
        <f t="shared" si="25"/>
        <v>0</v>
      </c>
      <c r="K56" s="1"/>
      <c r="L56" s="1">
        <f t="shared" si="26"/>
        <v>215.95</v>
      </c>
      <c r="M56" s="1"/>
      <c r="N56" s="5">
        <f t="shared" si="27"/>
        <v>2.1595</v>
      </c>
      <c r="O56" s="14"/>
      <c r="P56" s="1">
        <f>SUM(OSRRefP22_9x_0)</f>
        <v>315.95</v>
      </c>
      <c r="Q56" s="1"/>
      <c r="R56" s="5">
        <f t="shared" si="28"/>
        <v>0</v>
      </c>
      <c r="S56" s="1"/>
      <c r="T56" s="1">
        <f>SUM(OSRRefT22_9x_0)</f>
        <v>100</v>
      </c>
      <c r="U56" s="1"/>
      <c r="V56" s="5">
        <f t="shared" si="29"/>
        <v>0</v>
      </c>
      <c r="W56" s="1"/>
      <c r="X56" s="1">
        <f t="shared" si="30"/>
        <v>215.95</v>
      </c>
      <c r="Y56" s="1"/>
      <c r="Z56" s="5">
        <f t="shared" si="31"/>
        <v>2.1595</v>
      </c>
    </row>
    <row r="57" spans="1:26" s="24" customFormat="1" hidden="1" outlineLevel="2" x14ac:dyDescent="0.3">
      <c r="A57" s="29"/>
      <c r="B57" s="11" t="str">
        <f>CONCATENATE("          ", "6307", " - ", "POSTAGE")</f>
        <v xml:space="preserve">          6307 - POSTAGE</v>
      </c>
      <c r="C57" s="11"/>
      <c r="D57" s="8">
        <v>315.95</v>
      </c>
      <c r="E57" s="3"/>
      <c r="F57" s="7">
        <f t="shared" si="24"/>
        <v>0</v>
      </c>
      <c r="G57" s="3"/>
      <c r="H57" s="8">
        <v>100</v>
      </c>
      <c r="I57" s="3"/>
      <c r="J57" s="7">
        <f t="shared" si="25"/>
        <v>0</v>
      </c>
      <c r="K57" s="3"/>
      <c r="L57" s="8">
        <f t="shared" si="26"/>
        <v>215.95</v>
      </c>
      <c r="M57" s="3"/>
      <c r="N57" s="7">
        <f t="shared" si="27"/>
        <v>2.1595</v>
      </c>
      <c r="O57" s="11"/>
      <c r="P57" s="8">
        <v>315.95</v>
      </c>
      <c r="Q57" s="3"/>
      <c r="R57" s="7">
        <f t="shared" si="28"/>
        <v>0</v>
      </c>
      <c r="S57" s="3"/>
      <c r="T57" s="8">
        <v>100</v>
      </c>
      <c r="U57" s="3"/>
      <c r="V57" s="7">
        <f t="shared" si="29"/>
        <v>0</v>
      </c>
      <c r="W57" s="3"/>
      <c r="X57" s="8">
        <f t="shared" si="30"/>
        <v>215.95</v>
      </c>
      <c r="Y57" s="3"/>
      <c r="Z57" s="7">
        <f t="shared" si="31"/>
        <v>2.1595</v>
      </c>
    </row>
    <row r="58" spans="1:26" s="27" customFormat="1" outlineLevel="1" collapsed="1" x14ac:dyDescent="0.3">
      <c r="A58" s="28"/>
      <c r="B58" s="14" t="str">
        <f>CONCATENATE("     ","General                                           ")</f>
        <v xml:space="preserve">     General                                           </v>
      </c>
      <c r="C58" s="14"/>
      <c r="D58" s="1">
        <f>SUM(OSRRefD22_10x_0)</f>
        <v>778</v>
      </c>
      <c r="E58" s="1"/>
      <c r="F58" s="5">
        <f t="shared" si="24"/>
        <v>0</v>
      </c>
      <c r="G58" s="1"/>
      <c r="H58" s="1">
        <f>SUM(OSRRefH22_10x_0)</f>
        <v>200</v>
      </c>
      <c r="I58" s="1"/>
      <c r="J58" s="5">
        <f t="shared" si="25"/>
        <v>0</v>
      </c>
      <c r="K58" s="1"/>
      <c r="L58" s="1">
        <f t="shared" si="26"/>
        <v>578</v>
      </c>
      <c r="M58" s="1"/>
      <c r="N58" s="5">
        <f t="shared" si="27"/>
        <v>2.89</v>
      </c>
      <c r="O58" s="14"/>
      <c r="P58" s="1">
        <f>SUM(OSRRefP22_10x_0)</f>
        <v>778</v>
      </c>
      <c r="Q58" s="1"/>
      <c r="R58" s="5">
        <f t="shared" si="28"/>
        <v>0</v>
      </c>
      <c r="S58" s="1"/>
      <c r="T58" s="1">
        <f>SUM(OSRRefT22_10x_0)</f>
        <v>200</v>
      </c>
      <c r="U58" s="1"/>
      <c r="V58" s="5">
        <f t="shared" si="29"/>
        <v>0</v>
      </c>
      <c r="W58" s="1"/>
      <c r="X58" s="1">
        <f t="shared" si="30"/>
        <v>578</v>
      </c>
      <c r="Y58" s="1"/>
      <c r="Z58" s="5">
        <f t="shared" si="31"/>
        <v>2.89</v>
      </c>
    </row>
    <row r="59" spans="1:26" s="24" customFormat="1" hidden="1" outlineLevel="2" x14ac:dyDescent="0.3">
      <c r="A59" s="29"/>
      <c r="B59" s="11" t="str">
        <f>CONCATENATE("          ", "6279", " - ", "GENERAL EXPENSE")</f>
        <v xml:space="preserve">          6279 - GENERAL EXPENSE</v>
      </c>
      <c r="C59" s="11"/>
      <c r="D59" s="8">
        <v>778</v>
      </c>
      <c r="E59" s="3"/>
      <c r="F59" s="7">
        <f t="shared" si="24"/>
        <v>0</v>
      </c>
      <c r="G59" s="3"/>
      <c r="H59" s="8">
        <v>200</v>
      </c>
      <c r="I59" s="3"/>
      <c r="J59" s="7">
        <f t="shared" si="25"/>
        <v>0</v>
      </c>
      <c r="K59" s="3"/>
      <c r="L59" s="8">
        <f t="shared" si="26"/>
        <v>578</v>
      </c>
      <c r="M59" s="3"/>
      <c r="N59" s="7">
        <f t="shared" si="27"/>
        <v>2.89</v>
      </c>
      <c r="O59" s="11"/>
      <c r="P59" s="8">
        <v>778</v>
      </c>
      <c r="Q59" s="3"/>
      <c r="R59" s="7">
        <f t="shared" si="28"/>
        <v>0</v>
      </c>
      <c r="S59" s="3"/>
      <c r="T59" s="8">
        <v>200</v>
      </c>
      <c r="U59" s="3"/>
      <c r="V59" s="7">
        <f t="shared" si="29"/>
        <v>0</v>
      </c>
      <c r="W59" s="3"/>
      <c r="X59" s="8">
        <f t="shared" si="30"/>
        <v>578</v>
      </c>
      <c r="Y59" s="3"/>
      <c r="Z59" s="7">
        <f t="shared" si="31"/>
        <v>2.89</v>
      </c>
    </row>
    <row r="60" spans="1:26" s="27" customFormat="1" outlineLevel="1" collapsed="1" x14ac:dyDescent="0.3">
      <c r="A60" s="28"/>
      <c r="B60" s="14" t="str">
        <f>CONCATENATE("     ","Insurance                                         ")</f>
        <v xml:space="preserve">     Insurance                                         </v>
      </c>
      <c r="C60" s="14"/>
      <c r="D60" s="1">
        <f>SUM(OSRRefD22_11x_0)</f>
        <v>5275.49</v>
      </c>
      <c r="E60" s="1"/>
      <c r="F60" s="5">
        <f t="shared" si="24"/>
        <v>0</v>
      </c>
      <c r="G60" s="1"/>
      <c r="H60" s="1">
        <f>SUM(OSRRefH22_11x_0)</f>
        <v>5200</v>
      </c>
      <c r="I60" s="1"/>
      <c r="J60" s="5">
        <f t="shared" si="25"/>
        <v>0</v>
      </c>
      <c r="K60" s="1"/>
      <c r="L60" s="1">
        <f t="shared" si="26"/>
        <v>75.489999999999782</v>
      </c>
      <c r="M60" s="1"/>
      <c r="N60" s="5">
        <f t="shared" si="27"/>
        <v>1.4517307692307651E-2</v>
      </c>
      <c r="O60" s="14"/>
      <c r="P60" s="1">
        <f>SUM(OSRRefP22_11x_0)</f>
        <v>5275.49</v>
      </c>
      <c r="Q60" s="1"/>
      <c r="R60" s="5">
        <f t="shared" si="28"/>
        <v>0</v>
      </c>
      <c r="S60" s="1"/>
      <c r="T60" s="1">
        <f>SUM(OSRRefT22_11x_0)</f>
        <v>5200</v>
      </c>
      <c r="U60" s="1"/>
      <c r="V60" s="5">
        <f t="shared" si="29"/>
        <v>0</v>
      </c>
      <c r="W60" s="1"/>
      <c r="X60" s="1">
        <f t="shared" si="30"/>
        <v>75.489999999999782</v>
      </c>
      <c r="Y60" s="1"/>
      <c r="Z60" s="5">
        <f t="shared" si="31"/>
        <v>1.4517307692307651E-2</v>
      </c>
    </row>
    <row r="61" spans="1:26" s="24" customFormat="1" hidden="1" outlineLevel="2" x14ac:dyDescent="0.3">
      <c r="A61" s="29"/>
      <c r="B61" s="11" t="str">
        <f>CONCATENATE("          ", "6314", " - ", "LIABILITY INSURANCE")</f>
        <v xml:space="preserve">          6314 - LIABILITY INSURANCE</v>
      </c>
      <c r="C61" s="11"/>
      <c r="D61" s="8">
        <v>5275.49</v>
      </c>
      <c r="E61" s="3"/>
      <c r="F61" s="7">
        <f t="shared" si="24"/>
        <v>0</v>
      </c>
      <c r="G61" s="3"/>
      <c r="H61" s="8">
        <v>5200</v>
      </c>
      <c r="I61" s="3"/>
      <c r="J61" s="7">
        <f t="shared" si="25"/>
        <v>0</v>
      </c>
      <c r="K61" s="3"/>
      <c r="L61" s="8">
        <f t="shared" si="26"/>
        <v>75.489999999999782</v>
      </c>
      <c r="M61" s="3"/>
      <c r="N61" s="7">
        <f t="shared" si="27"/>
        <v>1.4517307692307651E-2</v>
      </c>
      <c r="O61" s="11"/>
      <c r="P61" s="8">
        <v>5275.49</v>
      </c>
      <c r="Q61" s="3"/>
      <c r="R61" s="7">
        <f t="shared" si="28"/>
        <v>0</v>
      </c>
      <c r="S61" s="3"/>
      <c r="T61" s="8">
        <v>5200</v>
      </c>
      <c r="U61" s="3"/>
      <c r="V61" s="7">
        <f t="shared" si="29"/>
        <v>0</v>
      </c>
      <c r="W61" s="3"/>
      <c r="X61" s="8">
        <f t="shared" si="30"/>
        <v>75.489999999999782</v>
      </c>
      <c r="Y61" s="3"/>
      <c r="Z61" s="7">
        <f t="shared" si="31"/>
        <v>1.4517307692307651E-2</v>
      </c>
    </row>
    <row r="62" spans="1:26" s="27" customFormat="1" outlineLevel="1" collapsed="1" x14ac:dyDescent="0.3">
      <c r="A62" s="28"/>
      <c r="B62" s="14" t="str">
        <f>CONCATENATE("     ","Rent                                              ")</f>
        <v xml:space="preserve">     Rent                                              </v>
      </c>
      <c r="C62" s="14"/>
      <c r="D62" s="1">
        <f>SUM(OSRRefD22_12x_0)</f>
        <v>-800</v>
      </c>
      <c r="E62" s="1"/>
      <c r="F62" s="5">
        <f t="shared" si="24"/>
        <v>0</v>
      </c>
      <c r="G62" s="1"/>
      <c r="H62" s="1">
        <f>SUM(OSRRefH22_12x_0)</f>
        <v>-800</v>
      </c>
      <c r="I62" s="1"/>
      <c r="J62" s="5">
        <f t="shared" si="25"/>
        <v>0</v>
      </c>
      <c r="K62" s="1"/>
      <c r="L62" s="1">
        <f t="shared" si="26"/>
        <v>0</v>
      </c>
      <c r="M62" s="1"/>
      <c r="N62" s="5">
        <f t="shared" si="27"/>
        <v>0</v>
      </c>
      <c r="O62" s="14"/>
      <c r="P62" s="1">
        <f>SUM(OSRRefP22_12x_0)</f>
        <v>-800</v>
      </c>
      <c r="Q62" s="1"/>
      <c r="R62" s="5">
        <f t="shared" si="28"/>
        <v>0</v>
      </c>
      <c r="S62" s="1"/>
      <c r="T62" s="1">
        <f>SUM(OSRRefT22_12x_0)</f>
        <v>-800</v>
      </c>
      <c r="U62" s="1"/>
      <c r="V62" s="5">
        <f t="shared" si="29"/>
        <v>0</v>
      </c>
      <c r="W62" s="1"/>
      <c r="X62" s="1">
        <f t="shared" si="30"/>
        <v>0</v>
      </c>
      <c r="Y62" s="1"/>
      <c r="Z62" s="5">
        <f t="shared" si="31"/>
        <v>0</v>
      </c>
    </row>
    <row r="63" spans="1:26" s="24" customFormat="1" hidden="1" outlineLevel="2" x14ac:dyDescent="0.3">
      <c r="A63" s="29"/>
      <c r="B63" s="11" t="str">
        <f>CONCATENATE("          ", "6273", " - ", "RENT")</f>
        <v xml:space="preserve">          6273 - RENT</v>
      </c>
      <c r="C63" s="11"/>
      <c r="D63" s="8">
        <v>-800</v>
      </c>
      <c r="E63" s="3"/>
      <c r="F63" s="7">
        <f t="shared" si="24"/>
        <v>0</v>
      </c>
      <c r="G63" s="3"/>
      <c r="H63" s="8">
        <v>-800</v>
      </c>
      <c r="I63" s="3"/>
      <c r="J63" s="7">
        <f t="shared" si="25"/>
        <v>0</v>
      </c>
      <c r="K63" s="3"/>
      <c r="L63" s="8">
        <f t="shared" si="26"/>
        <v>0</v>
      </c>
      <c r="M63" s="3"/>
      <c r="N63" s="7">
        <f t="shared" si="27"/>
        <v>0</v>
      </c>
      <c r="O63" s="11"/>
      <c r="P63" s="8">
        <v>-800</v>
      </c>
      <c r="Q63" s="3"/>
      <c r="R63" s="7">
        <f t="shared" si="28"/>
        <v>0</v>
      </c>
      <c r="S63" s="3"/>
      <c r="T63" s="8">
        <v>-800</v>
      </c>
      <c r="U63" s="3"/>
      <c r="V63" s="7">
        <f t="shared" si="29"/>
        <v>0</v>
      </c>
      <c r="W63" s="3"/>
      <c r="X63" s="8">
        <f t="shared" si="30"/>
        <v>0</v>
      </c>
      <c r="Y63" s="3"/>
      <c r="Z63" s="7">
        <f t="shared" si="31"/>
        <v>0</v>
      </c>
    </row>
    <row r="64" spans="1:26" s="27" customFormat="1" outlineLevel="1" collapsed="1" x14ac:dyDescent="0.3">
      <c r="A64" s="28"/>
      <c r="B64" s="14" t="str">
        <f>CONCATENATE("     ","Repair and Maintenance                            ")</f>
        <v xml:space="preserve">     Repair and Maintenance                            </v>
      </c>
      <c r="C64" s="14"/>
      <c r="D64" s="1">
        <f>SUM(OSRRefD22_13x_0)</f>
        <v>59516.22</v>
      </c>
      <c r="E64" s="1"/>
      <c r="F64" s="5">
        <f t="shared" si="24"/>
        <v>0</v>
      </c>
      <c r="G64" s="1"/>
      <c r="H64" s="1">
        <f>SUM(OSRRefH22_13x_0)</f>
        <v>40570</v>
      </c>
      <c r="I64" s="1"/>
      <c r="J64" s="5">
        <f t="shared" si="25"/>
        <v>0</v>
      </c>
      <c r="K64" s="1"/>
      <c r="L64" s="1">
        <f t="shared" si="26"/>
        <v>18946.22</v>
      </c>
      <c r="M64" s="1"/>
      <c r="N64" s="5">
        <f t="shared" si="27"/>
        <v>0.46700073946265719</v>
      </c>
      <c r="O64" s="14"/>
      <c r="P64" s="1">
        <f>SUM(OSRRefP22_13x_0)</f>
        <v>59516.22</v>
      </c>
      <c r="Q64" s="1"/>
      <c r="R64" s="5">
        <f t="shared" si="28"/>
        <v>0</v>
      </c>
      <c r="S64" s="1"/>
      <c r="T64" s="1">
        <f>SUM(OSRRefT22_13x_0)</f>
        <v>40570</v>
      </c>
      <c r="U64" s="1"/>
      <c r="V64" s="5">
        <f t="shared" si="29"/>
        <v>0</v>
      </c>
      <c r="W64" s="1"/>
      <c r="X64" s="1">
        <f t="shared" si="30"/>
        <v>18946.22</v>
      </c>
      <c r="Y64" s="1"/>
      <c r="Z64" s="5">
        <f t="shared" si="31"/>
        <v>0.46700073946265719</v>
      </c>
    </row>
    <row r="65" spans="1:26" s="24" customFormat="1" hidden="1" outlineLevel="2" x14ac:dyDescent="0.3">
      <c r="A65" s="29"/>
      <c r="B65" s="11" t="str">
        <f>CONCATENATE("          ", "6371", " - ", "COMPUTER SOFTWARE MAINTENANCE")</f>
        <v xml:space="preserve">          6371 - COMPUTER SOFTWARE MAINTENANCE</v>
      </c>
      <c r="C65" s="11"/>
      <c r="D65" s="8">
        <v>56736</v>
      </c>
      <c r="E65" s="3"/>
      <c r="F65" s="7">
        <f t="shared" si="24"/>
        <v>0</v>
      </c>
      <c r="G65" s="3"/>
      <c r="H65" s="8">
        <v>40000</v>
      </c>
      <c r="I65" s="3"/>
      <c r="J65" s="7">
        <f t="shared" si="25"/>
        <v>0</v>
      </c>
      <c r="K65" s="3"/>
      <c r="L65" s="8">
        <f t="shared" si="26"/>
        <v>16736</v>
      </c>
      <c r="M65" s="3"/>
      <c r="N65" s="7">
        <f t="shared" si="27"/>
        <v>0.41839999999999999</v>
      </c>
      <c r="O65" s="11"/>
      <c r="P65" s="8">
        <v>56736</v>
      </c>
      <c r="Q65" s="3"/>
      <c r="R65" s="7">
        <f t="shared" si="28"/>
        <v>0</v>
      </c>
      <c r="S65" s="3"/>
      <c r="T65" s="8">
        <v>40000</v>
      </c>
      <c r="U65" s="3"/>
      <c r="V65" s="7">
        <f t="shared" si="29"/>
        <v>0</v>
      </c>
      <c r="W65" s="3"/>
      <c r="X65" s="8">
        <f t="shared" si="30"/>
        <v>16736</v>
      </c>
      <c r="Y65" s="3"/>
      <c r="Z65" s="7">
        <f t="shared" si="31"/>
        <v>0.41839999999999999</v>
      </c>
    </row>
    <row r="66" spans="1:26" s="24" customFormat="1" hidden="1" outlineLevel="2" x14ac:dyDescent="0.3">
      <c r="A66" s="29"/>
      <c r="B66" s="11" t="str">
        <f>CONCATENATE("          ", "6372", " - ", "COMPUTER HARDWARE MAINTENANCE")</f>
        <v xml:space="preserve">          6372 - COMPUTER HARDWARE MAINTENANCE</v>
      </c>
      <c r="C66" s="11"/>
      <c r="D66" s="8"/>
      <c r="E66" s="3"/>
      <c r="F66" s="7">
        <f t="shared" si="24"/>
        <v>0</v>
      </c>
      <c r="G66" s="3"/>
      <c r="H66" s="8">
        <v>370</v>
      </c>
      <c r="I66" s="3"/>
      <c r="J66" s="7">
        <f t="shared" si="25"/>
        <v>0</v>
      </c>
      <c r="K66" s="3"/>
      <c r="L66" s="8">
        <f t="shared" si="26"/>
        <v>-370</v>
      </c>
      <c r="M66" s="3"/>
      <c r="N66" s="7">
        <f t="shared" si="27"/>
        <v>-1</v>
      </c>
      <c r="O66" s="11"/>
      <c r="P66" s="8"/>
      <c r="Q66" s="3"/>
      <c r="R66" s="7">
        <f t="shared" si="28"/>
        <v>0</v>
      </c>
      <c r="S66" s="3"/>
      <c r="T66" s="8">
        <v>370</v>
      </c>
      <c r="U66" s="3"/>
      <c r="V66" s="7">
        <f t="shared" si="29"/>
        <v>0</v>
      </c>
      <c r="W66" s="3"/>
      <c r="X66" s="8">
        <f t="shared" si="30"/>
        <v>-370</v>
      </c>
      <c r="Y66" s="3"/>
      <c r="Z66" s="7">
        <f t="shared" si="31"/>
        <v>-1</v>
      </c>
    </row>
    <row r="67" spans="1:26" s="24" customFormat="1" hidden="1" outlineLevel="2" x14ac:dyDescent="0.3">
      <c r="A67" s="29"/>
      <c r="B67" s="11" t="str">
        <f>CONCATENATE("          ", "6373", " - ", "MAINTENANCE CONTRACTS")</f>
        <v xml:space="preserve">          6373 - MAINTENANCE CONTRACTS</v>
      </c>
      <c r="C67" s="11"/>
      <c r="D67" s="8">
        <v>16.260000000000002</v>
      </c>
      <c r="E67" s="3"/>
      <c r="F67" s="7">
        <f t="shared" si="24"/>
        <v>0</v>
      </c>
      <c r="G67" s="3"/>
      <c r="H67" s="8">
        <v>200</v>
      </c>
      <c r="I67" s="3"/>
      <c r="J67" s="7">
        <f t="shared" si="25"/>
        <v>0</v>
      </c>
      <c r="K67" s="3"/>
      <c r="L67" s="8">
        <f t="shared" si="26"/>
        <v>-183.74</v>
      </c>
      <c r="M67" s="3"/>
      <c r="N67" s="7">
        <f t="shared" si="27"/>
        <v>-0.91870000000000007</v>
      </c>
      <c r="O67" s="11"/>
      <c r="P67" s="8">
        <v>16.260000000000002</v>
      </c>
      <c r="Q67" s="3"/>
      <c r="R67" s="7">
        <f t="shared" si="28"/>
        <v>0</v>
      </c>
      <c r="S67" s="3"/>
      <c r="T67" s="8">
        <v>200</v>
      </c>
      <c r="U67" s="3"/>
      <c r="V67" s="7">
        <f t="shared" si="29"/>
        <v>0</v>
      </c>
      <c r="W67" s="3"/>
      <c r="X67" s="8">
        <f t="shared" si="30"/>
        <v>-183.74</v>
      </c>
      <c r="Y67" s="3"/>
      <c r="Z67" s="7">
        <f t="shared" si="31"/>
        <v>-0.91870000000000007</v>
      </c>
    </row>
    <row r="68" spans="1:26" s="24" customFormat="1" hidden="1" outlineLevel="2" x14ac:dyDescent="0.3">
      <c r="A68" s="29"/>
      <c r="B68" s="11" t="str">
        <f>CONCATENATE("          ", "6375", " - ", "OUTSIDE REPAIRS &amp; MAINTENANCE")</f>
        <v xml:space="preserve">          6375 - OUTSIDE REPAIRS &amp; MAINTENANCE</v>
      </c>
      <c r="C68" s="11"/>
      <c r="D68" s="8">
        <v>2763.96</v>
      </c>
      <c r="E68" s="3"/>
      <c r="F68" s="7">
        <f t="shared" si="24"/>
        <v>0</v>
      </c>
      <c r="G68" s="3"/>
      <c r="H68" s="8"/>
      <c r="I68" s="3"/>
      <c r="J68" s="7">
        <f t="shared" si="25"/>
        <v>0</v>
      </c>
      <c r="K68" s="3"/>
      <c r="L68" s="8">
        <f t="shared" si="26"/>
        <v>2763.96</v>
      </c>
      <c r="M68" s="3"/>
      <c r="N68" s="7">
        <f t="shared" si="27"/>
        <v>0</v>
      </c>
      <c r="O68" s="11"/>
      <c r="P68" s="8">
        <v>2763.96</v>
      </c>
      <c r="Q68" s="3"/>
      <c r="R68" s="7">
        <f t="shared" si="28"/>
        <v>0</v>
      </c>
      <c r="S68" s="3"/>
      <c r="T68" s="8"/>
      <c r="U68" s="3"/>
      <c r="V68" s="7">
        <f t="shared" si="29"/>
        <v>0</v>
      </c>
      <c r="W68" s="3"/>
      <c r="X68" s="8">
        <f t="shared" si="30"/>
        <v>2763.96</v>
      </c>
      <c r="Y68" s="3"/>
      <c r="Z68" s="7">
        <f t="shared" si="31"/>
        <v>0</v>
      </c>
    </row>
    <row r="69" spans="1:26" s="27" customFormat="1" outlineLevel="1" collapsed="1" x14ac:dyDescent="0.3">
      <c r="A69" s="28"/>
      <c r="B69" s="14" t="str">
        <f>CONCATENATE("     ","Services                                          ")</f>
        <v xml:space="preserve">     Services                                          </v>
      </c>
      <c r="C69" s="14"/>
      <c r="D69" s="1">
        <f>SUM(OSRRefD22_14x_0)</f>
        <v>3850.73</v>
      </c>
      <c r="E69" s="1"/>
      <c r="F69" s="5">
        <f t="shared" ref="F69:F71" si="32">IF(D$12=0,0,D69/D$12)</f>
        <v>0</v>
      </c>
      <c r="G69" s="1"/>
      <c r="H69" s="1">
        <f>SUM(OSRRefH22_14x_0)</f>
        <v>4300</v>
      </c>
      <c r="I69" s="1"/>
      <c r="J69" s="5">
        <f t="shared" ref="J69:J71" si="33">IF(H$12=0,0,H69/H$12)</f>
        <v>0</v>
      </c>
      <c r="K69" s="1"/>
      <c r="L69" s="1">
        <f t="shared" ref="L69:L71" si="34">+D69-H69</f>
        <v>-449.27</v>
      </c>
      <c r="M69" s="1"/>
      <c r="N69" s="5">
        <f t="shared" ref="N69:N71" si="35">IF(H69=0,0,L69/H69)</f>
        <v>-0.1044813953488372</v>
      </c>
      <c r="O69" s="14"/>
      <c r="P69" s="1">
        <f>SUM(OSRRefP22_14x_0)</f>
        <v>3850.73</v>
      </c>
      <c r="Q69" s="1"/>
      <c r="R69" s="5">
        <f t="shared" ref="R69:R71" si="36">IF(P$12=0,0,P69/P$12)</f>
        <v>0</v>
      </c>
      <c r="S69" s="1"/>
      <c r="T69" s="1">
        <f>SUM(OSRRefT22_14x_0)</f>
        <v>4300</v>
      </c>
      <c r="U69" s="1"/>
      <c r="V69" s="5">
        <f t="shared" ref="V69:V71" si="37">IF(T$12=0,0,T69/T$12)</f>
        <v>0</v>
      </c>
      <c r="W69" s="1"/>
      <c r="X69" s="1">
        <f t="shared" ref="X69:X71" si="38">+P69-T69</f>
        <v>-449.27</v>
      </c>
      <c r="Y69" s="1"/>
      <c r="Z69" s="5">
        <f t="shared" ref="Z69:Z71" si="39">IF(T69=0,0,X69/T69)</f>
        <v>-0.1044813953488372</v>
      </c>
    </row>
    <row r="70" spans="1:26" s="24" customFormat="1" hidden="1" outlineLevel="2" x14ac:dyDescent="0.3">
      <c r="A70" s="29"/>
      <c r="B70" s="11" t="str">
        <f>CONCATENATE("          ", "6282", " - ", "JANITORIAL/EXTERMINATOR EXPENS")</f>
        <v xml:space="preserve">          6282 - JANITORIAL/EXTERMINATOR EXPENS</v>
      </c>
      <c r="C70" s="11"/>
      <c r="D70" s="8"/>
      <c r="E70" s="3"/>
      <c r="F70" s="7">
        <f t="shared" si="32"/>
        <v>0</v>
      </c>
      <c r="G70" s="3"/>
      <c r="H70" s="8">
        <v>4300</v>
      </c>
      <c r="I70" s="3"/>
      <c r="J70" s="7">
        <f t="shared" si="33"/>
        <v>0</v>
      </c>
      <c r="K70" s="3"/>
      <c r="L70" s="8">
        <f t="shared" si="34"/>
        <v>-4300</v>
      </c>
      <c r="M70" s="3"/>
      <c r="N70" s="7">
        <f t="shared" si="35"/>
        <v>-1</v>
      </c>
      <c r="O70" s="11"/>
      <c r="P70" s="8"/>
      <c r="Q70" s="3"/>
      <c r="R70" s="7">
        <f t="shared" si="36"/>
        <v>0</v>
      </c>
      <c r="S70" s="3"/>
      <c r="T70" s="8">
        <v>4300</v>
      </c>
      <c r="U70" s="3"/>
      <c r="V70" s="7">
        <f t="shared" si="37"/>
        <v>0</v>
      </c>
      <c r="W70" s="3"/>
      <c r="X70" s="8">
        <f t="shared" si="38"/>
        <v>-4300</v>
      </c>
      <c r="Y70" s="3"/>
      <c r="Z70" s="7">
        <f t="shared" si="39"/>
        <v>-1</v>
      </c>
    </row>
    <row r="71" spans="1:26" s="24" customFormat="1" hidden="1" outlineLevel="2" x14ac:dyDescent="0.3">
      <c r="A71" s="29"/>
      <c r="B71" s="11" t="str">
        <f>CONCATENATE("          ", "6285", " - ", "JANITORIAL SERVICES")</f>
        <v xml:space="preserve">          6285 - JANITORIAL SERVICES</v>
      </c>
      <c r="C71" s="11"/>
      <c r="D71" s="8">
        <v>3850.73</v>
      </c>
      <c r="E71" s="3"/>
      <c r="F71" s="7">
        <f t="shared" si="32"/>
        <v>0</v>
      </c>
      <c r="G71" s="3"/>
      <c r="H71" s="8"/>
      <c r="I71" s="3"/>
      <c r="J71" s="7">
        <f t="shared" si="33"/>
        <v>0</v>
      </c>
      <c r="K71" s="3"/>
      <c r="L71" s="8">
        <f t="shared" si="34"/>
        <v>3850.73</v>
      </c>
      <c r="M71" s="3"/>
      <c r="N71" s="7">
        <f t="shared" si="35"/>
        <v>0</v>
      </c>
      <c r="O71" s="11"/>
      <c r="P71" s="8">
        <v>3850.73</v>
      </c>
      <c r="Q71" s="3"/>
      <c r="R71" s="7">
        <f t="shared" si="36"/>
        <v>0</v>
      </c>
      <c r="S71" s="3"/>
      <c r="T71" s="8"/>
      <c r="U71" s="3"/>
      <c r="V71" s="7">
        <f t="shared" si="37"/>
        <v>0</v>
      </c>
      <c r="W71" s="3"/>
      <c r="X71" s="8">
        <f t="shared" si="38"/>
        <v>3850.73</v>
      </c>
      <c r="Y71" s="3"/>
      <c r="Z71" s="7">
        <f t="shared" si="39"/>
        <v>0</v>
      </c>
    </row>
    <row r="72" spans="1:26" s="27" customFormat="1" outlineLevel="1" collapsed="1" x14ac:dyDescent="0.3">
      <c r="A72" s="28"/>
      <c r="B72" s="14" t="str">
        <f>CONCATENATE("     ","Supplies                                          ")</f>
        <v xml:space="preserve">     Supplies                                          </v>
      </c>
      <c r="C72" s="14"/>
      <c r="D72" s="1">
        <f>SUM(OSRRefD22_15x_0)</f>
        <v>1080.9100000000001</v>
      </c>
      <c r="E72" s="1"/>
      <c r="F72" s="5">
        <f t="shared" ref="F72:F76" si="40">IF(D$12=0,0,D72/D$12)</f>
        <v>0</v>
      </c>
      <c r="G72" s="1"/>
      <c r="H72" s="1">
        <f>SUM(OSRRefH22_15x_0)</f>
        <v>5200</v>
      </c>
      <c r="I72" s="1"/>
      <c r="J72" s="5">
        <f t="shared" ref="J72:J76" si="41">IF(H$12=0,0,H72/H$12)</f>
        <v>0</v>
      </c>
      <c r="K72" s="1"/>
      <c r="L72" s="1">
        <f t="shared" ref="L72:L76" si="42">+D72-H72</f>
        <v>-4119.09</v>
      </c>
      <c r="M72" s="1"/>
      <c r="N72" s="5">
        <f t="shared" ref="N72:N76" si="43">IF(H72=0,0,L72/H72)</f>
        <v>-0.79213269230769234</v>
      </c>
      <c r="O72" s="14"/>
      <c r="P72" s="1">
        <f>SUM(OSRRefP22_15x_0)</f>
        <v>1080.9100000000001</v>
      </c>
      <c r="Q72" s="1"/>
      <c r="R72" s="5">
        <f t="shared" ref="R72:R76" si="44">IF(P$12=0,0,P72/P$12)</f>
        <v>0</v>
      </c>
      <c r="S72" s="1"/>
      <c r="T72" s="1">
        <f>SUM(OSRRefT22_15x_0)</f>
        <v>5200</v>
      </c>
      <c r="U72" s="1"/>
      <c r="V72" s="5">
        <f t="shared" ref="V72:V76" si="45">IF(T$12=0,0,T72/T$12)</f>
        <v>0</v>
      </c>
      <c r="W72" s="1"/>
      <c r="X72" s="1">
        <f t="shared" ref="X72:X76" si="46">+P72-T72</f>
        <v>-4119.09</v>
      </c>
      <c r="Y72" s="1"/>
      <c r="Z72" s="5">
        <f t="shared" ref="Z72:Z76" si="47">IF(T72=0,0,X72/T72)</f>
        <v>-0.79213269230769234</v>
      </c>
    </row>
    <row r="73" spans="1:26" s="24" customFormat="1" hidden="1" outlineLevel="2" x14ac:dyDescent="0.3">
      <c r="A73" s="29"/>
      <c r="B73" s="11" t="str">
        <f>CONCATENATE("          ", "6235", " - ", "COVID-19 EXPENSES")</f>
        <v xml:space="preserve">          6235 - COVID-19 EXPENSES</v>
      </c>
      <c r="C73" s="11"/>
      <c r="D73" s="8">
        <v>272.22000000000003</v>
      </c>
      <c r="E73" s="3"/>
      <c r="F73" s="7">
        <f t="shared" si="40"/>
        <v>0</v>
      </c>
      <c r="G73" s="3"/>
      <c r="H73" s="8">
        <v>100</v>
      </c>
      <c r="I73" s="3"/>
      <c r="J73" s="7">
        <f t="shared" si="41"/>
        <v>0</v>
      </c>
      <c r="K73" s="3"/>
      <c r="L73" s="8">
        <f t="shared" si="42"/>
        <v>172.22000000000003</v>
      </c>
      <c r="M73" s="3"/>
      <c r="N73" s="7">
        <f t="shared" si="43"/>
        <v>1.7222000000000002</v>
      </c>
      <c r="O73" s="11"/>
      <c r="P73" s="8">
        <v>272.22000000000003</v>
      </c>
      <c r="Q73" s="3"/>
      <c r="R73" s="7">
        <f t="shared" si="44"/>
        <v>0</v>
      </c>
      <c r="S73" s="3"/>
      <c r="T73" s="8">
        <v>100</v>
      </c>
      <c r="U73" s="3"/>
      <c r="V73" s="7">
        <f t="shared" si="45"/>
        <v>0</v>
      </c>
      <c r="W73" s="3"/>
      <c r="X73" s="8">
        <f t="shared" si="46"/>
        <v>172.22000000000003</v>
      </c>
      <c r="Y73" s="3"/>
      <c r="Z73" s="7">
        <f t="shared" si="47"/>
        <v>1.7222000000000002</v>
      </c>
    </row>
    <row r="74" spans="1:26" s="24" customFormat="1" hidden="1" outlineLevel="2" x14ac:dyDescent="0.3">
      <c r="A74" s="29"/>
      <c r="B74" s="11" t="str">
        <f>CONCATENATE("          ", "6237", " - ", "JANITORIAL SUPPLIES")</f>
        <v xml:space="preserve">          6237 - JANITORIAL SUPPLIES</v>
      </c>
      <c r="C74" s="11"/>
      <c r="D74" s="8">
        <v>655.97</v>
      </c>
      <c r="E74" s="3"/>
      <c r="F74" s="7">
        <f t="shared" si="40"/>
        <v>0</v>
      </c>
      <c r="G74" s="3"/>
      <c r="H74" s="8"/>
      <c r="I74" s="3"/>
      <c r="J74" s="7">
        <f t="shared" si="41"/>
        <v>0</v>
      </c>
      <c r="K74" s="3"/>
      <c r="L74" s="8">
        <f t="shared" si="42"/>
        <v>655.97</v>
      </c>
      <c r="M74" s="3"/>
      <c r="N74" s="7">
        <f t="shared" si="43"/>
        <v>0</v>
      </c>
      <c r="O74" s="11"/>
      <c r="P74" s="8">
        <v>655.97</v>
      </c>
      <c r="Q74" s="3"/>
      <c r="R74" s="7">
        <f t="shared" si="44"/>
        <v>0</v>
      </c>
      <c r="S74" s="3"/>
      <c r="T74" s="8"/>
      <c r="U74" s="3"/>
      <c r="V74" s="7">
        <f t="shared" si="45"/>
        <v>0</v>
      </c>
      <c r="W74" s="3"/>
      <c r="X74" s="8">
        <f t="shared" si="46"/>
        <v>655.97</v>
      </c>
      <c r="Y74" s="3"/>
      <c r="Z74" s="7">
        <f t="shared" si="47"/>
        <v>0</v>
      </c>
    </row>
    <row r="75" spans="1:26" s="24" customFormat="1" hidden="1" outlineLevel="2" x14ac:dyDescent="0.3">
      <c r="A75" s="29"/>
      <c r="B75" s="11" t="str">
        <f>CONCATENATE("          ", "6241", " - ", "OFFICE EXPENSE")</f>
        <v xml:space="preserve">          6241 - OFFICE EXPENSE</v>
      </c>
      <c r="C75" s="11"/>
      <c r="D75" s="8">
        <v>5.34</v>
      </c>
      <c r="E75" s="3"/>
      <c r="F75" s="7">
        <f t="shared" si="40"/>
        <v>0</v>
      </c>
      <c r="G75" s="3"/>
      <c r="H75" s="8">
        <v>100</v>
      </c>
      <c r="I75" s="3"/>
      <c r="J75" s="7">
        <f t="shared" si="41"/>
        <v>0</v>
      </c>
      <c r="K75" s="3"/>
      <c r="L75" s="8">
        <f t="shared" si="42"/>
        <v>-94.66</v>
      </c>
      <c r="M75" s="3"/>
      <c r="N75" s="7">
        <f t="shared" si="43"/>
        <v>-0.9466</v>
      </c>
      <c r="O75" s="11"/>
      <c r="P75" s="8">
        <v>5.34</v>
      </c>
      <c r="Q75" s="3"/>
      <c r="R75" s="7">
        <f t="shared" si="44"/>
        <v>0</v>
      </c>
      <c r="S75" s="3"/>
      <c r="T75" s="8">
        <v>100</v>
      </c>
      <c r="U75" s="3"/>
      <c r="V75" s="7">
        <f t="shared" si="45"/>
        <v>0</v>
      </c>
      <c r="W75" s="3"/>
      <c r="X75" s="8">
        <f t="shared" si="46"/>
        <v>-94.66</v>
      </c>
      <c r="Y75" s="3"/>
      <c r="Z75" s="7">
        <f t="shared" si="47"/>
        <v>-0.9466</v>
      </c>
    </row>
    <row r="76" spans="1:26" s="24" customFormat="1" hidden="1" outlineLevel="2" x14ac:dyDescent="0.3">
      <c r="A76" s="29"/>
      <c r="B76" s="11" t="str">
        <f>CONCATENATE("          ", "6247", " - ", "STORE SUPPLIES")</f>
        <v xml:space="preserve">          6247 - STORE SUPPLIES</v>
      </c>
      <c r="C76" s="11"/>
      <c r="D76" s="8">
        <v>147.38</v>
      </c>
      <c r="E76" s="3"/>
      <c r="F76" s="7">
        <f t="shared" si="40"/>
        <v>0</v>
      </c>
      <c r="G76" s="3"/>
      <c r="H76" s="8">
        <v>5000</v>
      </c>
      <c r="I76" s="3"/>
      <c r="J76" s="7">
        <f t="shared" si="41"/>
        <v>0</v>
      </c>
      <c r="K76" s="3"/>
      <c r="L76" s="8">
        <f t="shared" si="42"/>
        <v>-4852.62</v>
      </c>
      <c r="M76" s="3"/>
      <c r="N76" s="7">
        <f t="shared" si="43"/>
        <v>-0.97052399999999994</v>
      </c>
      <c r="O76" s="11"/>
      <c r="P76" s="8">
        <v>147.38</v>
      </c>
      <c r="Q76" s="3"/>
      <c r="R76" s="7">
        <f t="shared" si="44"/>
        <v>0</v>
      </c>
      <c r="S76" s="3"/>
      <c r="T76" s="8">
        <v>5000</v>
      </c>
      <c r="U76" s="3"/>
      <c r="V76" s="7">
        <f t="shared" si="45"/>
        <v>0</v>
      </c>
      <c r="W76" s="3"/>
      <c r="X76" s="8">
        <f t="shared" si="46"/>
        <v>-4852.62</v>
      </c>
      <c r="Y76" s="3"/>
      <c r="Z76" s="7">
        <f t="shared" si="47"/>
        <v>-0.97052399999999994</v>
      </c>
    </row>
    <row r="77" spans="1:26" s="27" customFormat="1" outlineLevel="1" collapsed="1" x14ac:dyDescent="0.3">
      <c r="A77" s="28"/>
      <c r="B77" s="14" t="str">
        <f>CONCATENATE("     ","Telephone/Data Lines                              ")</f>
        <v xml:space="preserve">     Telephone/Data Lines                              </v>
      </c>
      <c r="C77" s="14"/>
      <c r="D77" s="1">
        <f>SUM(OSRRefD22_16x_0)</f>
        <v>513.35</v>
      </c>
      <c r="E77" s="1"/>
      <c r="F77" s="5">
        <f t="shared" ref="F77:F82" si="48">IF(D$12=0,0,D77/D$12)</f>
        <v>0</v>
      </c>
      <c r="G77" s="1"/>
      <c r="H77" s="1">
        <f>SUM(OSRRefH22_16x_0)</f>
        <v>600</v>
      </c>
      <c r="I77" s="1"/>
      <c r="J77" s="5">
        <f t="shared" ref="J77:J82" si="49">IF(H$12=0,0,H77/H$12)</f>
        <v>0</v>
      </c>
      <c r="K77" s="1"/>
      <c r="L77" s="1">
        <f t="shared" ref="L77:L82" si="50">+D77-H77</f>
        <v>-86.649999999999977</v>
      </c>
      <c r="M77" s="1"/>
      <c r="N77" s="5">
        <f t="shared" ref="N77:N82" si="51">IF(H77=0,0,L77/H77)</f>
        <v>-0.14441666666666664</v>
      </c>
      <c r="O77" s="14"/>
      <c r="P77" s="1">
        <f>SUM(OSRRefP22_16x_0)</f>
        <v>513.35</v>
      </c>
      <c r="Q77" s="1"/>
      <c r="R77" s="5">
        <f t="shared" ref="R77:R82" si="52">IF(P$12=0,0,P77/P$12)</f>
        <v>0</v>
      </c>
      <c r="S77" s="1"/>
      <c r="T77" s="1">
        <f>SUM(OSRRefT22_16x_0)</f>
        <v>600</v>
      </c>
      <c r="U77" s="1"/>
      <c r="V77" s="5">
        <f t="shared" ref="V77:V82" si="53">IF(T$12=0,0,T77/T$12)</f>
        <v>0</v>
      </c>
      <c r="W77" s="1"/>
      <c r="X77" s="1">
        <f t="shared" ref="X77:X82" si="54">+P77-T77</f>
        <v>-86.649999999999977</v>
      </c>
      <c r="Y77" s="1"/>
      <c r="Z77" s="5">
        <f t="shared" ref="Z77:Z82" si="55">IF(T77=0,0,X77/T77)</f>
        <v>-0.14441666666666664</v>
      </c>
    </row>
    <row r="78" spans="1:26" s="24" customFormat="1" hidden="1" outlineLevel="2" x14ac:dyDescent="0.3">
      <c r="A78" s="29"/>
      <c r="B78" s="11" t="str">
        <f>CONCATENATE("          ", "6309", " - ", "TELEPHONE")</f>
        <v xml:space="preserve">          6309 - TELEPHONE</v>
      </c>
      <c r="C78" s="11"/>
      <c r="D78" s="8">
        <v>513.35</v>
      </c>
      <c r="E78" s="3"/>
      <c r="F78" s="7">
        <f t="shared" si="48"/>
        <v>0</v>
      </c>
      <c r="G78" s="3"/>
      <c r="H78" s="8">
        <v>600</v>
      </c>
      <c r="I78" s="3"/>
      <c r="J78" s="7">
        <f t="shared" si="49"/>
        <v>0</v>
      </c>
      <c r="K78" s="3"/>
      <c r="L78" s="8">
        <f t="shared" si="50"/>
        <v>-86.649999999999977</v>
      </c>
      <c r="M78" s="3"/>
      <c r="N78" s="7">
        <f t="shared" si="51"/>
        <v>-0.14441666666666664</v>
      </c>
      <c r="O78" s="11"/>
      <c r="P78" s="8">
        <v>513.35</v>
      </c>
      <c r="Q78" s="3"/>
      <c r="R78" s="7">
        <f t="shared" si="52"/>
        <v>0</v>
      </c>
      <c r="S78" s="3"/>
      <c r="T78" s="8">
        <v>600</v>
      </c>
      <c r="U78" s="3"/>
      <c r="V78" s="7">
        <f t="shared" si="53"/>
        <v>0</v>
      </c>
      <c r="W78" s="3"/>
      <c r="X78" s="8">
        <f t="shared" si="54"/>
        <v>-86.649999999999977</v>
      </c>
      <c r="Y78" s="3"/>
      <c r="Z78" s="7">
        <f t="shared" si="55"/>
        <v>-0.14441666666666664</v>
      </c>
    </row>
    <row r="79" spans="1:26" s="27" customFormat="1" outlineLevel="1" collapsed="1" x14ac:dyDescent="0.3">
      <c r="A79" s="28"/>
      <c r="B79" s="14" t="str">
        <f>CONCATENATE("     ","Travel                                            ")</f>
        <v xml:space="preserve">     Travel                                            </v>
      </c>
      <c r="C79" s="14"/>
      <c r="D79" s="1">
        <f>SUM(OSRRefD22_17x_0)</f>
        <v>495</v>
      </c>
      <c r="E79" s="1"/>
      <c r="F79" s="5">
        <f t="shared" si="48"/>
        <v>0</v>
      </c>
      <c r="G79" s="1"/>
      <c r="H79" s="1">
        <f>SUM(OSRRefH22_17x_0)</f>
        <v>125</v>
      </c>
      <c r="I79" s="1"/>
      <c r="J79" s="5">
        <f t="shared" si="49"/>
        <v>0</v>
      </c>
      <c r="K79" s="1"/>
      <c r="L79" s="1">
        <f t="shared" si="50"/>
        <v>370</v>
      </c>
      <c r="M79" s="1"/>
      <c r="N79" s="5">
        <f t="shared" si="51"/>
        <v>2.96</v>
      </c>
      <c r="O79" s="14"/>
      <c r="P79" s="1">
        <f>SUM(OSRRefP22_17x_0)</f>
        <v>495</v>
      </c>
      <c r="Q79" s="1"/>
      <c r="R79" s="5">
        <f t="shared" si="52"/>
        <v>0</v>
      </c>
      <c r="S79" s="1"/>
      <c r="T79" s="1">
        <f>SUM(OSRRefT22_17x_0)</f>
        <v>125</v>
      </c>
      <c r="U79" s="1"/>
      <c r="V79" s="5">
        <f t="shared" si="53"/>
        <v>0</v>
      </c>
      <c r="W79" s="1"/>
      <c r="X79" s="1">
        <f t="shared" si="54"/>
        <v>370</v>
      </c>
      <c r="Y79" s="1"/>
      <c r="Z79" s="5">
        <f t="shared" si="55"/>
        <v>2.96</v>
      </c>
    </row>
    <row r="80" spans="1:26" s="24" customFormat="1" hidden="1" outlineLevel="2" x14ac:dyDescent="0.3">
      <c r="A80" s="29"/>
      <c r="B80" s="11" t="str">
        <f>CONCATENATE("          ", "6292", " - ", "TRAVEL/CONFERENCE")</f>
        <v xml:space="preserve">          6292 - TRAVEL/CONFERENCE</v>
      </c>
      <c r="C80" s="11"/>
      <c r="D80" s="8">
        <v>495</v>
      </c>
      <c r="E80" s="3"/>
      <c r="F80" s="7">
        <f t="shared" si="48"/>
        <v>0</v>
      </c>
      <c r="G80" s="3"/>
      <c r="H80" s="8">
        <v>125</v>
      </c>
      <c r="I80" s="3"/>
      <c r="J80" s="7">
        <f t="shared" si="49"/>
        <v>0</v>
      </c>
      <c r="K80" s="3"/>
      <c r="L80" s="8">
        <f t="shared" si="50"/>
        <v>370</v>
      </c>
      <c r="M80" s="3"/>
      <c r="N80" s="7">
        <f t="shared" si="51"/>
        <v>2.96</v>
      </c>
      <c r="O80" s="11"/>
      <c r="P80" s="8">
        <v>495</v>
      </c>
      <c r="Q80" s="3"/>
      <c r="R80" s="7">
        <f t="shared" si="52"/>
        <v>0</v>
      </c>
      <c r="S80" s="3"/>
      <c r="T80" s="8">
        <v>125</v>
      </c>
      <c r="U80" s="3"/>
      <c r="V80" s="7">
        <f t="shared" si="53"/>
        <v>0</v>
      </c>
      <c r="W80" s="3"/>
      <c r="X80" s="8">
        <f t="shared" si="54"/>
        <v>370</v>
      </c>
      <c r="Y80" s="3"/>
      <c r="Z80" s="7">
        <f t="shared" si="55"/>
        <v>2.96</v>
      </c>
    </row>
    <row r="81" spans="1:26" s="27" customFormat="1" outlineLevel="1" collapsed="1" x14ac:dyDescent="0.3">
      <c r="A81" s="28"/>
      <c r="B81" s="14" t="str">
        <f>CONCATENATE("     ","Utilities                                         ")</f>
        <v xml:space="preserve">     Utilities                                         </v>
      </c>
      <c r="C81" s="14"/>
      <c r="D81" s="1">
        <f>SUM(OSRRefD22_18x_0)</f>
        <v>6000</v>
      </c>
      <c r="E81" s="1"/>
      <c r="F81" s="5">
        <f t="shared" si="48"/>
        <v>0</v>
      </c>
      <c r="G81" s="1"/>
      <c r="H81" s="1">
        <f>SUM(OSRRefH22_18x_0)</f>
        <v>6000</v>
      </c>
      <c r="I81" s="1"/>
      <c r="J81" s="5">
        <f t="shared" si="49"/>
        <v>0</v>
      </c>
      <c r="K81" s="1"/>
      <c r="L81" s="1">
        <f t="shared" si="50"/>
        <v>0</v>
      </c>
      <c r="M81" s="1"/>
      <c r="N81" s="5">
        <f t="shared" si="51"/>
        <v>0</v>
      </c>
      <c r="O81" s="14"/>
      <c r="P81" s="1">
        <f>SUM(OSRRefP22_18x_0)</f>
        <v>6000</v>
      </c>
      <c r="Q81" s="1"/>
      <c r="R81" s="5">
        <f t="shared" si="52"/>
        <v>0</v>
      </c>
      <c r="S81" s="1"/>
      <c r="T81" s="1">
        <f>SUM(OSRRefT22_18x_0)</f>
        <v>6000</v>
      </c>
      <c r="U81" s="1"/>
      <c r="V81" s="5">
        <f t="shared" si="53"/>
        <v>0</v>
      </c>
      <c r="W81" s="1"/>
      <c r="X81" s="1">
        <f t="shared" si="54"/>
        <v>0</v>
      </c>
      <c r="Y81" s="1"/>
      <c r="Z81" s="5">
        <f t="shared" si="55"/>
        <v>0</v>
      </c>
    </row>
    <row r="82" spans="1:26" s="24" customFormat="1" hidden="1" outlineLevel="2" x14ac:dyDescent="0.3">
      <c r="A82" s="29"/>
      <c r="B82" s="11" t="str">
        <f>CONCATENATE("          ", "6274", " - ", "UTILITIES")</f>
        <v xml:space="preserve">          6274 - UTILITIES</v>
      </c>
      <c r="C82" s="11"/>
      <c r="D82" s="8">
        <v>6000</v>
      </c>
      <c r="E82" s="3"/>
      <c r="F82" s="7">
        <f t="shared" si="48"/>
        <v>0</v>
      </c>
      <c r="G82" s="3"/>
      <c r="H82" s="8">
        <v>6000</v>
      </c>
      <c r="I82" s="3"/>
      <c r="J82" s="7">
        <f t="shared" si="49"/>
        <v>0</v>
      </c>
      <c r="K82" s="3"/>
      <c r="L82" s="8">
        <f t="shared" si="50"/>
        <v>0</v>
      </c>
      <c r="M82" s="3"/>
      <c r="N82" s="7">
        <f t="shared" si="51"/>
        <v>0</v>
      </c>
      <c r="O82" s="11"/>
      <c r="P82" s="8">
        <v>6000</v>
      </c>
      <c r="Q82" s="3"/>
      <c r="R82" s="7">
        <f t="shared" si="52"/>
        <v>0</v>
      </c>
      <c r="S82" s="3"/>
      <c r="T82" s="8">
        <v>6000</v>
      </c>
      <c r="U82" s="3"/>
      <c r="V82" s="7">
        <f t="shared" si="53"/>
        <v>0</v>
      </c>
      <c r="W82" s="3"/>
      <c r="X82" s="8">
        <f t="shared" si="54"/>
        <v>0</v>
      </c>
      <c r="Y82" s="3"/>
      <c r="Z82" s="7">
        <f t="shared" si="55"/>
        <v>0</v>
      </c>
    </row>
    <row r="83" spans="1:26" s="62" customFormat="1" x14ac:dyDescent="0.3">
      <c r="A83" s="36"/>
      <c r="B83" s="36"/>
      <c r="C83" s="36"/>
      <c r="D83" s="1"/>
      <c r="E83" s="1"/>
      <c r="F83" s="5"/>
      <c r="G83" s="1"/>
      <c r="H83" s="1"/>
      <c r="I83" s="1"/>
      <c r="J83" s="5"/>
      <c r="K83" s="1"/>
      <c r="L83" s="1"/>
      <c r="M83" s="1"/>
      <c r="N83" s="5"/>
      <c r="O83" s="36"/>
      <c r="P83" s="1"/>
      <c r="Q83" s="1"/>
      <c r="R83" s="5"/>
      <c r="S83" s="1"/>
      <c r="T83" s="1"/>
      <c r="U83" s="1"/>
      <c r="V83" s="5"/>
      <c r="W83" s="1"/>
      <c r="X83" s="1"/>
      <c r="Y83" s="1"/>
      <c r="Z83" s="5"/>
    </row>
    <row r="84" spans="1:26" s="23" customFormat="1" collapsed="1" x14ac:dyDescent="0.3">
      <c r="A84" s="10"/>
      <c r="B84" s="25" t="s">
        <v>293</v>
      </c>
      <c r="C84" s="10"/>
      <c r="D84" s="4">
        <f>SUM(OSRRefD25x_0)</f>
        <v>3926.89</v>
      </c>
      <c r="E84" s="4"/>
      <c r="F84" s="12">
        <f t="shared" ref="F84:F85" si="56">IF(D$12=0,0,D84/D$12)</f>
        <v>0</v>
      </c>
      <c r="G84" s="4"/>
      <c r="H84" s="4">
        <f>SUM(OSRRefH25x_0)</f>
        <v>1200</v>
      </c>
      <c r="I84" s="4"/>
      <c r="J84" s="12">
        <f t="shared" ref="J84:J85" si="57">IF(H$12=0,0,H84/H$12)</f>
        <v>0</v>
      </c>
      <c r="K84" s="4"/>
      <c r="L84" s="4">
        <f t="shared" ref="L84:L85" si="58">+D84-H84</f>
        <v>2726.89</v>
      </c>
      <c r="M84" s="4"/>
      <c r="N84" s="12">
        <f t="shared" ref="N84:N85" si="59">IF(H84=0,0,L84/H84)</f>
        <v>2.2724083333333334</v>
      </c>
      <c r="O84" s="10"/>
      <c r="P84" s="4">
        <f>SUM(OSRRefP25x_0)</f>
        <v>3926.89</v>
      </c>
      <c r="Q84" s="4"/>
      <c r="R84" s="12">
        <f t="shared" ref="R84:R85" si="60">IF(P$12=0,0,P84/P$12)</f>
        <v>0</v>
      </c>
      <c r="S84" s="4"/>
      <c r="T84" s="4">
        <f>SUM(OSRRefT25x_0)</f>
        <v>1200</v>
      </c>
      <c r="U84" s="4"/>
      <c r="V84" s="12">
        <f t="shared" ref="V84:V85" si="61">IF(T$12=0,0,T84/T$12)</f>
        <v>0</v>
      </c>
      <c r="W84" s="4"/>
      <c r="X84" s="4">
        <f t="shared" ref="X84:X85" si="62">+P84-T84</f>
        <v>2726.89</v>
      </c>
      <c r="Y84" s="4"/>
      <c r="Z84" s="12">
        <f t="shared" ref="Z84:Z85" si="63">IF(T84=0,0,X84/T84)</f>
        <v>2.2724083333333334</v>
      </c>
    </row>
    <row r="85" spans="1:26" s="24" customFormat="1" hidden="1" outlineLevel="1" x14ac:dyDescent="0.3">
      <c r="A85" s="44"/>
      <c r="B85" s="11" t="str">
        <f>CONCATENATE("          ", "9150", " - ", "MISC. INCOME")</f>
        <v xml:space="preserve">          9150 - MISC. INCOME</v>
      </c>
      <c r="C85" s="11"/>
      <c r="D85" s="3">
        <f>--3926.89</f>
        <v>3926.89</v>
      </c>
      <c r="E85" s="3"/>
      <c r="F85" s="19">
        <f t="shared" si="56"/>
        <v>0</v>
      </c>
      <c r="G85" s="3"/>
      <c r="H85" s="3">
        <v>1200</v>
      </c>
      <c r="I85" s="3"/>
      <c r="J85" s="19">
        <f t="shared" si="57"/>
        <v>0</v>
      </c>
      <c r="K85" s="3"/>
      <c r="L85" s="3">
        <f t="shared" si="58"/>
        <v>2726.89</v>
      </c>
      <c r="M85" s="3"/>
      <c r="N85" s="19">
        <f t="shared" si="59"/>
        <v>2.2724083333333334</v>
      </c>
      <c r="O85" s="11"/>
      <c r="P85" s="3">
        <f>--3926.89</f>
        <v>3926.89</v>
      </c>
      <c r="Q85" s="3"/>
      <c r="R85" s="19">
        <f t="shared" si="60"/>
        <v>0</v>
      </c>
      <c r="S85" s="3"/>
      <c r="T85" s="3">
        <v>1200</v>
      </c>
      <c r="U85" s="3"/>
      <c r="V85" s="19">
        <f t="shared" si="61"/>
        <v>0</v>
      </c>
      <c r="W85" s="3"/>
      <c r="X85" s="3">
        <f t="shared" si="62"/>
        <v>2726.89</v>
      </c>
      <c r="Y85" s="3"/>
      <c r="Z85" s="19">
        <f t="shared" si="63"/>
        <v>2.2724083333333334</v>
      </c>
    </row>
    <row r="86" spans="1:26" x14ac:dyDescent="0.3">
      <c r="A86" s="9"/>
      <c r="B86" s="10"/>
      <c r="C86" s="10"/>
      <c r="D86" s="2"/>
      <c r="E86" s="2"/>
      <c r="F86" s="6"/>
      <c r="G86" s="2"/>
      <c r="H86" s="2"/>
      <c r="I86" s="2"/>
      <c r="J86" s="6"/>
      <c r="K86" s="2"/>
      <c r="L86" s="2"/>
      <c r="M86" s="2"/>
      <c r="N86" s="6"/>
      <c r="O86" s="10"/>
      <c r="P86" s="2"/>
      <c r="Q86" s="2"/>
      <c r="R86" s="6"/>
      <c r="S86" s="2"/>
      <c r="T86" s="2"/>
      <c r="U86" s="2"/>
      <c r="V86" s="6"/>
      <c r="W86" s="2"/>
      <c r="X86" s="2"/>
      <c r="Y86" s="2"/>
      <c r="Z86" s="6"/>
    </row>
    <row r="87" spans="1:26" s="23" customFormat="1" x14ac:dyDescent="0.3">
      <c r="A87" s="10"/>
      <c r="B87" s="26" t="s">
        <v>277</v>
      </c>
      <c r="C87" s="26"/>
      <c r="D87" s="21">
        <f>+D16-D18+D84</f>
        <v>-175748.03000000003</v>
      </c>
      <c r="E87" s="13"/>
      <c r="F87" s="22">
        <f>IF(D$12=0,0,D87/D$12)</f>
        <v>0</v>
      </c>
      <c r="G87" s="13"/>
      <c r="H87" s="21">
        <f>+H16-H18+H84</f>
        <v>-163260.77304788464</v>
      </c>
      <c r="I87" s="13"/>
      <c r="J87" s="22">
        <f>IF(H$12=0,0,H87/H$12)</f>
        <v>0</v>
      </c>
      <c r="K87" s="16"/>
      <c r="L87" s="21">
        <f>+D87-H87</f>
        <v>-12487.256952115393</v>
      </c>
      <c r="M87" s="16"/>
      <c r="N87" s="22">
        <f>IF(H87=0,0,L87/H87)</f>
        <v>7.6486572487641361E-2</v>
      </c>
      <c r="O87" s="25"/>
      <c r="P87" s="21">
        <f>+P16-P18+P84</f>
        <v>-175748.03000000003</v>
      </c>
      <c r="Q87" s="13"/>
      <c r="R87" s="22">
        <f>IF(P$12=0,0,P87/P$12)</f>
        <v>0</v>
      </c>
      <c r="S87" s="13"/>
      <c r="T87" s="21">
        <f>+T16-T18+T84</f>
        <v>-163260.77304788464</v>
      </c>
      <c r="U87" s="13"/>
      <c r="V87" s="22">
        <f>IF(T$12=0,0,T87/T$12)</f>
        <v>0</v>
      </c>
      <c r="W87" s="16"/>
      <c r="X87" s="21">
        <f>+P87-T87</f>
        <v>-12487.256952115393</v>
      </c>
      <c r="Y87" s="16"/>
      <c r="Z87" s="22">
        <f>IF(T87=0,0,X87/T87)</f>
        <v>7.6486572487641361E-2</v>
      </c>
    </row>
    <row r="88" spans="1:26" x14ac:dyDescent="0.3">
      <c r="A88" s="9"/>
      <c r="B88" s="10"/>
      <c r="C88" s="9"/>
      <c r="D88" s="2"/>
      <c r="E88" s="2"/>
      <c r="F88" s="6"/>
      <c r="G88" s="2"/>
      <c r="H88" s="2"/>
      <c r="I88" s="2"/>
      <c r="J88" s="6"/>
      <c r="K88" s="2"/>
      <c r="L88" s="2"/>
      <c r="M88" s="2"/>
      <c r="N88" s="6"/>
      <c r="P88" s="2"/>
      <c r="Q88" s="2"/>
      <c r="R88" s="6"/>
      <c r="S88" s="2"/>
      <c r="T88" s="2"/>
      <c r="U88" s="2"/>
      <c r="V88" s="6"/>
      <c r="W88" s="2"/>
      <c r="X88" s="2"/>
      <c r="Y88" s="2"/>
      <c r="Z88" s="6"/>
    </row>
    <row r="89" spans="1:26" s="23" customFormat="1" x14ac:dyDescent="0.3">
      <c r="A89" s="52"/>
      <c r="B89" s="10" t="s">
        <v>128</v>
      </c>
      <c r="C89" s="10"/>
      <c r="D89" s="4"/>
      <c r="E89" s="4"/>
      <c r="F89" s="12">
        <f>IF(D$12=0,0,D89/D$12)</f>
        <v>0</v>
      </c>
      <c r="G89" s="4"/>
      <c r="H89" s="4"/>
      <c r="I89" s="4"/>
      <c r="J89" s="12">
        <f>IF(H$12=0,0,H89/H$12)</f>
        <v>0</v>
      </c>
      <c r="K89" s="4"/>
      <c r="L89" s="4">
        <f>+D89-H89</f>
        <v>0</v>
      </c>
      <c r="M89" s="4"/>
      <c r="N89" s="12">
        <f>IF(H89=0,0,L89/H89)</f>
        <v>0</v>
      </c>
      <c r="O89" s="10"/>
      <c r="P89" s="4"/>
      <c r="Q89" s="4"/>
      <c r="R89" s="12">
        <f>IF(P$12=0,0,P89/P$12)</f>
        <v>0</v>
      </c>
      <c r="S89" s="4"/>
      <c r="T89" s="4"/>
      <c r="U89" s="4"/>
      <c r="V89" s="12">
        <f>IF(T$12=0,0,T89/T$12)</f>
        <v>0</v>
      </c>
      <c r="W89" s="4"/>
      <c r="X89" s="4">
        <f>+P89-T89</f>
        <v>0</v>
      </c>
      <c r="Y89" s="4"/>
      <c r="Z89" s="12">
        <f>IF(T89=0,0,X89/T89)</f>
        <v>0</v>
      </c>
    </row>
    <row r="90" spans="1:26" x14ac:dyDescent="0.3">
      <c r="A90" s="9"/>
      <c r="B90" s="10"/>
      <c r="C90" s="10"/>
      <c r="D90" s="2"/>
      <c r="E90" s="2"/>
      <c r="F90" s="6"/>
      <c r="G90" s="2"/>
      <c r="H90" s="2"/>
      <c r="I90" s="2"/>
      <c r="J90" s="6"/>
      <c r="K90" s="2"/>
      <c r="L90" s="2"/>
      <c r="M90" s="2"/>
      <c r="N90" s="6"/>
      <c r="O90" s="10"/>
      <c r="P90" s="2"/>
      <c r="Q90" s="2"/>
      <c r="R90" s="6"/>
      <c r="S90" s="2"/>
      <c r="T90" s="2"/>
      <c r="U90" s="2"/>
      <c r="V90" s="6"/>
      <c r="W90" s="2"/>
      <c r="X90" s="2"/>
      <c r="Y90" s="2"/>
      <c r="Z90" s="6"/>
    </row>
    <row r="91" spans="1:26" s="23" customFormat="1" ht="15" thickBot="1" x14ac:dyDescent="0.35">
      <c r="A91" s="10"/>
      <c r="B91" s="26" t="s">
        <v>126</v>
      </c>
      <c r="C91" s="26"/>
      <c r="D91" s="35">
        <f>+D87-D89</f>
        <v>-175748.03000000003</v>
      </c>
      <c r="E91" s="13"/>
      <c r="F91" s="30">
        <f>IF(D$12=0,0,D91/D$12)</f>
        <v>0</v>
      </c>
      <c r="G91" s="13"/>
      <c r="H91" s="35">
        <f>+H87-H89</f>
        <v>-163260.77304788464</v>
      </c>
      <c r="I91" s="13"/>
      <c r="J91" s="30">
        <f>IF(H$12=0,0,H91/H$12)</f>
        <v>0</v>
      </c>
      <c r="K91" s="16"/>
      <c r="L91" s="35">
        <f>D91-H91</f>
        <v>-12487.256952115393</v>
      </c>
      <c r="M91" s="16"/>
      <c r="N91" s="30">
        <f>IF(H91=0,0,L91/H91)</f>
        <v>7.6486572487641361E-2</v>
      </c>
      <c r="O91" s="25"/>
      <c r="P91" s="35">
        <f>+P87-P89</f>
        <v>-175748.03000000003</v>
      </c>
      <c r="Q91" s="13"/>
      <c r="R91" s="30">
        <f>IF(P$12=0,0,P91/P$12)</f>
        <v>0</v>
      </c>
      <c r="S91" s="13"/>
      <c r="T91" s="35">
        <f>+T87-T89</f>
        <v>-163260.77304788464</v>
      </c>
      <c r="U91" s="13"/>
      <c r="V91" s="30">
        <f>IF(T$12=0,0,T91/T$12)</f>
        <v>0</v>
      </c>
      <c r="W91" s="16"/>
      <c r="X91" s="35">
        <f>P91-T91</f>
        <v>-12487.256952115393</v>
      </c>
      <c r="Y91" s="16"/>
      <c r="Z91" s="30">
        <f>IF(T91=0,0,X91/T91)</f>
        <v>7.6486572487641361E-2</v>
      </c>
    </row>
    <row r="92" spans="1:26" ht="15" thickTop="1" x14ac:dyDescent="0.3">
      <c r="A92" s="9"/>
      <c r="B92" s="9"/>
      <c r="C92" s="9"/>
      <c r="D92" s="2"/>
      <c r="E92" s="2"/>
      <c r="F92" s="6"/>
      <c r="G92" s="2"/>
      <c r="H92" s="2"/>
      <c r="I92" s="2"/>
      <c r="J92" s="6"/>
      <c r="K92" s="2"/>
      <c r="L92" s="2"/>
      <c r="M92" s="2"/>
      <c r="N92" s="6"/>
      <c r="P92" s="2"/>
      <c r="Q92" s="2"/>
      <c r="R92" s="6"/>
      <c r="S92" s="2"/>
      <c r="T92" s="2"/>
      <c r="U92" s="2"/>
      <c r="V92" s="6"/>
      <c r="W92" s="2"/>
      <c r="X92" s="2"/>
      <c r="Y92" s="2"/>
      <c r="Z92" s="6"/>
    </row>
    <row r="93" spans="1:26" x14ac:dyDescent="0.3">
      <c r="A93" s="9"/>
      <c r="B93" s="9"/>
      <c r="C93" s="9"/>
      <c r="D93" s="2"/>
      <c r="E93" s="2"/>
      <c r="F93" s="6"/>
      <c r="G93" s="2"/>
      <c r="H93" s="2"/>
      <c r="I93" s="2"/>
      <c r="J93" s="6"/>
      <c r="K93" s="2"/>
      <c r="L93" s="2"/>
      <c r="M93" s="2"/>
      <c r="N93" s="6"/>
      <c r="P93" s="2"/>
      <c r="Q93" s="2"/>
      <c r="R93" s="6"/>
      <c r="S93" s="2"/>
      <c r="T93" s="2"/>
      <c r="U93" s="2"/>
      <c r="V93" s="6"/>
      <c r="W93" s="2"/>
      <c r="X93" s="2"/>
      <c r="Y93" s="2"/>
      <c r="Z93" s="6"/>
    </row>
    <row r="94" spans="1:26" s="23" customFormat="1" ht="15" thickBot="1" x14ac:dyDescent="0.35">
      <c r="A94" s="10"/>
      <c r="B94" s="26" t="s">
        <v>294</v>
      </c>
      <c r="C94" s="26"/>
      <c r="D94" s="33">
        <f>SUM(D91:D93)</f>
        <v>-175748.03000000003</v>
      </c>
      <c r="E94" s="13"/>
      <c r="F94" s="31">
        <f>IF(D$12=0,0,D94/D$12)</f>
        <v>0</v>
      </c>
      <c r="G94" s="13"/>
      <c r="H94" s="33">
        <f>SUM(H91:H93)</f>
        <v>-163260.77304788464</v>
      </c>
      <c r="I94" s="13"/>
      <c r="J94" s="31">
        <f>IF(H$12=0,0,H94/H$12)</f>
        <v>0</v>
      </c>
      <c r="K94" s="16"/>
      <c r="L94" s="33">
        <f>+D94-H94</f>
        <v>-12487.256952115393</v>
      </c>
      <c r="M94" s="16"/>
      <c r="N94" s="31">
        <f>IF(H94=0,0,L94/H94)</f>
        <v>7.6486572487641361E-2</v>
      </c>
      <c r="O94" s="25"/>
      <c r="P94" s="33">
        <f>SUM(P91:P93)</f>
        <v>-175748.03000000003</v>
      </c>
      <c r="Q94" s="13"/>
      <c r="R94" s="31">
        <f>IF(P$12=0,0,P94/P$12)</f>
        <v>0</v>
      </c>
      <c r="S94" s="13"/>
      <c r="T94" s="33">
        <f>SUM(T91:T93)</f>
        <v>-163260.77304788464</v>
      </c>
      <c r="U94" s="13"/>
      <c r="V94" s="31">
        <f>IF(T$12=0,0,T94/T$12)</f>
        <v>0</v>
      </c>
      <c r="W94" s="16"/>
      <c r="X94" s="33">
        <f>+P94-T94</f>
        <v>-12487.256952115393</v>
      </c>
      <c r="Y94" s="16"/>
      <c r="Z94" s="31">
        <f>IF(T94=0,0,X94/T94)</f>
        <v>7.6486572487641361E-2</v>
      </c>
    </row>
    <row r="95" spans="1:26" ht="15" thickTop="1" x14ac:dyDescent="0.3">
      <c r="A95" s="9"/>
      <c r="C95" s="9"/>
      <c r="D95" s="18"/>
      <c r="E95" s="18"/>
      <c r="G95" s="18"/>
      <c r="H95" s="18"/>
      <c r="I95" s="18"/>
      <c r="J95" s="43"/>
      <c r="K95" s="18"/>
      <c r="L95" s="18"/>
      <c r="M95" s="18"/>
      <c r="P95" s="18"/>
      <c r="Q95" s="18"/>
      <c r="R95" s="43"/>
      <c r="S95" s="18"/>
      <c r="T95" s="18"/>
      <c r="U95" s="18"/>
      <c r="V95" s="43"/>
      <c r="W95" s="18"/>
      <c r="X95" s="18"/>
    </row>
    <row r="96" spans="1:26" x14ac:dyDescent="0.3">
      <c r="A96" s="9"/>
      <c r="B96" s="54">
        <v>44462.64548684028</v>
      </c>
      <c r="D96" s="18"/>
      <c r="E96" s="18"/>
      <c r="G96" s="18"/>
      <c r="H96" s="18"/>
      <c r="I96" s="18"/>
      <c r="J96" s="43"/>
      <c r="K96" s="18"/>
      <c r="L96" s="18"/>
      <c r="M96" s="18"/>
      <c r="P96" s="18"/>
      <c r="Q96" s="18"/>
      <c r="R96" s="43"/>
      <c r="S96" s="18"/>
      <c r="T96" s="18"/>
      <c r="U96" s="18"/>
      <c r="V96" s="43"/>
      <c r="W96" s="18"/>
      <c r="X96" s="18"/>
    </row>
    <row r="97" spans="1:24" x14ac:dyDescent="0.3">
      <c r="A97" s="9"/>
      <c r="B97" s="59" t="s">
        <v>56</v>
      </c>
      <c r="D97" s="18"/>
      <c r="E97" s="18"/>
      <c r="G97" s="18"/>
      <c r="H97" s="18"/>
      <c r="I97" s="18"/>
      <c r="J97" s="43"/>
      <c r="K97" s="18"/>
      <c r="L97" s="18"/>
      <c r="M97" s="18"/>
      <c r="P97" s="18"/>
      <c r="Q97" s="18"/>
      <c r="R97" s="43"/>
      <c r="S97" s="18"/>
      <c r="T97" s="18"/>
      <c r="U97" s="18"/>
      <c r="V97" s="43"/>
      <c r="W97" s="18"/>
      <c r="X97" s="18"/>
    </row>
    <row r="98" spans="1:24" x14ac:dyDescent="0.3">
      <c r="A98" s="9"/>
      <c r="B98" s="55"/>
      <c r="D98" s="18"/>
      <c r="E98" s="18"/>
      <c r="G98" s="18"/>
      <c r="H98" s="18"/>
      <c r="I98" s="18"/>
      <c r="J98" s="43"/>
      <c r="K98" s="18"/>
      <c r="L98" s="18"/>
      <c r="M98" s="18"/>
      <c r="P98" s="18"/>
      <c r="Q98" s="18"/>
      <c r="R98" s="43"/>
      <c r="S98" s="18"/>
      <c r="T98" s="18"/>
      <c r="U98" s="18"/>
      <c r="V98" s="43"/>
      <c r="W98" s="18"/>
      <c r="X98" s="18"/>
    </row>
    <row r="99" spans="1:24" x14ac:dyDescent="0.3">
      <c r="D99" s="18"/>
      <c r="E99" s="18"/>
      <c r="G99" s="18"/>
      <c r="H99" s="18"/>
      <c r="I99" s="18"/>
      <c r="J99" s="43"/>
      <c r="K99" s="18"/>
      <c r="L99" s="18"/>
      <c r="M99" s="18"/>
      <c r="P99" s="18"/>
      <c r="Q99" s="18"/>
      <c r="R99" s="43"/>
      <c r="S99" s="18"/>
      <c r="T99" s="18"/>
      <c r="U99" s="18"/>
      <c r="V99" s="43"/>
      <c r="W99" s="18"/>
      <c r="X99" s="18"/>
    </row>
  </sheetData>
  <pageMargins left="0.25" right="0.25" top="0.75" bottom="0.75" header="0.3" footer="0.3"/>
  <pageSetup scale="55" fitToWidth="2" orientation="landscape"/>
  <drawing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rgb="FFFFFF00"/>
    <outlinePr summaryBelow="0" summaryRight="0"/>
  </sheetPr>
  <dimension ref="A2:Z75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50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7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50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7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7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7" customWidth="1" outlineLevel="1"/>
  </cols>
  <sheetData>
    <row r="2" spans="1:26" x14ac:dyDescent="0.3">
      <c r="D2" s="57" t="s">
        <v>23</v>
      </c>
    </row>
    <row r="3" spans="1:26" x14ac:dyDescent="0.3">
      <c r="D3" s="57" t="s">
        <v>237</v>
      </c>
      <c r="E3" s="17"/>
      <c r="F3" s="51"/>
      <c r="G3" s="17"/>
      <c r="H3" s="17"/>
      <c r="I3" s="17"/>
      <c r="J3" s="39"/>
      <c r="K3" s="17"/>
      <c r="L3" s="17"/>
      <c r="M3" s="17"/>
      <c r="N3" s="51"/>
      <c r="O3" s="61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3">
      <c r="D4" s="57" t="str">
        <f>CONCATENATE("Period ",RIGHT(202201,2),", ",2022)</f>
        <v>Period 01, 2022</v>
      </c>
      <c r="E4" s="17"/>
      <c r="F4" s="51"/>
      <c r="G4" s="17"/>
      <c r="H4" s="17"/>
      <c r="I4" s="17"/>
      <c r="J4" s="39"/>
      <c r="K4" s="17"/>
      <c r="L4" s="17"/>
      <c r="M4" s="17"/>
      <c r="N4" s="51"/>
      <c r="O4" s="61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3">
      <c r="A5" s="23"/>
      <c r="D5" s="64">
        <v>44408</v>
      </c>
      <c r="E5" s="17"/>
      <c r="F5" s="51"/>
      <c r="G5" s="17"/>
      <c r="H5" s="17"/>
      <c r="I5" s="17"/>
      <c r="J5" s="39"/>
      <c r="K5" s="17"/>
      <c r="L5" s="17"/>
      <c r="M5" s="17"/>
      <c r="N5" s="51"/>
      <c r="O5" s="61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3">
      <c r="A6" s="23"/>
      <c r="B6" s="47"/>
      <c r="C6" s="47"/>
      <c r="D6" s="23" t="s">
        <v>81</v>
      </c>
      <c r="E6" s="17"/>
      <c r="F6" s="51"/>
      <c r="G6" s="17"/>
      <c r="H6" s="17"/>
      <c r="I6" s="17"/>
      <c r="J6" s="39"/>
      <c r="K6" s="17"/>
      <c r="L6" s="17"/>
      <c r="M6" s="17"/>
      <c r="N6" s="51"/>
      <c r="O6" s="60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3">
      <c r="B7" s="63"/>
    </row>
    <row r="8" spans="1:26" x14ac:dyDescent="0.3">
      <c r="B8" s="63"/>
    </row>
    <row r="9" spans="1:26" x14ac:dyDescent="0.3">
      <c r="B9" s="9"/>
      <c r="C9" s="9"/>
      <c r="D9" s="15" t="s">
        <v>292</v>
      </c>
      <c r="E9" s="15"/>
      <c r="F9" s="38"/>
      <c r="G9" s="15"/>
      <c r="H9" s="15"/>
      <c r="I9" s="15"/>
      <c r="J9" s="49"/>
      <c r="K9" s="15"/>
      <c r="L9" s="15"/>
      <c r="M9" s="15"/>
      <c r="N9" s="38"/>
      <c r="P9" s="15" t="s">
        <v>39</v>
      </c>
      <c r="Q9" s="15"/>
      <c r="R9" s="38"/>
      <c r="S9" s="15"/>
      <c r="T9" s="15"/>
      <c r="U9" s="15"/>
      <c r="V9" s="49"/>
      <c r="W9" s="15"/>
      <c r="X9" s="15"/>
      <c r="Y9" s="15"/>
      <c r="Z9" s="38"/>
    </row>
    <row r="10" spans="1:26" x14ac:dyDescent="0.3">
      <c r="A10" s="10"/>
      <c r="B10" s="53"/>
      <c r="C10" s="10"/>
      <c r="D10" s="42" t="s">
        <v>57</v>
      </c>
      <c r="E10" s="34"/>
      <c r="F10" s="40" t="s">
        <v>40</v>
      </c>
      <c r="G10" s="34"/>
      <c r="H10" s="45" t="s">
        <v>238</v>
      </c>
      <c r="I10" s="34"/>
      <c r="J10" s="48" t="s">
        <v>58</v>
      </c>
      <c r="K10" s="10"/>
      <c r="L10" s="42" t="s">
        <v>127</v>
      </c>
      <c r="M10" s="10"/>
      <c r="N10" s="40" t="s">
        <v>258</v>
      </c>
      <c r="O10" s="10"/>
      <c r="P10" s="56" t="s">
        <v>57</v>
      </c>
      <c r="Q10" s="34"/>
      <c r="R10" s="40" t="s">
        <v>40</v>
      </c>
      <c r="S10" s="34"/>
      <c r="T10" s="45" t="s">
        <v>238</v>
      </c>
      <c r="U10" s="34"/>
      <c r="V10" s="48" t="s">
        <v>58</v>
      </c>
      <c r="W10" s="10"/>
      <c r="X10" s="42" t="s">
        <v>127</v>
      </c>
      <c r="Y10" s="10"/>
      <c r="Z10" s="40" t="s">
        <v>258</v>
      </c>
    </row>
    <row r="11" spans="1:26" ht="15.6" x14ac:dyDescent="0.3">
      <c r="A11" s="9"/>
      <c r="B11" s="58"/>
      <c r="C11" s="9"/>
      <c r="D11" s="9"/>
      <c r="E11" s="9"/>
      <c r="F11" s="6"/>
      <c r="G11" s="9"/>
      <c r="H11" s="9"/>
      <c r="I11" s="9"/>
      <c r="J11" s="46"/>
      <c r="K11" s="9"/>
      <c r="L11" s="9"/>
      <c r="M11" s="9"/>
      <c r="N11" s="6"/>
      <c r="P11" s="9"/>
      <c r="Q11" s="9"/>
      <c r="R11" s="6"/>
      <c r="S11" s="9"/>
      <c r="T11" s="9"/>
      <c r="U11" s="9"/>
      <c r="V11" s="46"/>
      <c r="W11" s="9"/>
      <c r="X11" s="9"/>
      <c r="Y11" s="9"/>
      <c r="Z11" s="6"/>
    </row>
    <row r="12" spans="1:26" s="23" customFormat="1" collapsed="1" x14ac:dyDescent="0.3">
      <c r="A12" s="10"/>
      <c r="B12" s="25" t="s">
        <v>140</v>
      </c>
      <c r="C12" s="10"/>
      <c r="D12" s="4">
        <f>SUM(OSRRefD13x_0)</f>
        <v>0</v>
      </c>
      <c r="E12" s="4"/>
      <c r="F12" s="12"/>
      <c r="G12" s="4"/>
      <c r="H12" s="4">
        <f>SUM(OSRRefH13x_0)</f>
        <v>2366</v>
      </c>
      <c r="I12" s="4"/>
      <c r="J12" s="12"/>
      <c r="K12" s="4"/>
      <c r="L12" s="4">
        <f t="shared" ref="L12:L14" si="0">+D12-H12</f>
        <v>-2366</v>
      </c>
      <c r="M12" s="4"/>
      <c r="N12" s="12">
        <f t="shared" ref="N12:N14" si="1">IF(H12=0,0,L12/H12)</f>
        <v>-1</v>
      </c>
      <c r="O12" s="10"/>
      <c r="P12" s="4">
        <f>SUM(OSRRefP13x_0)</f>
        <v>0</v>
      </c>
      <c r="Q12" s="4"/>
      <c r="R12" s="12"/>
      <c r="S12" s="4"/>
      <c r="T12" s="4">
        <f>SUM(OSRRefT13x_0)</f>
        <v>2366</v>
      </c>
      <c r="U12" s="4"/>
      <c r="V12" s="12"/>
      <c r="W12" s="4"/>
      <c r="X12" s="4">
        <f t="shared" ref="X12:X14" si="2">+P12-T12</f>
        <v>-2366</v>
      </c>
      <c r="Y12" s="4"/>
      <c r="Z12" s="12">
        <f t="shared" ref="Z12:Z14" si="3">IF(T12=0,0,X12/T12)</f>
        <v>-1</v>
      </c>
    </row>
    <row r="13" spans="1:26" s="24" customFormat="1" hidden="1" outlineLevel="1" x14ac:dyDescent="0.3">
      <c r="A13" s="44"/>
      <c r="B13" s="11" t="str">
        <f>CONCATENATE("          ", "4000", " - ", "TAXABLE SALES")</f>
        <v xml:space="preserve">          4000 - TAXABLE SALES</v>
      </c>
      <c r="C13" s="11"/>
      <c r="D13" s="3">
        <f t="shared" ref="D13:D14" si="4">0</f>
        <v>0</v>
      </c>
      <c r="E13" s="3"/>
      <c r="F13" s="19"/>
      <c r="G13" s="3"/>
      <c r="H13" s="3">
        <v>1811</v>
      </c>
      <c r="I13" s="3"/>
      <c r="J13" s="19"/>
      <c r="K13" s="3"/>
      <c r="L13" s="3">
        <f t="shared" si="0"/>
        <v>-1811</v>
      </c>
      <c r="M13" s="3"/>
      <c r="N13" s="19">
        <f t="shared" si="1"/>
        <v>-1</v>
      </c>
      <c r="O13" s="11"/>
      <c r="P13" s="3">
        <f t="shared" ref="P13:P14" si="5">0</f>
        <v>0</v>
      </c>
      <c r="Q13" s="3"/>
      <c r="R13" s="19"/>
      <c r="S13" s="3"/>
      <c r="T13" s="3">
        <v>1811</v>
      </c>
      <c r="U13" s="3"/>
      <c r="V13" s="19"/>
      <c r="W13" s="3"/>
      <c r="X13" s="3">
        <f t="shared" si="2"/>
        <v>-1811</v>
      </c>
      <c r="Y13" s="3"/>
      <c r="Z13" s="19">
        <f t="shared" si="3"/>
        <v>-1</v>
      </c>
    </row>
    <row r="14" spans="1:26" s="24" customFormat="1" hidden="1" outlineLevel="1" x14ac:dyDescent="0.3">
      <c r="A14" s="44"/>
      <c r="B14" s="11" t="str">
        <f>CONCATENATE("          ", "4100", " - ", "NON-TAXABLE SALES")</f>
        <v xml:space="preserve">          4100 - NON-TAXABLE SALES</v>
      </c>
      <c r="C14" s="11"/>
      <c r="D14" s="3">
        <f t="shared" si="4"/>
        <v>0</v>
      </c>
      <c r="E14" s="3"/>
      <c r="F14" s="19"/>
      <c r="G14" s="3"/>
      <c r="H14" s="3">
        <v>555</v>
      </c>
      <c r="I14" s="3"/>
      <c r="J14" s="19"/>
      <c r="K14" s="3"/>
      <c r="L14" s="3">
        <f t="shared" si="0"/>
        <v>-555</v>
      </c>
      <c r="M14" s="3"/>
      <c r="N14" s="19">
        <f t="shared" si="1"/>
        <v>-1</v>
      </c>
      <c r="O14" s="11"/>
      <c r="P14" s="3">
        <f t="shared" si="5"/>
        <v>0</v>
      </c>
      <c r="Q14" s="3"/>
      <c r="R14" s="19"/>
      <c r="S14" s="3"/>
      <c r="T14" s="3">
        <v>555</v>
      </c>
      <c r="U14" s="3"/>
      <c r="V14" s="19"/>
      <c r="W14" s="3"/>
      <c r="X14" s="3">
        <f t="shared" si="2"/>
        <v>-555</v>
      </c>
      <c r="Y14" s="3"/>
      <c r="Z14" s="19">
        <f t="shared" si="3"/>
        <v>-1</v>
      </c>
    </row>
    <row r="15" spans="1:26" x14ac:dyDescent="0.3">
      <c r="A15" s="9"/>
      <c r="B15" s="10"/>
      <c r="C15" s="9"/>
      <c r="D15" s="2"/>
      <c r="E15" s="2"/>
      <c r="F15" s="6"/>
      <c r="G15" s="2"/>
      <c r="H15" s="2"/>
      <c r="I15" s="2"/>
      <c r="J15" s="6"/>
      <c r="K15" s="2"/>
      <c r="L15" s="2"/>
      <c r="M15" s="2"/>
      <c r="N15" s="6"/>
      <c r="P15" s="2"/>
      <c r="Q15" s="2"/>
      <c r="R15" s="6"/>
      <c r="S15" s="2"/>
      <c r="T15" s="2"/>
      <c r="U15" s="2"/>
      <c r="V15" s="6"/>
      <c r="W15" s="2"/>
      <c r="X15" s="2"/>
      <c r="Y15" s="2"/>
      <c r="Z15" s="6"/>
    </row>
    <row r="16" spans="1:26" s="23" customFormat="1" collapsed="1" x14ac:dyDescent="0.3">
      <c r="A16" s="10"/>
      <c r="B16" s="25" t="s">
        <v>257</v>
      </c>
      <c r="C16" s="10"/>
      <c r="D16" s="4">
        <f>SUM(OSRRefD16x_0)</f>
        <v>0</v>
      </c>
      <c r="E16" s="4"/>
      <c r="F16" s="12">
        <f t="shared" ref="F16:F17" si="6">IF(D$12=0,0,D16/D$12)</f>
        <v>0</v>
      </c>
      <c r="G16" s="4"/>
      <c r="H16" s="4">
        <f>SUM(OSRRefH16x_0)</f>
        <v>1382</v>
      </c>
      <c r="I16" s="4"/>
      <c r="J16" s="12">
        <f t="shared" ref="J16:J17" si="7">IF(H$12=0,0,H16/H$12)</f>
        <v>0.58410819949281489</v>
      </c>
      <c r="K16" s="4"/>
      <c r="L16" s="4">
        <f t="shared" ref="L16:L17" si="8">+D16-H16</f>
        <v>-1382</v>
      </c>
      <c r="M16" s="4"/>
      <c r="N16" s="12">
        <f t="shared" ref="N16:N17" si="9">IF(H16=0,0,L16/H16)</f>
        <v>-1</v>
      </c>
      <c r="O16" s="10"/>
      <c r="P16" s="4">
        <f>SUM(OSRRefP16x_0)</f>
        <v>0</v>
      </c>
      <c r="Q16" s="4"/>
      <c r="R16" s="12">
        <f t="shared" ref="R16:R17" si="10">IF(P$12=0,0,P16/P$12)</f>
        <v>0</v>
      </c>
      <c r="S16" s="4"/>
      <c r="T16" s="4">
        <f>SUM(OSRRefT16x_0)</f>
        <v>1382</v>
      </c>
      <c r="U16" s="4"/>
      <c r="V16" s="12">
        <f t="shared" ref="V16:V17" si="11">IF(T$12=0,0,T16/T$12)</f>
        <v>0.58410819949281489</v>
      </c>
      <c r="W16" s="4"/>
      <c r="X16" s="4">
        <f t="shared" ref="X16:X17" si="12">+P16-T16</f>
        <v>-1382</v>
      </c>
      <c r="Y16" s="4"/>
      <c r="Z16" s="12">
        <f t="shared" ref="Z16:Z17" si="13">IF(T16=0,0,X16/T16)</f>
        <v>-1</v>
      </c>
    </row>
    <row r="17" spans="1:26" s="24" customFormat="1" hidden="1" outlineLevel="1" x14ac:dyDescent="0.3">
      <c r="A17" s="44"/>
      <c r="B17" s="11" t="str">
        <f>CONCATENATE("          ", "5000", " - ", "PURCHASES @ COST")</f>
        <v xml:space="preserve">          5000 - PURCHASES @ COST</v>
      </c>
      <c r="C17" s="11"/>
      <c r="D17" s="3"/>
      <c r="E17" s="3"/>
      <c r="F17" s="19">
        <f t="shared" si="6"/>
        <v>0</v>
      </c>
      <c r="G17" s="3"/>
      <c r="H17" s="3">
        <v>1382</v>
      </c>
      <c r="I17" s="3"/>
      <c r="J17" s="19">
        <f t="shared" si="7"/>
        <v>0.58410819949281489</v>
      </c>
      <c r="K17" s="3"/>
      <c r="L17" s="3">
        <f t="shared" si="8"/>
        <v>-1382</v>
      </c>
      <c r="M17" s="3"/>
      <c r="N17" s="19">
        <f t="shared" si="9"/>
        <v>-1</v>
      </c>
      <c r="O17" s="11"/>
      <c r="P17" s="3"/>
      <c r="Q17" s="3"/>
      <c r="R17" s="19">
        <f t="shared" si="10"/>
        <v>0</v>
      </c>
      <c r="S17" s="3"/>
      <c r="T17" s="3">
        <v>1382</v>
      </c>
      <c r="U17" s="3"/>
      <c r="V17" s="19">
        <f t="shared" si="11"/>
        <v>0.58410819949281489</v>
      </c>
      <c r="W17" s="3"/>
      <c r="X17" s="3">
        <f t="shared" si="12"/>
        <v>-1382</v>
      </c>
      <c r="Y17" s="3"/>
      <c r="Z17" s="19">
        <f t="shared" si="13"/>
        <v>-1</v>
      </c>
    </row>
    <row r="18" spans="1:26" x14ac:dyDescent="0.3">
      <c r="A18" s="9"/>
      <c r="B18" s="10"/>
      <c r="C18" s="10"/>
      <c r="D18" s="2"/>
      <c r="E18" s="2"/>
      <c r="F18" s="6"/>
      <c r="G18" s="2"/>
      <c r="H18" s="2"/>
      <c r="I18" s="2"/>
      <c r="J18" s="6"/>
      <c r="K18" s="2"/>
      <c r="L18" s="2"/>
      <c r="M18" s="2"/>
      <c r="N18" s="6"/>
      <c r="O18" s="10"/>
      <c r="P18" s="2"/>
      <c r="Q18" s="2"/>
      <c r="R18" s="6"/>
      <c r="S18" s="2"/>
      <c r="T18" s="2"/>
      <c r="U18" s="2"/>
      <c r="V18" s="6"/>
      <c r="W18" s="2"/>
      <c r="X18" s="2"/>
      <c r="Y18" s="2"/>
      <c r="Z18" s="6"/>
    </row>
    <row r="19" spans="1:26" s="23" customFormat="1" x14ac:dyDescent="0.3">
      <c r="A19" s="10"/>
      <c r="B19" s="26" t="s">
        <v>108</v>
      </c>
      <c r="C19" s="26"/>
      <c r="D19" s="21">
        <f>D12-D16</f>
        <v>0</v>
      </c>
      <c r="E19" s="13"/>
      <c r="F19" s="22">
        <f>IF(D$12=0,0,D19/D$12)</f>
        <v>0</v>
      </c>
      <c r="G19" s="13"/>
      <c r="H19" s="21">
        <f>H12-H16</f>
        <v>984</v>
      </c>
      <c r="I19" s="13"/>
      <c r="J19" s="22">
        <f>IF(H$12=0,0,H19/H$12)</f>
        <v>0.41589180050718511</v>
      </c>
      <c r="K19" s="16"/>
      <c r="L19" s="21">
        <f>+D19-H19</f>
        <v>-984</v>
      </c>
      <c r="M19" s="16"/>
      <c r="N19" s="22">
        <f>IF(H19=0,0,L19/H19)</f>
        <v>-1</v>
      </c>
      <c r="O19" s="25"/>
      <c r="P19" s="21">
        <f>P12-P16</f>
        <v>0</v>
      </c>
      <c r="Q19" s="13"/>
      <c r="R19" s="22">
        <f>IF(P$12=0,0,P19/P$12)</f>
        <v>0</v>
      </c>
      <c r="S19" s="13"/>
      <c r="T19" s="21">
        <f>T12-T16</f>
        <v>984</v>
      </c>
      <c r="U19" s="13"/>
      <c r="V19" s="22">
        <f>IF(T$12=0,0,T19/T$12)</f>
        <v>0.41589180050718511</v>
      </c>
      <c r="W19" s="16"/>
      <c r="X19" s="21">
        <f>+P19-T19</f>
        <v>-984</v>
      </c>
      <c r="Y19" s="16"/>
      <c r="Z19" s="22">
        <f>IF(T19=0,0,X19/T19)</f>
        <v>-1</v>
      </c>
    </row>
    <row r="20" spans="1:26" x14ac:dyDescent="0.3">
      <c r="A20" s="9"/>
      <c r="B20" s="10"/>
      <c r="C20" s="9"/>
      <c r="D20" s="1"/>
      <c r="E20" s="1"/>
      <c r="F20" s="5"/>
      <c r="G20" s="1"/>
      <c r="H20" s="1"/>
      <c r="I20" s="1"/>
      <c r="J20" s="5"/>
      <c r="K20" s="1"/>
      <c r="L20" s="1"/>
      <c r="M20" s="1"/>
      <c r="N20" s="5"/>
      <c r="O20" s="36"/>
      <c r="P20" s="1"/>
      <c r="Q20" s="1"/>
      <c r="R20" s="5"/>
      <c r="S20" s="1"/>
      <c r="T20" s="1"/>
      <c r="U20" s="1"/>
      <c r="V20" s="5"/>
      <c r="W20" s="1"/>
      <c r="X20" s="1"/>
      <c r="Y20" s="1"/>
      <c r="Z20" s="5"/>
    </row>
    <row r="21" spans="1:26" s="23" customFormat="1" x14ac:dyDescent="0.3">
      <c r="A21" s="10"/>
      <c r="B21" s="25" t="s">
        <v>295</v>
      </c>
      <c r="C21" s="10"/>
      <c r="D21" s="20">
        <f>SUM(OSRRefD22x_0)</f>
        <v>763</v>
      </c>
      <c r="E21" s="20"/>
      <c r="F21" s="32">
        <f t="shared" ref="F21:F30" si="14">IF(D$12=0,0,D21/D$12)</f>
        <v>0</v>
      </c>
      <c r="G21" s="20"/>
      <c r="H21" s="20">
        <f>SUM(OSRRefH22x_0)</f>
        <v>12272.04025</v>
      </c>
      <c r="I21" s="20"/>
      <c r="J21" s="32">
        <f t="shared" ref="J21:J30" si="15">IF(H$12=0,0,H21/H$12)</f>
        <v>5.1868301986475061</v>
      </c>
      <c r="K21" s="4"/>
      <c r="L21" s="20">
        <f t="shared" ref="L21:L30" si="16">+D21-H21</f>
        <v>-11509.04025</v>
      </c>
      <c r="M21" s="4"/>
      <c r="N21" s="32">
        <f t="shared" ref="N21:N30" si="17">IF(H21=0,0,L21/H21)</f>
        <v>-0.93782614916048701</v>
      </c>
      <c r="O21" s="10"/>
      <c r="P21" s="20">
        <f>SUM(OSRRefP22x_0)</f>
        <v>763</v>
      </c>
      <c r="Q21" s="20"/>
      <c r="R21" s="32">
        <f t="shared" ref="R21:R30" si="18">IF(P$12=0,0,P21/P$12)</f>
        <v>0</v>
      </c>
      <c r="S21" s="20"/>
      <c r="T21" s="20">
        <f>SUM(OSRRefT22x_0)</f>
        <v>12272.04025</v>
      </c>
      <c r="U21" s="20"/>
      <c r="V21" s="32">
        <f t="shared" ref="V21:V30" si="19">IF(T$12=0,0,T21/T$12)</f>
        <v>5.1868301986475061</v>
      </c>
      <c r="W21" s="4"/>
      <c r="X21" s="20">
        <f t="shared" ref="X21:X30" si="20">+P21-T21</f>
        <v>-11509.04025</v>
      </c>
      <c r="Y21" s="4"/>
      <c r="Z21" s="32">
        <f t="shared" ref="Z21:Z30" si="21">IF(T21=0,0,X21/T21)</f>
        <v>-0.93782614916048701</v>
      </c>
    </row>
    <row r="22" spans="1:26" s="27" customFormat="1" outlineLevel="1" collapsed="1" x14ac:dyDescent="0.3">
      <c r="A22" s="28"/>
      <c r="B22" s="14" t="str">
        <f>CONCATENATE("     ","*Benefits                                         ")</f>
        <v xml:space="preserve">     *Benefits                                         </v>
      </c>
      <c r="C22" s="14"/>
      <c r="D22" s="1">
        <f>SUM(OSRRefD22_0x_0)</f>
        <v>0</v>
      </c>
      <c r="E22" s="1"/>
      <c r="F22" s="5">
        <f t="shared" si="14"/>
        <v>0</v>
      </c>
      <c r="G22" s="1"/>
      <c r="H22" s="1">
        <f>SUM(OSRRefH22_0x_0)</f>
        <v>1312.04025</v>
      </c>
      <c r="I22" s="1"/>
      <c r="J22" s="5">
        <f t="shared" si="15"/>
        <v>0.55453941251056638</v>
      </c>
      <c r="K22" s="1"/>
      <c r="L22" s="1">
        <f t="shared" si="16"/>
        <v>-1312.04025</v>
      </c>
      <c r="M22" s="1"/>
      <c r="N22" s="5">
        <f t="shared" si="17"/>
        <v>-1</v>
      </c>
      <c r="O22" s="14"/>
      <c r="P22" s="1">
        <f>SUM(OSRRefP22_0x_0)</f>
        <v>0</v>
      </c>
      <c r="Q22" s="1"/>
      <c r="R22" s="5">
        <f t="shared" si="18"/>
        <v>0</v>
      </c>
      <c r="S22" s="1"/>
      <c r="T22" s="1">
        <f>SUM(OSRRefT22_0x_0)</f>
        <v>1312.04025</v>
      </c>
      <c r="U22" s="1"/>
      <c r="V22" s="5">
        <f t="shared" si="19"/>
        <v>0.55453941251056638</v>
      </c>
      <c r="W22" s="1"/>
      <c r="X22" s="1">
        <f t="shared" si="20"/>
        <v>-1312.04025</v>
      </c>
      <c r="Y22" s="1"/>
      <c r="Z22" s="5">
        <f t="shared" si="21"/>
        <v>-1</v>
      </c>
    </row>
    <row r="23" spans="1:26" s="24" customFormat="1" hidden="1" outlineLevel="2" x14ac:dyDescent="0.3">
      <c r="A23" s="29"/>
      <c r="B23" s="11" t="str">
        <f>CONCATENATE("          ", "6111", " - ", "F.I.C.A.")</f>
        <v xml:space="preserve">          6111 - F.I.C.A.</v>
      </c>
      <c r="C23" s="11"/>
      <c r="D23" s="8"/>
      <c r="E23" s="3"/>
      <c r="F23" s="7">
        <f t="shared" si="14"/>
        <v>0</v>
      </c>
      <c r="G23" s="3"/>
      <c r="H23" s="8">
        <v>778.69275000000005</v>
      </c>
      <c r="I23" s="3"/>
      <c r="J23" s="7">
        <f t="shared" si="15"/>
        <v>0.3291178148774303</v>
      </c>
      <c r="K23" s="3"/>
      <c r="L23" s="8">
        <f t="shared" si="16"/>
        <v>-778.69275000000005</v>
      </c>
      <c r="M23" s="3"/>
      <c r="N23" s="7">
        <f t="shared" si="17"/>
        <v>-1</v>
      </c>
      <c r="O23" s="11"/>
      <c r="P23" s="8"/>
      <c r="Q23" s="3"/>
      <c r="R23" s="7">
        <f t="shared" si="18"/>
        <v>0</v>
      </c>
      <c r="S23" s="3"/>
      <c r="T23" s="8">
        <v>778.69275000000005</v>
      </c>
      <c r="U23" s="3"/>
      <c r="V23" s="7">
        <f t="shared" si="19"/>
        <v>0.3291178148774303</v>
      </c>
      <c r="W23" s="3"/>
      <c r="X23" s="8">
        <f t="shared" si="20"/>
        <v>-778.69275000000005</v>
      </c>
      <c r="Y23" s="3"/>
      <c r="Z23" s="7">
        <f t="shared" si="21"/>
        <v>-1</v>
      </c>
    </row>
    <row r="24" spans="1:26" s="24" customFormat="1" hidden="1" outlineLevel="2" x14ac:dyDescent="0.3">
      <c r="A24" s="29"/>
      <c r="B24" s="11" t="str">
        <f>CONCATENATE("          ", "6112", " - ", "COMPENSATION INSURANCE")</f>
        <v xml:space="preserve">          6112 - COMPENSATION INSURANCE</v>
      </c>
      <c r="C24" s="11"/>
      <c r="D24" s="8"/>
      <c r="E24" s="3"/>
      <c r="F24" s="7">
        <f t="shared" si="14"/>
        <v>0</v>
      </c>
      <c r="G24" s="3"/>
      <c r="H24" s="8">
        <v>158.72999999999999</v>
      </c>
      <c r="I24" s="3"/>
      <c r="J24" s="7">
        <f t="shared" si="15"/>
        <v>6.708791208791208E-2</v>
      </c>
      <c r="K24" s="3"/>
      <c r="L24" s="8">
        <f t="shared" si="16"/>
        <v>-158.72999999999999</v>
      </c>
      <c r="M24" s="3"/>
      <c r="N24" s="7">
        <f t="shared" si="17"/>
        <v>-1</v>
      </c>
      <c r="O24" s="11"/>
      <c r="P24" s="8"/>
      <c r="Q24" s="3"/>
      <c r="R24" s="7">
        <f t="shared" si="18"/>
        <v>0</v>
      </c>
      <c r="S24" s="3"/>
      <c r="T24" s="8">
        <v>158.72999999999999</v>
      </c>
      <c r="U24" s="3"/>
      <c r="V24" s="7">
        <f t="shared" si="19"/>
        <v>6.708791208791208E-2</v>
      </c>
      <c r="W24" s="3"/>
      <c r="X24" s="8">
        <f t="shared" si="20"/>
        <v>-158.72999999999999</v>
      </c>
      <c r="Y24" s="3"/>
      <c r="Z24" s="7">
        <f t="shared" si="21"/>
        <v>-1</v>
      </c>
    </row>
    <row r="25" spans="1:26" s="24" customFormat="1" hidden="1" outlineLevel="2" x14ac:dyDescent="0.3">
      <c r="A25" s="29"/>
      <c r="B25" s="11" t="str">
        <f>CONCATENATE("          ", "6113", " - ", "GROUP INSURANCE")</f>
        <v xml:space="preserve">          6113 - GROUP INSURANCE</v>
      </c>
      <c r="C25" s="11"/>
      <c r="D25" s="8"/>
      <c r="E25" s="3"/>
      <c r="F25" s="7">
        <f t="shared" si="14"/>
        <v>0</v>
      </c>
      <c r="G25" s="3"/>
      <c r="H25" s="8">
        <v>0</v>
      </c>
      <c r="I25" s="3"/>
      <c r="J25" s="7">
        <f t="shared" si="15"/>
        <v>0</v>
      </c>
      <c r="K25" s="3"/>
      <c r="L25" s="8">
        <f t="shared" si="16"/>
        <v>0</v>
      </c>
      <c r="M25" s="3"/>
      <c r="N25" s="7">
        <f t="shared" si="17"/>
        <v>0</v>
      </c>
      <c r="O25" s="11"/>
      <c r="P25" s="8"/>
      <c r="Q25" s="3"/>
      <c r="R25" s="7">
        <f t="shared" si="18"/>
        <v>0</v>
      </c>
      <c r="S25" s="3"/>
      <c r="T25" s="8">
        <v>0</v>
      </c>
      <c r="U25" s="3"/>
      <c r="V25" s="7">
        <f t="shared" si="19"/>
        <v>0</v>
      </c>
      <c r="W25" s="3"/>
      <c r="X25" s="8">
        <f t="shared" si="20"/>
        <v>0</v>
      </c>
      <c r="Y25" s="3"/>
      <c r="Z25" s="7">
        <f t="shared" si="21"/>
        <v>0</v>
      </c>
    </row>
    <row r="26" spans="1:26" s="24" customFormat="1" hidden="1" outlineLevel="2" x14ac:dyDescent="0.3">
      <c r="A26" s="29"/>
      <c r="B26" s="11" t="str">
        <f>CONCATENATE("          ", "6114", " - ", "STATE UNEMPLOYMENT INSURANCE")</f>
        <v xml:space="preserve">          6114 - STATE UNEMPLOYMENT INSURANCE</v>
      </c>
      <c r="C26" s="11"/>
      <c r="D26" s="8"/>
      <c r="E26" s="3"/>
      <c r="F26" s="7">
        <f t="shared" si="14"/>
        <v>0</v>
      </c>
      <c r="G26" s="3"/>
      <c r="H26" s="8">
        <v>21.3675</v>
      </c>
      <c r="I26" s="3"/>
      <c r="J26" s="7">
        <f t="shared" si="15"/>
        <v>9.0310650887573968E-3</v>
      </c>
      <c r="K26" s="3"/>
      <c r="L26" s="8">
        <f t="shared" si="16"/>
        <v>-21.3675</v>
      </c>
      <c r="M26" s="3"/>
      <c r="N26" s="7">
        <f t="shared" si="17"/>
        <v>-1</v>
      </c>
      <c r="O26" s="11"/>
      <c r="P26" s="8"/>
      <c r="Q26" s="3"/>
      <c r="R26" s="7">
        <f t="shared" si="18"/>
        <v>0</v>
      </c>
      <c r="S26" s="3"/>
      <c r="T26" s="8">
        <v>21.3675</v>
      </c>
      <c r="U26" s="3"/>
      <c r="V26" s="7">
        <f t="shared" si="19"/>
        <v>9.0310650887573968E-3</v>
      </c>
      <c r="W26" s="3"/>
      <c r="X26" s="8">
        <f t="shared" si="20"/>
        <v>-21.3675</v>
      </c>
      <c r="Y26" s="3"/>
      <c r="Z26" s="7">
        <f t="shared" si="21"/>
        <v>-1</v>
      </c>
    </row>
    <row r="27" spans="1:26" s="24" customFormat="1" hidden="1" outlineLevel="2" x14ac:dyDescent="0.3">
      <c r="A27" s="29"/>
      <c r="B27" s="11" t="str">
        <f>CONCATENATE("          ", "6115", " - ", "P.E.R.S.")</f>
        <v xml:space="preserve">          6115 - P.E.R.S.</v>
      </c>
      <c r="C27" s="11"/>
      <c r="D27" s="8"/>
      <c r="E27" s="3"/>
      <c r="F27" s="7">
        <f t="shared" si="14"/>
        <v>0</v>
      </c>
      <c r="G27" s="3"/>
      <c r="H27" s="8">
        <v>0</v>
      </c>
      <c r="I27" s="3"/>
      <c r="J27" s="7">
        <f t="shared" si="15"/>
        <v>0</v>
      </c>
      <c r="K27" s="3"/>
      <c r="L27" s="8">
        <f t="shared" si="16"/>
        <v>0</v>
      </c>
      <c r="M27" s="3"/>
      <c r="N27" s="7">
        <f t="shared" si="17"/>
        <v>0</v>
      </c>
      <c r="O27" s="11"/>
      <c r="P27" s="8"/>
      <c r="Q27" s="3"/>
      <c r="R27" s="7">
        <f t="shared" si="18"/>
        <v>0</v>
      </c>
      <c r="S27" s="3"/>
      <c r="T27" s="8">
        <v>0</v>
      </c>
      <c r="U27" s="3"/>
      <c r="V27" s="7">
        <f t="shared" si="19"/>
        <v>0</v>
      </c>
      <c r="W27" s="3"/>
      <c r="X27" s="8">
        <f t="shared" si="20"/>
        <v>0</v>
      </c>
      <c r="Y27" s="3"/>
      <c r="Z27" s="7">
        <f t="shared" si="21"/>
        <v>0</v>
      </c>
    </row>
    <row r="28" spans="1:26" s="24" customFormat="1" hidden="1" outlineLevel="2" x14ac:dyDescent="0.3">
      <c r="A28" s="29"/>
      <c r="B28" s="11" t="str">
        <f>CONCATENATE("          ", "6116", " - ", "EDUCATIONAL BENEFITS")</f>
        <v xml:space="preserve">          6116 - EDUCATIONAL BENEFITS</v>
      </c>
      <c r="C28" s="11"/>
      <c r="D28" s="8"/>
      <c r="E28" s="3"/>
      <c r="F28" s="7">
        <f t="shared" si="14"/>
        <v>0</v>
      </c>
      <c r="G28" s="3"/>
      <c r="H28" s="8">
        <v>0</v>
      </c>
      <c r="I28" s="3"/>
      <c r="J28" s="7">
        <f t="shared" si="15"/>
        <v>0</v>
      </c>
      <c r="K28" s="3"/>
      <c r="L28" s="8">
        <f t="shared" si="16"/>
        <v>0</v>
      </c>
      <c r="M28" s="3"/>
      <c r="N28" s="7">
        <f t="shared" si="17"/>
        <v>0</v>
      </c>
      <c r="O28" s="11"/>
      <c r="P28" s="8"/>
      <c r="Q28" s="3"/>
      <c r="R28" s="7">
        <f t="shared" si="18"/>
        <v>0</v>
      </c>
      <c r="S28" s="3"/>
      <c r="T28" s="8">
        <v>0</v>
      </c>
      <c r="U28" s="3"/>
      <c r="V28" s="7">
        <f t="shared" si="19"/>
        <v>0</v>
      </c>
      <c r="W28" s="3"/>
      <c r="X28" s="8">
        <f t="shared" si="20"/>
        <v>0</v>
      </c>
      <c r="Y28" s="3"/>
      <c r="Z28" s="7">
        <f t="shared" si="21"/>
        <v>0</v>
      </c>
    </row>
    <row r="29" spans="1:26" s="24" customFormat="1" hidden="1" outlineLevel="2" x14ac:dyDescent="0.3">
      <c r="A29" s="29"/>
      <c r="B29" s="11" t="str">
        <f>CONCATENATE("          ", "6118", " - ", "VACATION")</f>
        <v xml:space="preserve">          6118 - VACATION</v>
      </c>
      <c r="C29" s="11"/>
      <c r="D29" s="8"/>
      <c r="E29" s="3"/>
      <c r="F29" s="7">
        <f t="shared" si="14"/>
        <v>0</v>
      </c>
      <c r="G29" s="3"/>
      <c r="H29" s="8">
        <v>0</v>
      </c>
      <c r="I29" s="3"/>
      <c r="J29" s="7">
        <f t="shared" si="15"/>
        <v>0</v>
      </c>
      <c r="K29" s="3"/>
      <c r="L29" s="8">
        <f t="shared" si="16"/>
        <v>0</v>
      </c>
      <c r="M29" s="3"/>
      <c r="N29" s="7">
        <f t="shared" si="17"/>
        <v>0</v>
      </c>
      <c r="O29" s="11"/>
      <c r="P29" s="8"/>
      <c r="Q29" s="3"/>
      <c r="R29" s="7">
        <f t="shared" si="18"/>
        <v>0</v>
      </c>
      <c r="S29" s="3"/>
      <c r="T29" s="8">
        <v>0</v>
      </c>
      <c r="U29" s="3"/>
      <c r="V29" s="7">
        <f t="shared" si="19"/>
        <v>0</v>
      </c>
      <c r="W29" s="3"/>
      <c r="X29" s="8">
        <f t="shared" si="20"/>
        <v>0</v>
      </c>
      <c r="Y29" s="3"/>
      <c r="Z29" s="7">
        <f t="shared" si="21"/>
        <v>0</v>
      </c>
    </row>
    <row r="30" spans="1:26" s="24" customFormat="1" hidden="1" outlineLevel="2" x14ac:dyDescent="0.3">
      <c r="A30" s="29"/>
      <c r="B30" s="11" t="str">
        <f>CONCATENATE("          ", "6119", " - ", "SICK LEAVE")</f>
        <v xml:space="preserve">          6119 - SICK LEAVE</v>
      </c>
      <c r="C30" s="11"/>
      <c r="D30" s="8"/>
      <c r="E30" s="3"/>
      <c r="F30" s="7">
        <f t="shared" si="14"/>
        <v>0</v>
      </c>
      <c r="G30" s="3"/>
      <c r="H30" s="8">
        <v>353.25</v>
      </c>
      <c r="I30" s="3"/>
      <c r="J30" s="7">
        <f t="shared" si="15"/>
        <v>0.14930262045646661</v>
      </c>
      <c r="K30" s="3"/>
      <c r="L30" s="8">
        <f t="shared" si="16"/>
        <v>-353.25</v>
      </c>
      <c r="M30" s="3"/>
      <c r="N30" s="7">
        <f t="shared" si="17"/>
        <v>-1</v>
      </c>
      <c r="O30" s="11"/>
      <c r="P30" s="8"/>
      <c r="Q30" s="3"/>
      <c r="R30" s="7">
        <f t="shared" si="18"/>
        <v>0</v>
      </c>
      <c r="S30" s="3"/>
      <c r="T30" s="8">
        <v>353.25</v>
      </c>
      <c r="U30" s="3"/>
      <c r="V30" s="7">
        <f t="shared" si="19"/>
        <v>0.14930262045646661</v>
      </c>
      <c r="W30" s="3"/>
      <c r="X30" s="8">
        <f t="shared" si="20"/>
        <v>-353.25</v>
      </c>
      <c r="Y30" s="3"/>
      <c r="Z30" s="7">
        <f t="shared" si="21"/>
        <v>-1</v>
      </c>
    </row>
    <row r="31" spans="1:26" s="27" customFormat="1" outlineLevel="1" collapsed="1" x14ac:dyDescent="0.3">
      <c r="A31" s="28"/>
      <c r="B31" s="14" t="str">
        <f>CONCATENATE("     ","*Payroll                                          ")</f>
        <v xml:space="preserve">     *Payroll                                          </v>
      </c>
      <c r="C31" s="14"/>
      <c r="D31" s="1">
        <f>SUM(OSRRefD22_1x_0)</f>
        <v>0</v>
      </c>
      <c r="E31" s="1"/>
      <c r="F31" s="5">
        <f t="shared" ref="F31:F41" si="22">IF(D$12=0,0,D31/D$12)</f>
        <v>0</v>
      </c>
      <c r="G31" s="1"/>
      <c r="H31" s="1">
        <f>SUM(OSRRefH22_1x_0)</f>
        <v>10055</v>
      </c>
      <c r="I31" s="1"/>
      <c r="J31" s="5">
        <f t="shared" ref="J31:J41" si="23">IF(H$12=0,0,H31/H$12)</f>
        <v>4.2497886728655958</v>
      </c>
      <c r="K31" s="1"/>
      <c r="L31" s="1">
        <f t="shared" ref="L31:L41" si="24">+D31-H31</f>
        <v>-10055</v>
      </c>
      <c r="M31" s="1"/>
      <c r="N31" s="5">
        <f t="shared" ref="N31:N41" si="25">IF(H31=0,0,L31/H31)</f>
        <v>-1</v>
      </c>
      <c r="O31" s="14"/>
      <c r="P31" s="1">
        <f>SUM(OSRRefP22_1x_0)</f>
        <v>0</v>
      </c>
      <c r="Q31" s="1"/>
      <c r="R31" s="5">
        <f t="shared" ref="R31:R41" si="26">IF(P$12=0,0,P31/P$12)</f>
        <v>0</v>
      </c>
      <c r="S31" s="1"/>
      <c r="T31" s="1">
        <f>SUM(OSRRefT22_1x_0)</f>
        <v>10055</v>
      </c>
      <c r="U31" s="1"/>
      <c r="V31" s="5">
        <f t="shared" ref="V31:V41" si="27">IF(T$12=0,0,T31/T$12)</f>
        <v>4.2497886728655958</v>
      </c>
      <c r="W31" s="1"/>
      <c r="X31" s="1">
        <f t="shared" ref="X31:X41" si="28">+P31-T31</f>
        <v>-10055</v>
      </c>
      <c r="Y31" s="1"/>
      <c r="Z31" s="5">
        <f t="shared" ref="Z31:Z41" si="29">IF(T31=0,0,X31/T31)</f>
        <v>-1</v>
      </c>
    </row>
    <row r="32" spans="1:26" s="24" customFormat="1" hidden="1" outlineLevel="2" x14ac:dyDescent="0.3">
      <c r="A32" s="29"/>
      <c r="B32" s="11" t="str">
        <f>CONCATENATE("          ", "6001", " - ", "ADMINISTRATIVE SALARIES")</f>
        <v xml:space="preserve">          6001 - ADMINISTRATIVE SALARIES</v>
      </c>
      <c r="C32" s="11"/>
      <c r="D32" s="8"/>
      <c r="E32" s="3"/>
      <c r="F32" s="7">
        <f t="shared" si="22"/>
        <v>0</v>
      </c>
      <c r="G32" s="3"/>
      <c r="H32" s="8">
        <v>0</v>
      </c>
      <c r="I32" s="3"/>
      <c r="J32" s="7">
        <f t="shared" si="23"/>
        <v>0</v>
      </c>
      <c r="K32" s="3"/>
      <c r="L32" s="8">
        <f t="shared" si="24"/>
        <v>0</v>
      </c>
      <c r="M32" s="3"/>
      <c r="N32" s="7">
        <f t="shared" si="25"/>
        <v>0</v>
      </c>
      <c r="O32" s="11"/>
      <c r="P32" s="8"/>
      <c r="Q32" s="3"/>
      <c r="R32" s="7">
        <f t="shared" si="26"/>
        <v>0</v>
      </c>
      <c r="S32" s="3"/>
      <c r="T32" s="8">
        <v>0</v>
      </c>
      <c r="U32" s="3"/>
      <c r="V32" s="7">
        <f t="shared" si="27"/>
        <v>0</v>
      </c>
      <c r="W32" s="3"/>
      <c r="X32" s="8">
        <f t="shared" si="28"/>
        <v>0</v>
      </c>
      <c r="Y32" s="3"/>
      <c r="Z32" s="7">
        <f t="shared" si="29"/>
        <v>0</v>
      </c>
    </row>
    <row r="33" spans="1:26" s="24" customFormat="1" hidden="1" outlineLevel="2" x14ac:dyDescent="0.3">
      <c r="A33" s="29"/>
      <c r="B33" s="11" t="str">
        <f>CONCATENATE("          ", "6002", " - ", "STAFF SALARIES")</f>
        <v xml:space="preserve">          6002 - STAFF SALARIES</v>
      </c>
      <c r="C33" s="11"/>
      <c r="D33" s="8"/>
      <c r="E33" s="3"/>
      <c r="F33" s="7">
        <f t="shared" si="22"/>
        <v>0</v>
      </c>
      <c r="G33" s="3"/>
      <c r="H33" s="8">
        <v>0</v>
      </c>
      <c r="I33" s="3"/>
      <c r="J33" s="7">
        <f t="shared" si="23"/>
        <v>0</v>
      </c>
      <c r="K33" s="3"/>
      <c r="L33" s="8">
        <f t="shared" si="24"/>
        <v>0</v>
      </c>
      <c r="M33" s="3"/>
      <c r="N33" s="7">
        <f t="shared" si="25"/>
        <v>0</v>
      </c>
      <c r="O33" s="11"/>
      <c r="P33" s="8"/>
      <c r="Q33" s="3"/>
      <c r="R33" s="7">
        <f t="shared" si="26"/>
        <v>0</v>
      </c>
      <c r="S33" s="3"/>
      <c r="T33" s="8">
        <v>0</v>
      </c>
      <c r="U33" s="3"/>
      <c r="V33" s="7">
        <f t="shared" si="27"/>
        <v>0</v>
      </c>
      <c r="W33" s="3"/>
      <c r="X33" s="8">
        <f t="shared" si="28"/>
        <v>0</v>
      </c>
      <c r="Y33" s="3"/>
      <c r="Z33" s="7">
        <f t="shared" si="29"/>
        <v>0</v>
      </c>
    </row>
    <row r="34" spans="1:26" s="24" customFormat="1" hidden="1" outlineLevel="2" x14ac:dyDescent="0.3">
      <c r="A34" s="29"/>
      <c r="B34" s="11" t="str">
        <f>CONCATENATE("          ", "6003", " - ", "STAFF HOURLY-9 MONTH")</f>
        <v xml:space="preserve">          6003 - STAFF HOURLY-9 MONTH</v>
      </c>
      <c r="C34" s="11"/>
      <c r="D34" s="8"/>
      <c r="E34" s="3"/>
      <c r="F34" s="7">
        <f t="shared" si="22"/>
        <v>0</v>
      </c>
      <c r="G34" s="3"/>
      <c r="H34" s="8">
        <v>0</v>
      </c>
      <c r="I34" s="3"/>
      <c r="J34" s="7">
        <f t="shared" si="23"/>
        <v>0</v>
      </c>
      <c r="K34" s="3"/>
      <c r="L34" s="8">
        <f t="shared" si="24"/>
        <v>0</v>
      </c>
      <c r="M34" s="3"/>
      <c r="N34" s="7">
        <f t="shared" si="25"/>
        <v>0</v>
      </c>
      <c r="O34" s="11"/>
      <c r="P34" s="8"/>
      <c r="Q34" s="3"/>
      <c r="R34" s="7">
        <f t="shared" si="26"/>
        <v>0</v>
      </c>
      <c r="S34" s="3"/>
      <c r="T34" s="8">
        <v>0</v>
      </c>
      <c r="U34" s="3"/>
      <c r="V34" s="7">
        <f t="shared" si="27"/>
        <v>0</v>
      </c>
      <c r="W34" s="3"/>
      <c r="X34" s="8">
        <f t="shared" si="28"/>
        <v>0</v>
      </c>
      <c r="Y34" s="3"/>
      <c r="Z34" s="7">
        <f t="shared" si="29"/>
        <v>0</v>
      </c>
    </row>
    <row r="35" spans="1:26" s="24" customFormat="1" hidden="1" outlineLevel="2" x14ac:dyDescent="0.3">
      <c r="A35" s="29"/>
      <c r="B35" s="11" t="str">
        <f>CONCATENATE("          ", "6004", " - ", "STAFF HOURLY")</f>
        <v xml:space="preserve">          6004 - STAFF HOURLY</v>
      </c>
      <c r="C35" s="11"/>
      <c r="D35" s="8"/>
      <c r="E35" s="3"/>
      <c r="F35" s="7">
        <f t="shared" si="22"/>
        <v>0</v>
      </c>
      <c r="G35" s="3"/>
      <c r="H35" s="8">
        <v>2280</v>
      </c>
      <c r="I35" s="3"/>
      <c r="J35" s="7">
        <f t="shared" si="23"/>
        <v>0.96365173288250217</v>
      </c>
      <c r="K35" s="3"/>
      <c r="L35" s="8">
        <f t="shared" si="24"/>
        <v>-2280</v>
      </c>
      <c r="M35" s="3"/>
      <c r="N35" s="7">
        <f t="shared" si="25"/>
        <v>-1</v>
      </c>
      <c r="O35" s="11"/>
      <c r="P35" s="8"/>
      <c r="Q35" s="3"/>
      <c r="R35" s="7">
        <f t="shared" si="26"/>
        <v>0</v>
      </c>
      <c r="S35" s="3"/>
      <c r="T35" s="8">
        <v>2280</v>
      </c>
      <c r="U35" s="3"/>
      <c r="V35" s="7">
        <f t="shared" si="27"/>
        <v>0.96365173288250217</v>
      </c>
      <c r="W35" s="3"/>
      <c r="X35" s="8">
        <f t="shared" si="28"/>
        <v>-2280</v>
      </c>
      <c r="Y35" s="3"/>
      <c r="Z35" s="7">
        <f t="shared" si="29"/>
        <v>-1</v>
      </c>
    </row>
    <row r="36" spans="1:26" s="24" customFormat="1" hidden="1" outlineLevel="2" x14ac:dyDescent="0.3">
      <c r="A36" s="29"/>
      <c r="B36" s="11" t="str">
        <f>CONCATENATE("          ", "6005", " - ", "TEMPORARY WAGES-HOURLY")</f>
        <v xml:space="preserve">          6005 - TEMPORARY WAGES-HOURLY</v>
      </c>
      <c r="C36" s="11"/>
      <c r="D36" s="8"/>
      <c r="E36" s="3"/>
      <c r="F36" s="7">
        <f t="shared" si="22"/>
        <v>0</v>
      </c>
      <c r="G36" s="3"/>
      <c r="H36" s="8">
        <v>0</v>
      </c>
      <c r="I36" s="3"/>
      <c r="J36" s="7">
        <f t="shared" si="23"/>
        <v>0</v>
      </c>
      <c r="K36" s="3"/>
      <c r="L36" s="8">
        <f t="shared" si="24"/>
        <v>0</v>
      </c>
      <c r="M36" s="3"/>
      <c r="N36" s="7">
        <f t="shared" si="25"/>
        <v>0</v>
      </c>
      <c r="O36" s="11"/>
      <c r="P36" s="8"/>
      <c r="Q36" s="3"/>
      <c r="R36" s="7">
        <f t="shared" si="26"/>
        <v>0</v>
      </c>
      <c r="S36" s="3"/>
      <c r="T36" s="8">
        <v>0</v>
      </c>
      <c r="U36" s="3"/>
      <c r="V36" s="7">
        <f t="shared" si="27"/>
        <v>0</v>
      </c>
      <c r="W36" s="3"/>
      <c r="X36" s="8">
        <f t="shared" si="28"/>
        <v>0</v>
      </c>
      <c r="Y36" s="3"/>
      <c r="Z36" s="7">
        <f t="shared" si="29"/>
        <v>0</v>
      </c>
    </row>
    <row r="37" spans="1:26" s="24" customFormat="1" hidden="1" outlineLevel="2" x14ac:dyDescent="0.3">
      <c r="A37" s="29"/>
      <c r="B37" s="11" t="str">
        <f>CONCATENATE("          ", "6006", " - ", "TEMPORARY PART TIME")</f>
        <v xml:space="preserve">          6006 - TEMPORARY PART TIME</v>
      </c>
      <c r="C37" s="11"/>
      <c r="D37" s="8"/>
      <c r="E37" s="3"/>
      <c r="F37" s="7">
        <f t="shared" si="22"/>
        <v>0</v>
      </c>
      <c r="G37" s="3"/>
      <c r="H37" s="8">
        <v>0</v>
      </c>
      <c r="I37" s="3"/>
      <c r="J37" s="7">
        <f t="shared" si="23"/>
        <v>0</v>
      </c>
      <c r="K37" s="3"/>
      <c r="L37" s="8">
        <f t="shared" si="24"/>
        <v>0</v>
      </c>
      <c r="M37" s="3"/>
      <c r="N37" s="7">
        <f t="shared" si="25"/>
        <v>0</v>
      </c>
      <c r="O37" s="11"/>
      <c r="P37" s="8"/>
      <c r="Q37" s="3"/>
      <c r="R37" s="7">
        <f t="shared" si="26"/>
        <v>0</v>
      </c>
      <c r="S37" s="3"/>
      <c r="T37" s="8">
        <v>0</v>
      </c>
      <c r="U37" s="3"/>
      <c r="V37" s="7">
        <f t="shared" si="27"/>
        <v>0</v>
      </c>
      <c r="W37" s="3"/>
      <c r="X37" s="8">
        <f t="shared" si="28"/>
        <v>0</v>
      </c>
      <c r="Y37" s="3"/>
      <c r="Z37" s="7">
        <f t="shared" si="29"/>
        <v>0</v>
      </c>
    </row>
    <row r="38" spans="1:26" s="24" customFormat="1" hidden="1" outlineLevel="2" x14ac:dyDescent="0.3">
      <c r="A38" s="29"/>
      <c r="B38" s="11" t="str">
        <f>CONCATENATE("          ", "6007", " - ", "STUDENT HOURLY")</f>
        <v xml:space="preserve">          6007 - STUDENT HOURLY</v>
      </c>
      <c r="C38" s="11"/>
      <c r="D38" s="8"/>
      <c r="E38" s="3"/>
      <c r="F38" s="7">
        <f t="shared" si="22"/>
        <v>0</v>
      </c>
      <c r="G38" s="3"/>
      <c r="H38" s="8">
        <v>7775</v>
      </c>
      <c r="I38" s="3"/>
      <c r="J38" s="7">
        <f t="shared" si="23"/>
        <v>3.286136939983094</v>
      </c>
      <c r="K38" s="3"/>
      <c r="L38" s="8">
        <f t="shared" si="24"/>
        <v>-7775</v>
      </c>
      <c r="M38" s="3"/>
      <c r="N38" s="7">
        <f t="shared" si="25"/>
        <v>-1</v>
      </c>
      <c r="O38" s="11"/>
      <c r="P38" s="8"/>
      <c r="Q38" s="3"/>
      <c r="R38" s="7">
        <f t="shared" si="26"/>
        <v>0</v>
      </c>
      <c r="S38" s="3"/>
      <c r="T38" s="8">
        <v>7775</v>
      </c>
      <c r="U38" s="3"/>
      <c r="V38" s="7">
        <f t="shared" si="27"/>
        <v>3.286136939983094</v>
      </c>
      <c r="W38" s="3"/>
      <c r="X38" s="8">
        <f t="shared" si="28"/>
        <v>-7775</v>
      </c>
      <c r="Y38" s="3"/>
      <c r="Z38" s="7">
        <f t="shared" si="29"/>
        <v>-1</v>
      </c>
    </row>
    <row r="39" spans="1:26" s="24" customFormat="1" hidden="1" outlineLevel="2" x14ac:dyDescent="0.3">
      <c r="A39" s="29"/>
      <c r="B39" s="11" t="str">
        <f>CONCATENATE("          ", "6008", " - ", "STUDENT HOURLY-FICA EXEMPT")</f>
        <v xml:space="preserve">          6008 - STUDENT HOURLY-FICA EXEMPT</v>
      </c>
      <c r="C39" s="11"/>
      <c r="D39" s="8"/>
      <c r="E39" s="3"/>
      <c r="F39" s="7">
        <f t="shared" si="22"/>
        <v>0</v>
      </c>
      <c r="G39" s="3"/>
      <c r="H39" s="8">
        <v>0</v>
      </c>
      <c r="I39" s="3"/>
      <c r="J39" s="7">
        <f t="shared" si="23"/>
        <v>0</v>
      </c>
      <c r="K39" s="3"/>
      <c r="L39" s="8">
        <f t="shared" si="24"/>
        <v>0</v>
      </c>
      <c r="M39" s="3"/>
      <c r="N39" s="7">
        <f t="shared" si="25"/>
        <v>0</v>
      </c>
      <c r="O39" s="11"/>
      <c r="P39" s="8"/>
      <c r="Q39" s="3"/>
      <c r="R39" s="7">
        <f t="shared" si="26"/>
        <v>0</v>
      </c>
      <c r="S39" s="3"/>
      <c r="T39" s="8">
        <v>0</v>
      </c>
      <c r="U39" s="3"/>
      <c r="V39" s="7">
        <f t="shared" si="27"/>
        <v>0</v>
      </c>
      <c r="W39" s="3"/>
      <c r="X39" s="8">
        <f t="shared" si="28"/>
        <v>0</v>
      </c>
      <c r="Y39" s="3"/>
      <c r="Z39" s="7">
        <f t="shared" si="29"/>
        <v>0</v>
      </c>
    </row>
    <row r="40" spans="1:26" s="24" customFormat="1" hidden="1" outlineLevel="2" x14ac:dyDescent="0.3">
      <c r="A40" s="29"/>
      <c r="B40" s="11" t="str">
        <f>CONCATENATE("          ", "6009", " - ", "TEMPORARY-SEASONAL")</f>
        <v xml:space="preserve">          6009 - TEMPORARY-SEASONAL</v>
      </c>
      <c r="C40" s="11"/>
      <c r="D40" s="8"/>
      <c r="E40" s="3"/>
      <c r="F40" s="7">
        <f t="shared" si="22"/>
        <v>0</v>
      </c>
      <c r="G40" s="3"/>
      <c r="H40" s="8">
        <v>0</v>
      </c>
      <c r="I40" s="3"/>
      <c r="J40" s="7">
        <f t="shared" si="23"/>
        <v>0</v>
      </c>
      <c r="K40" s="3"/>
      <c r="L40" s="8">
        <f t="shared" si="24"/>
        <v>0</v>
      </c>
      <c r="M40" s="3"/>
      <c r="N40" s="7">
        <f t="shared" si="25"/>
        <v>0</v>
      </c>
      <c r="O40" s="11"/>
      <c r="P40" s="8"/>
      <c r="Q40" s="3"/>
      <c r="R40" s="7">
        <f t="shared" si="26"/>
        <v>0</v>
      </c>
      <c r="S40" s="3"/>
      <c r="T40" s="8">
        <v>0</v>
      </c>
      <c r="U40" s="3"/>
      <c r="V40" s="7">
        <f t="shared" si="27"/>
        <v>0</v>
      </c>
      <c r="W40" s="3"/>
      <c r="X40" s="8">
        <f t="shared" si="28"/>
        <v>0</v>
      </c>
      <c r="Y40" s="3"/>
      <c r="Z40" s="7">
        <f t="shared" si="29"/>
        <v>0</v>
      </c>
    </row>
    <row r="41" spans="1:26" s="24" customFormat="1" hidden="1" outlineLevel="2" x14ac:dyDescent="0.3">
      <c r="A41" s="29"/>
      <c r="B41" s="11" t="str">
        <f>CONCATENATE("          ", "6010", " - ", "GRATUITY")</f>
        <v xml:space="preserve">          6010 - GRATUITY</v>
      </c>
      <c r="C41" s="11"/>
      <c r="D41" s="8"/>
      <c r="E41" s="3"/>
      <c r="F41" s="7">
        <f t="shared" si="22"/>
        <v>0</v>
      </c>
      <c r="G41" s="3"/>
      <c r="H41" s="8">
        <v>0</v>
      </c>
      <c r="I41" s="3"/>
      <c r="J41" s="7">
        <f t="shared" si="23"/>
        <v>0</v>
      </c>
      <c r="K41" s="3"/>
      <c r="L41" s="8">
        <f t="shared" si="24"/>
        <v>0</v>
      </c>
      <c r="M41" s="3"/>
      <c r="N41" s="7">
        <f t="shared" si="25"/>
        <v>0</v>
      </c>
      <c r="O41" s="11"/>
      <c r="P41" s="8"/>
      <c r="Q41" s="3"/>
      <c r="R41" s="7">
        <f t="shared" si="26"/>
        <v>0</v>
      </c>
      <c r="S41" s="3"/>
      <c r="T41" s="8">
        <v>0</v>
      </c>
      <c r="U41" s="3"/>
      <c r="V41" s="7">
        <f t="shared" si="27"/>
        <v>0</v>
      </c>
      <c r="W41" s="3"/>
      <c r="X41" s="8">
        <f t="shared" si="28"/>
        <v>0</v>
      </c>
      <c r="Y41" s="3"/>
      <c r="Z41" s="7">
        <f t="shared" si="29"/>
        <v>0</v>
      </c>
    </row>
    <row r="42" spans="1:26" s="27" customFormat="1" outlineLevel="1" collapsed="1" x14ac:dyDescent="0.3">
      <c r="A42" s="28"/>
      <c r="B42" s="14" t="str">
        <f>CONCATENATE("     ","Advertising/Promo                                 ")</f>
        <v xml:space="preserve">     Advertising/Promo                                 </v>
      </c>
      <c r="C42" s="14"/>
      <c r="D42" s="1">
        <f>SUM(OSRRefD22_2x_0)</f>
        <v>100</v>
      </c>
      <c r="E42" s="1"/>
      <c r="F42" s="5">
        <f t="shared" ref="F42:F57" si="30">IF(D$12=0,0,D42/D$12)</f>
        <v>0</v>
      </c>
      <c r="G42" s="1"/>
      <c r="H42" s="1">
        <f>SUM(OSRRefH22_2x_0)</f>
        <v>50</v>
      </c>
      <c r="I42" s="1"/>
      <c r="J42" s="5">
        <f t="shared" ref="J42:J57" si="31">IF(H$12=0,0,H42/H$12)</f>
        <v>2.1132713440405747E-2</v>
      </c>
      <c r="K42" s="1"/>
      <c r="L42" s="1">
        <f t="shared" ref="L42:L57" si="32">+D42-H42</f>
        <v>50</v>
      </c>
      <c r="M42" s="1"/>
      <c r="N42" s="5">
        <f t="shared" ref="N42:N57" si="33">IF(H42=0,0,L42/H42)</f>
        <v>1</v>
      </c>
      <c r="O42" s="14"/>
      <c r="P42" s="1">
        <f>SUM(OSRRefP22_2x_0)</f>
        <v>100</v>
      </c>
      <c r="Q42" s="1"/>
      <c r="R42" s="5">
        <f t="shared" ref="R42:R57" si="34">IF(P$12=0,0,P42/P$12)</f>
        <v>0</v>
      </c>
      <c r="S42" s="1"/>
      <c r="T42" s="1">
        <f>SUM(OSRRefT22_2x_0)</f>
        <v>50</v>
      </c>
      <c r="U42" s="1"/>
      <c r="V42" s="5">
        <f t="shared" ref="V42:V57" si="35">IF(T$12=0,0,T42/T$12)</f>
        <v>2.1132713440405747E-2</v>
      </c>
      <c r="W42" s="1"/>
      <c r="X42" s="1">
        <f t="shared" ref="X42:X57" si="36">+P42-T42</f>
        <v>50</v>
      </c>
      <c r="Y42" s="1"/>
      <c r="Z42" s="5">
        <f t="shared" ref="Z42:Z57" si="37">IF(T42=0,0,X42/T42)</f>
        <v>1</v>
      </c>
    </row>
    <row r="43" spans="1:26" s="24" customFormat="1" hidden="1" outlineLevel="2" x14ac:dyDescent="0.3">
      <c r="A43" s="29"/>
      <c r="B43" s="11" t="str">
        <f>CONCATENATE("          ", "6362", " - ", "ADVERTISING EXPENSE")</f>
        <v xml:space="preserve">          6362 - ADVERTISING EXPENSE</v>
      </c>
      <c r="C43" s="11"/>
      <c r="D43" s="8">
        <v>100</v>
      </c>
      <c r="E43" s="3"/>
      <c r="F43" s="7">
        <f t="shared" si="30"/>
        <v>0</v>
      </c>
      <c r="G43" s="3"/>
      <c r="H43" s="8">
        <v>50</v>
      </c>
      <c r="I43" s="3"/>
      <c r="J43" s="7">
        <f t="shared" si="31"/>
        <v>2.1132713440405747E-2</v>
      </c>
      <c r="K43" s="3"/>
      <c r="L43" s="8">
        <f t="shared" si="32"/>
        <v>50</v>
      </c>
      <c r="M43" s="3"/>
      <c r="N43" s="7">
        <f t="shared" si="33"/>
        <v>1</v>
      </c>
      <c r="O43" s="11"/>
      <c r="P43" s="8">
        <v>100</v>
      </c>
      <c r="Q43" s="3"/>
      <c r="R43" s="7">
        <f t="shared" si="34"/>
        <v>0</v>
      </c>
      <c r="S43" s="3"/>
      <c r="T43" s="8">
        <v>50</v>
      </c>
      <c r="U43" s="3"/>
      <c r="V43" s="7">
        <f t="shared" si="35"/>
        <v>2.1132713440405747E-2</v>
      </c>
      <c r="W43" s="3"/>
      <c r="X43" s="8">
        <f t="shared" si="36"/>
        <v>50</v>
      </c>
      <c r="Y43" s="3"/>
      <c r="Z43" s="7">
        <f t="shared" si="37"/>
        <v>1</v>
      </c>
    </row>
    <row r="44" spans="1:26" s="27" customFormat="1" outlineLevel="1" collapsed="1" x14ac:dyDescent="0.3">
      <c r="A44" s="28"/>
      <c r="B44" s="14" t="str">
        <f>CONCATENATE("     ","Bad Debts/Over/Short                              ")</f>
        <v xml:space="preserve">     Bad Debts/Over/Short                              </v>
      </c>
      <c r="C44" s="14"/>
      <c r="D44" s="1">
        <f>SUM(OSRRefD22_3x_0)</f>
        <v>0</v>
      </c>
      <c r="E44" s="1"/>
      <c r="F44" s="5">
        <f t="shared" si="30"/>
        <v>0</v>
      </c>
      <c r="G44" s="1"/>
      <c r="H44" s="1">
        <f>SUM(OSRRefH22_3x_0)</f>
        <v>25</v>
      </c>
      <c r="I44" s="1"/>
      <c r="J44" s="5">
        <f t="shared" si="31"/>
        <v>1.0566356720202874E-2</v>
      </c>
      <c r="K44" s="1"/>
      <c r="L44" s="1">
        <f t="shared" si="32"/>
        <v>-25</v>
      </c>
      <c r="M44" s="1"/>
      <c r="N44" s="5">
        <f t="shared" si="33"/>
        <v>-1</v>
      </c>
      <c r="O44" s="14"/>
      <c r="P44" s="1">
        <f>SUM(OSRRefP22_3x_0)</f>
        <v>0</v>
      </c>
      <c r="Q44" s="1"/>
      <c r="R44" s="5">
        <f t="shared" si="34"/>
        <v>0</v>
      </c>
      <c r="S44" s="1"/>
      <c r="T44" s="1">
        <f>SUM(OSRRefT22_3x_0)</f>
        <v>25</v>
      </c>
      <c r="U44" s="1"/>
      <c r="V44" s="5">
        <f t="shared" si="35"/>
        <v>1.0566356720202874E-2</v>
      </c>
      <c r="W44" s="1"/>
      <c r="X44" s="1">
        <f t="shared" si="36"/>
        <v>-25</v>
      </c>
      <c r="Y44" s="1"/>
      <c r="Z44" s="5">
        <f t="shared" si="37"/>
        <v>-1</v>
      </c>
    </row>
    <row r="45" spans="1:26" s="24" customFormat="1" hidden="1" outlineLevel="2" x14ac:dyDescent="0.3">
      <c r="A45" s="29"/>
      <c r="B45" s="11" t="str">
        <f>CONCATENATE("          ", "6272", " - ", "CASH (OVER/SHORT)")</f>
        <v xml:space="preserve">          6272 - CASH (OVER/SHORT)</v>
      </c>
      <c r="C45" s="11"/>
      <c r="D45" s="8"/>
      <c r="E45" s="3"/>
      <c r="F45" s="7">
        <f t="shared" si="30"/>
        <v>0</v>
      </c>
      <c r="G45" s="3"/>
      <c r="H45" s="8">
        <v>25</v>
      </c>
      <c r="I45" s="3"/>
      <c r="J45" s="7">
        <f t="shared" si="31"/>
        <v>1.0566356720202874E-2</v>
      </c>
      <c r="K45" s="3"/>
      <c r="L45" s="8">
        <f t="shared" si="32"/>
        <v>-25</v>
      </c>
      <c r="M45" s="3"/>
      <c r="N45" s="7">
        <f t="shared" si="33"/>
        <v>-1</v>
      </c>
      <c r="O45" s="11"/>
      <c r="P45" s="8"/>
      <c r="Q45" s="3"/>
      <c r="R45" s="7">
        <f t="shared" si="34"/>
        <v>0</v>
      </c>
      <c r="S45" s="3"/>
      <c r="T45" s="8">
        <v>25</v>
      </c>
      <c r="U45" s="3"/>
      <c r="V45" s="7">
        <f t="shared" si="35"/>
        <v>1.0566356720202874E-2</v>
      </c>
      <c r="W45" s="3"/>
      <c r="X45" s="8">
        <f t="shared" si="36"/>
        <v>-25</v>
      </c>
      <c r="Y45" s="3"/>
      <c r="Z45" s="7">
        <f t="shared" si="37"/>
        <v>-1</v>
      </c>
    </row>
    <row r="46" spans="1:26" s="27" customFormat="1" outlineLevel="1" collapsed="1" x14ac:dyDescent="0.3">
      <c r="A46" s="28"/>
      <c r="B46" s="14" t="str">
        <f>CONCATENATE("     ","Bank/card Fees                                    ")</f>
        <v xml:space="preserve">     Bank/card Fees                                    </v>
      </c>
      <c r="C46" s="14"/>
      <c r="D46" s="1">
        <f>SUM(OSRRefD22_4x_0)</f>
        <v>0</v>
      </c>
      <c r="E46" s="1"/>
      <c r="F46" s="5">
        <f t="shared" si="30"/>
        <v>0</v>
      </c>
      <c r="G46" s="1"/>
      <c r="H46" s="1">
        <f>SUM(OSRRefH22_4x_0)</f>
        <v>45</v>
      </c>
      <c r="I46" s="1"/>
      <c r="J46" s="5">
        <f t="shared" si="31"/>
        <v>1.9019442096365174E-2</v>
      </c>
      <c r="K46" s="1"/>
      <c r="L46" s="1">
        <f t="shared" si="32"/>
        <v>-45</v>
      </c>
      <c r="M46" s="1"/>
      <c r="N46" s="5">
        <f t="shared" si="33"/>
        <v>-1</v>
      </c>
      <c r="O46" s="14"/>
      <c r="P46" s="1">
        <f>SUM(OSRRefP22_4x_0)</f>
        <v>0</v>
      </c>
      <c r="Q46" s="1"/>
      <c r="R46" s="5">
        <f t="shared" si="34"/>
        <v>0</v>
      </c>
      <c r="S46" s="1"/>
      <c r="T46" s="1">
        <f>SUM(OSRRefT22_4x_0)</f>
        <v>45</v>
      </c>
      <c r="U46" s="1"/>
      <c r="V46" s="5">
        <f t="shared" si="35"/>
        <v>1.9019442096365174E-2</v>
      </c>
      <c r="W46" s="1"/>
      <c r="X46" s="1">
        <f t="shared" si="36"/>
        <v>-45</v>
      </c>
      <c r="Y46" s="1"/>
      <c r="Z46" s="5">
        <f t="shared" si="37"/>
        <v>-1</v>
      </c>
    </row>
    <row r="47" spans="1:26" s="24" customFormat="1" hidden="1" outlineLevel="2" x14ac:dyDescent="0.3">
      <c r="A47" s="29"/>
      <c r="B47" s="11" t="str">
        <f>CONCATENATE("          ", "6381", " - ", "BANK/CREDIT CARD FEES")</f>
        <v xml:space="preserve">          6381 - BANK/CREDIT CARD FEES</v>
      </c>
      <c r="C47" s="11"/>
      <c r="D47" s="8"/>
      <c r="E47" s="3"/>
      <c r="F47" s="7">
        <f t="shared" si="30"/>
        <v>0</v>
      </c>
      <c r="G47" s="3"/>
      <c r="H47" s="8">
        <v>45</v>
      </c>
      <c r="I47" s="3"/>
      <c r="J47" s="7">
        <f t="shared" si="31"/>
        <v>1.9019442096365174E-2</v>
      </c>
      <c r="K47" s="3"/>
      <c r="L47" s="8">
        <f t="shared" si="32"/>
        <v>-45</v>
      </c>
      <c r="M47" s="3"/>
      <c r="N47" s="7">
        <f t="shared" si="33"/>
        <v>-1</v>
      </c>
      <c r="O47" s="11"/>
      <c r="P47" s="8"/>
      <c r="Q47" s="3"/>
      <c r="R47" s="7">
        <f t="shared" si="34"/>
        <v>0</v>
      </c>
      <c r="S47" s="3"/>
      <c r="T47" s="8">
        <v>45</v>
      </c>
      <c r="U47" s="3"/>
      <c r="V47" s="7">
        <f t="shared" si="35"/>
        <v>1.9019442096365174E-2</v>
      </c>
      <c r="W47" s="3"/>
      <c r="X47" s="8">
        <f t="shared" si="36"/>
        <v>-45</v>
      </c>
      <c r="Y47" s="3"/>
      <c r="Z47" s="7">
        <f t="shared" si="37"/>
        <v>-1</v>
      </c>
    </row>
    <row r="48" spans="1:26" s="27" customFormat="1" outlineLevel="1" collapsed="1" x14ac:dyDescent="0.3">
      <c r="A48" s="28"/>
      <c r="B48" s="14" t="str">
        <f>CONCATENATE("     ","Discounts and Markdowns                           ")</f>
        <v xml:space="preserve">     Discounts and Markdowns                           </v>
      </c>
      <c r="C48" s="14"/>
      <c r="D48" s="1">
        <f>SUM(OSRRefD22_5x_0)</f>
        <v>0</v>
      </c>
      <c r="E48" s="1"/>
      <c r="F48" s="5">
        <f t="shared" si="30"/>
        <v>0</v>
      </c>
      <c r="G48" s="1"/>
      <c r="H48" s="1">
        <f>SUM(OSRRefH22_5x_0)</f>
        <v>0</v>
      </c>
      <c r="I48" s="1"/>
      <c r="J48" s="5">
        <f t="shared" si="31"/>
        <v>0</v>
      </c>
      <c r="K48" s="1"/>
      <c r="L48" s="1">
        <f t="shared" si="32"/>
        <v>0</v>
      </c>
      <c r="M48" s="1"/>
      <c r="N48" s="5">
        <f t="shared" si="33"/>
        <v>0</v>
      </c>
      <c r="O48" s="14"/>
      <c r="P48" s="1">
        <f>SUM(OSRRefP22_5x_0)</f>
        <v>0</v>
      </c>
      <c r="Q48" s="1"/>
      <c r="R48" s="5">
        <f t="shared" si="34"/>
        <v>0</v>
      </c>
      <c r="S48" s="1"/>
      <c r="T48" s="1">
        <f>SUM(OSRRefT22_5x_0)</f>
        <v>0</v>
      </c>
      <c r="U48" s="1"/>
      <c r="V48" s="5">
        <f t="shared" si="35"/>
        <v>0</v>
      </c>
      <c r="W48" s="1"/>
      <c r="X48" s="1">
        <f t="shared" si="36"/>
        <v>0</v>
      </c>
      <c r="Y48" s="1"/>
      <c r="Z48" s="5">
        <f t="shared" si="37"/>
        <v>0</v>
      </c>
    </row>
    <row r="49" spans="1:26" s="24" customFormat="1" hidden="1" outlineLevel="2" x14ac:dyDescent="0.3">
      <c r="A49" s="29"/>
      <c r="B49" s="11" t="str">
        <f>CONCATENATE("          ", "6382", " - ", "DISCOUNTS/MARK DOWNS")</f>
        <v xml:space="preserve">          6382 - DISCOUNTS/MARK DOWNS</v>
      </c>
      <c r="C49" s="11"/>
      <c r="D49" s="8"/>
      <c r="E49" s="3"/>
      <c r="F49" s="7">
        <f t="shared" si="30"/>
        <v>0</v>
      </c>
      <c r="G49" s="3"/>
      <c r="H49" s="8">
        <v>0</v>
      </c>
      <c r="I49" s="3"/>
      <c r="J49" s="7">
        <f t="shared" si="31"/>
        <v>0</v>
      </c>
      <c r="K49" s="3"/>
      <c r="L49" s="8">
        <f t="shared" si="32"/>
        <v>0</v>
      </c>
      <c r="M49" s="3"/>
      <c r="N49" s="7">
        <f t="shared" si="33"/>
        <v>0</v>
      </c>
      <c r="O49" s="11"/>
      <c r="P49" s="8"/>
      <c r="Q49" s="3"/>
      <c r="R49" s="7">
        <f t="shared" si="34"/>
        <v>0</v>
      </c>
      <c r="S49" s="3"/>
      <c r="T49" s="8">
        <v>0</v>
      </c>
      <c r="U49" s="3"/>
      <c r="V49" s="7">
        <f t="shared" si="35"/>
        <v>0</v>
      </c>
      <c r="W49" s="3"/>
      <c r="X49" s="8">
        <f t="shared" si="36"/>
        <v>0</v>
      </c>
      <c r="Y49" s="3"/>
      <c r="Z49" s="7">
        <f t="shared" si="37"/>
        <v>0</v>
      </c>
    </row>
    <row r="50" spans="1:26" s="27" customFormat="1" outlineLevel="1" collapsed="1" x14ac:dyDescent="0.3">
      <c r="A50" s="28"/>
      <c r="B50" s="14" t="str">
        <f>CONCATENATE("     ","General                                           ")</f>
        <v xml:space="preserve">     General                                           </v>
      </c>
      <c r="C50" s="14"/>
      <c r="D50" s="1">
        <f>SUM(OSRRefD22_6x_0)</f>
        <v>0</v>
      </c>
      <c r="E50" s="1"/>
      <c r="F50" s="5">
        <f t="shared" si="30"/>
        <v>0</v>
      </c>
      <c r="G50" s="1"/>
      <c r="H50" s="1">
        <f>SUM(OSRRefH22_6x_0)</f>
        <v>0</v>
      </c>
      <c r="I50" s="1"/>
      <c r="J50" s="5">
        <f t="shared" si="31"/>
        <v>0</v>
      </c>
      <c r="K50" s="1"/>
      <c r="L50" s="1">
        <f t="shared" si="32"/>
        <v>0</v>
      </c>
      <c r="M50" s="1"/>
      <c r="N50" s="5">
        <f t="shared" si="33"/>
        <v>0</v>
      </c>
      <c r="O50" s="14"/>
      <c r="P50" s="1">
        <f>SUM(OSRRefP22_6x_0)</f>
        <v>0</v>
      </c>
      <c r="Q50" s="1"/>
      <c r="R50" s="5">
        <f t="shared" si="34"/>
        <v>0</v>
      </c>
      <c r="S50" s="1"/>
      <c r="T50" s="1">
        <f>SUM(OSRRefT22_6x_0)</f>
        <v>0</v>
      </c>
      <c r="U50" s="1"/>
      <c r="V50" s="5">
        <f t="shared" si="35"/>
        <v>0</v>
      </c>
      <c r="W50" s="1"/>
      <c r="X50" s="1">
        <f t="shared" si="36"/>
        <v>0</v>
      </c>
      <c r="Y50" s="1"/>
      <c r="Z50" s="5">
        <f t="shared" si="37"/>
        <v>0</v>
      </c>
    </row>
    <row r="51" spans="1:26" s="24" customFormat="1" hidden="1" outlineLevel="2" x14ac:dyDescent="0.3">
      <c r="A51" s="29"/>
      <c r="B51" s="11" t="str">
        <f>CONCATENATE("          ", "6279", " - ", "GENERAL EXPENSE")</f>
        <v xml:space="preserve">          6279 - GENERAL EXPENSE</v>
      </c>
      <c r="C51" s="11"/>
      <c r="D51" s="8"/>
      <c r="E51" s="3"/>
      <c r="F51" s="7">
        <f t="shared" si="30"/>
        <v>0</v>
      </c>
      <c r="G51" s="3"/>
      <c r="H51" s="8">
        <v>0</v>
      </c>
      <c r="I51" s="3"/>
      <c r="J51" s="7">
        <f t="shared" si="31"/>
        <v>0</v>
      </c>
      <c r="K51" s="3"/>
      <c r="L51" s="8">
        <f t="shared" si="32"/>
        <v>0</v>
      </c>
      <c r="M51" s="3"/>
      <c r="N51" s="7">
        <f t="shared" si="33"/>
        <v>0</v>
      </c>
      <c r="O51" s="11"/>
      <c r="P51" s="8"/>
      <c r="Q51" s="3"/>
      <c r="R51" s="7">
        <f t="shared" si="34"/>
        <v>0</v>
      </c>
      <c r="S51" s="3"/>
      <c r="T51" s="8">
        <v>0</v>
      </c>
      <c r="U51" s="3"/>
      <c r="V51" s="7">
        <f t="shared" si="35"/>
        <v>0</v>
      </c>
      <c r="W51" s="3"/>
      <c r="X51" s="8">
        <f t="shared" si="36"/>
        <v>0</v>
      </c>
      <c r="Y51" s="3"/>
      <c r="Z51" s="7">
        <f t="shared" si="37"/>
        <v>0</v>
      </c>
    </row>
    <row r="52" spans="1:26" s="27" customFormat="1" outlineLevel="1" collapsed="1" x14ac:dyDescent="0.3">
      <c r="A52" s="28"/>
      <c r="B52" s="14" t="str">
        <f>CONCATENATE("     ","Inventory Adjustment                              ")</f>
        <v xml:space="preserve">     Inventory Adjustment                              </v>
      </c>
      <c r="C52" s="14"/>
      <c r="D52" s="1">
        <f>SUM(OSRRefD22_7x_0)</f>
        <v>650</v>
      </c>
      <c r="E52" s="1"/>
      <c r="F52" s="5">
        <f t="shared" si="30"/>
        <v>0</v>
      </c>
      <c r="G52" s="1"/>
      <c r="H52" s="1">
        <f>SUM(OSRRefH22_7x_0)</f>
        <v>650</v>
      </c>
      <c r="I52" s="1"/>
      <c r="J52" s="5">
        <f t="shared" si="31"/>
        <v>0.27472527472527475</v>
      </c>
      <c r="K52" s="1"/>
      <c r="L52" s="1">
        <f t="shared" si="32"/>
        <v>0</v>
      </c>
      <c r="M52" s="1"/>
      <c r="N52" s="5">
        <f t="shared" si="33"/>
        <v>0</v>
      </c>
      <c r="O52" s="14"/>
      <c r="P52" s="1">
        <f>SUM(OSRRefP22_7x_0)</f>
        <v>650</v>
      </c>
      <c r="Q52" s="1"/>
      <c r="R52" s="5">
        <f t="shared" si="34"/>
        <v>0</v>
      </c>
      <c r="S52" s="1"/>
      <c r="T52" s="1">
        <f>SUM(OSRRefT22_7x_0)</f>
        <v>650</v>
      </c>
      <c r="U52" s="1"/>
      <c r="V52" s="5">
        <f t="shared" si="35"/>
        <v>0.27472527472527475</v>
      </c>
      <c r="W52" s="1"/>
      <c r="X52" s="1">
        <f t="shared" si="36"/>
        <v>0</v>
      </c>
      <c r="Y52" s="1"/>
      <c r="Z52" s="5">
        <f t="shared" si="37"/>
        <v>0</v>
      </c>
    </row>
    <row r="53" spans="1:26" s="24" customFormat="1" hidden="1" outlineLevel="2" x14ac:dyDescent="0.3">
      <c r="A53" s="29"/>
      <c r="B53" s="11" t="str">
        <f>CONCATENATE("          ", "6408", " - ", "INVENTORY ADJUSTMENT")</f>
        <v xml:space="preserve">          6408 - INVENTORY ADJUSTMENT</v>
      </c>
      <c r="C53" s="11"/>
      <c r="D53" s="8">
        <v>650</v>
      </c>
      <c r="E53" s="3"/>
      <c r="F53" s="7">
        <f t="shared" si="30"/>
        <v>0</v>
      </c>
      <c r="G53" s="3"/>
      <c r="H53" s="8">
        <v>650</v>
      </c>
      <c r="I53" s="3"/>
      <c r="J53" s="7">
        <f t="shared" si="31"/>
        <v>0.27472527472527475</v>
      </c>
      <c r="K53" s="3"/>
      <c r="L53" s="8">
        <f t="shared" si="32"/>
        <v>0</v>
      </c>
      <c r="M53" s="3"/>
      <c r="N53" s="7">
        <f t="shared" si="33"/>
        <v>0</v>
      </c>
      <c r="O53" s="11"/>
      <c r="P53" s="8">
        <v>650</v>
      </c>
      <c r="Q53" s="3"/>
      <c r="R53" s="7">
        <f t="shared" si="34"/>
        <v>0</v>
      </c>
      <c r="S53" s="3"/>
      <c r="T53" s="8">
        <v>650</v>
      </c>
      <c r="U53" s="3"/>
      <c r="V53" s="7">
        <f t="shared" si="35"/>
        <v>0.27472527472527475</v>
      </c>
      <c r="W53" s="3"/>
      <c r="X53" s="8">
        <f t="shared" si="36"/>
        <v>0</v>
      </c>
      <c r="Y53" s="3"/>
      <c r="Z53" s="7">
        <f t="shared" si="37"/>
        <v>0</v>
      </c>
    </row>
    <row r="54" spans="1:26" s="27" customFormat="1" outlineLevel="1" collapsed="1" x14ac:dyDescent="0.3">
      <c r="A54" s="28"/>
      <c r="B54" s="14" t="str">
        <f>CONCATENATE("     ","Supplies                                          ")</f>
        <v xml:space="preserve">     Supplies                                          </v>
      </c>
      <c r="C54" s="14"/>
      <c r="D54" s="1">
        <f>SUM(OSRRefD22_8x_0)</f>
        <v>0</v>
      </c>
      <c r="E54" s="1"/>
      <c r="F54" s="5">
        <f t="shared" si="30"/>
        <v>0</v>
      </c>
      <c r="G54" s="1"/>
      <c r="H54" s="1">
        <f>SUM(OSRRefH22_8x_0)</f>
        <v>75</v>
      </c>
      <c r="I54" s="1"/>
      <c r="J54" s="5">
        <f t="shared" si="31"/>
        <v>3.1699070160608619E-2</v>
      </c>
      <c r="K54" s="1"/>
      <c r="L54" s="1">
        <f t="shared" si="32"/>
        <v>-75</v>
      </c>
      <c r="M54" s="1"/>
      <c r="N54" s="5">
        <f t="shared" si="33"/>
        <v>-1</v>
      </c>
      <c r="O54" s="14"/>
      <c r="P54" s="1">
        <f>SUM(OSRRefP22_8x_0)</f>
        <v>0</v>
      </c>
      <c r="Q54" s="1"/>
      <c r="R54" s="5">
        <f t="shared" si="34"/>
        <v>0</v>
      </c>
      <c r="S54" s="1"/>
      <c r="T54" s="1">
        <f>SUM(OSRRefT22_8x_0)</f>
        <v>75</v>
      </c>
      <c r="U54" s="1"/>
      <c r="V54" s="5">
        <f t="shared" si="35"/>
        <v>3.1699070160608619E-2</v>
      </c>
      <c r="W54" s="1"/>
      <c r="X54" s="1">
        <f t="shared" si="36"/>
        <v>-75</v>
      </c>
      <c r="Y54" s="1"/>
      <c r="Z54" s="5">
        <f t="shared" si="37"/>
        <v>-1</v>
      </c>
    </row>
    <row r="55" spans="1:26" s="24" customFormat="1" hidden="1" outlineLevel="2" x14ac:dyDescent="0.3">
      <c r="A55" s="29"/>
      <c r="B55" s="11" t="str">
        <f>CONCATENATE("          ", "6235", " - ", "COVID-19 EXPENSES")</f>
        <v xml:space="preserve">          6235 - COVID-19 EXPENSES</v>
      </c>
      <c r="C55" s="11"/>
      <c r="D55" s="8"/>
      <c r="E55" s="3"/>
      <c r="F55" s="7">
        <f t="shared" si="30"/>
        <v>0</v>
      </c>
      <c r="G55" s="3"/>
      <c r="H55" s="8">
        <v>25</v>
      </c>
      <c r="I55" s="3"/>
      <c r="J55" s="7">
        <f t="shared" si="31"/>
        <v>1.0566356720202874E-2</v>
      </c>
      <c r="K55" s="3"/>
      <c r="L55" s="8">
        <f t="shared" si="32"/>
        <v>-25</v>
      </c>
      <c r="M55" s="3"/>
      <c r="N55" s="7">
        <f t="shared" si="33"/>
        <v>-1</v>
      </c>
      <c r="O55" s="11"/>
      <c r="P55" s="8"/>
      <c r="Q55" s="3"/>
      <c r="R55" s="7">
        <f t="shared" si="34"/>
        <v>0</v>
      </c>
      <c r="S55" s="3"/>
      <c r="T55" s="8">
        <v>25</v>
      </c>
      <c r="U55" s="3"/>
      <c r="V55" s="7">
        <f t="shared" si="35"/>
        <v>1.0566356720202874E-2</v>
      </c>
      <c r="W55" s="3"/>
      <c r="X55" s="8">
        <f t="shared" si="36"/>
        <v>-25</v>
      </c>
      <c r="Y55" s="3"/>
      <c r="Z55" s="7">
        <f t="shared" si="37"/>
        <v>-1</v>
      </c>
    </row>
    <row r="56" spans="1:26" s="24" customFormat="1" hidden="1" outlineLevel="2" x14ac:dyDescent="0.3">
      <c r="A56" s="29"/>
      <c r="B56" s="11" t="str">
        <f>CONCATENATE("          ", "6241", " - ", "OFFICE EXPENSE")</f>
        <v xml:space="preserve">          6241 - OFFICE EXPENSE</v>
      </c>
      <c r="C56" s="11"/>
      <c r="D56" s="8"/>
      <c r="E56" s="3"/>
      <c r="F56" s="7">
        <f t="shared" si="30"/>
        <v>0</v>
      </c>
      <c r="G56" s="3"/>
      <c r="H56" s="8">
        <v>25</v>
      </c>
      <c r="I56" s="3"/>
      <c r="J56" s="7">
        <f t="shared" si="31"/>
        <v>1.0566356720202874E-2</v>
      </c>
      <c r="K56" s="3"/>
      <c r="L56" s="8">
        <f t="shared" si="32"/>
        <v>-25</v>
      </c>
      <c r="M56" s="3"/>
      <c r="N56" s="7">
        <f t="shared" si="33"/>
        <v>-1</v>
      </c>
      <c r="O56" s="11"/>
      <c r="P56" s="8"/>
      <c r="Q56" s="3"/>
      <c r="R56" s="7">
        <f t="shared" si="34"/>
        <v>0</v>
      </c>
      <c r="S56" s="3"/>
      <c r="T56" s="8">
        <v>25</v>
      </c>
      <c r="U56" s="3"/>
      <c r="V56" s="7">
        <f t="shared" si="35"/>
        <v>1.0566356720202874E-2</v>
      </c>
      <c r="W56" s="3"/>
      <c r="X56" s="8">
        <f t="shared" si="36"/>
        <v>-25</v>
      </c>
      <c r="Y56" s="3"/>
      <c r="Z56" s="7">
        <f t="shared" si="37"/>
        <v>-1</v>
      </c>
    </row>
    <row r="57" spans="1:26" s="24" customFormat="1" hidden="1" outlineLevel="2" x14ac:dyDescent="0.3">
      <c r="A57" s="29"/>
      <c r="B57" s="11" t="str">
        <f>CONCATENATE("          ", "6247", " - ", "STORE SUPPLIES")</f>
        <v xml:space="preserve">          6247 - STORE SUPPLIES</v>
      </c>
      <c r="C57" s="11"/>
      <c r="D57" s="8"/>
      <c r="E57" s="3"/>
      <c r="F57" s="7">
        <f t="shared" si="30"/>
        <v>0</v>
      </c>
      <c r="G57" s="3"/>
      <c r="H57" s="8">
        <v>25</v>
      </c>
      <c r="I57" s="3"/>
      <c r="J57" s="7">
        <f t="shared" si="31"/>
        <v>1.0566356720202874E-2</v>
      </c>
      <c r="K57" s="3"/>
      <c r="L57" s="8">
        <f t="shared" si="32"/>
        <v>-25</v>
      </c>
      <c r="M57" s="3"/>
      <c r="N57" s="7">
        <f t="shared" si="33"/>
        <v>-1</v>
      </c>
      <c r="O57" s="11"/>
      <c r="P57" s="8"/>
      <c r="Q57" s="3"/>
      <c r="R57" s="7">
        <f t="shared" si="34"/>
        <v>0</v>
      </c>
      <c r="S57" s="3"/>
      <c r="T57" s="8">
        <v>25</v>
      </c>
      <c r="U57" s="3"/>
      <c r="V57" s="7">
        <f t="shared" si="35"/>
        <v>1.0566356720202874E-2</v>
      </c>
      <c r="W57" s="3"/>
      <c r="X57" s="8">
        <f t="shared" si="36"/>
        <v>-25</v>
      </c>
      <c r="Y57" s="3"/>
      <c r="Z57" s="7">
        <f t="shared" si="37"/>
        <v>-1</v>
      </c>
    </row>
    <row r="58" spans="1:26" s="27" customFormat="1" outlineLevel="1" collapsed="1" x14ac:dyDescent="0.3">
      <c r="A58" s="28"/>
      <c r="B58" s="14" t="str">
        <f>CONCATENATE("     ","Telephone/Data Lines                              ")</f>
        <v xml:space="preserve">     Telephone/Data Lines                              </v>
      </c>
      <c r="C58" s="14"/>
      <c r="D58" s="1">
        <f>SUM(OSRRefD22_9x_0)</f>
        <v>13</v>
      </c>
      <c r="E58" s="1"/>
      <c r="F58" s="5">
        <f t="shared" ref="F58:F59" si="38">IF(D$12=0,0,D58/D$12)</f>
        <v>0</v>
      </c>
      <c r="G58" s="1"/>
      <c r="H58" s="1">
        <f>SUM(OSRRefH22_9x_0)</f>
        <v>60</v>
      </c>
      <c r="I58" s="1"/>
      <c r="J58" s="5">
        <f t="shared" ref="J58:J59" si="39">IF(H$12=0,0,H58/H$12)</f>
        <v>2.5359256128486898E-2</v>
      </c>
      <c r="K58" s="1"/>
      <c r="L58" s="1">
        <f t="shared" ref="L58:L59" si="40">+D58-H58</f>
        <v>-47</v>
      </c>
      <c r="M58" s="1"/>
      <c r="N58" s="5">
        <f t="shared" ref="N58:N59" si="41">IF(H58=0,0,L58/H58)</f>
        <v>-0.78333333333333333</v>
      </c>
      <c r="O58" s="14"/>
      <c r="P58" s="1">
        <f>SUM(OSRRefP22_9x_0)</f>
        <v>13</v>
      </c>
      <c r="Q58" s="1"/>
      <c r="R58" s="5">
        <f t="shared" ref="R58:R59" si="42">IF(P$12=0,0,P58/P$12)</f>
        <v>0</v>
      </c>
      <c r="S58" s="1"/>
      <c r="T58" s="1">
        <f>SUM(OSRRefT22_9x_0)</f>
        <v>60</v>
      </c>
      <c r="U58" s="1"/>
      <c r="V58" s="5">
        <f t="shared" ref="V58:V59" si="43">IF(T$12=0,0,T58/T$12)</f>
        <v>2.5359256128486898E-2</v>
      </c>
      <c r="W58" s="1"/>
      <c r="X58" s="1">
        <f t="shared" ref="X58:X59" si="44">+P58-T58</f>
        <v>-47</v>
      </c>
      <c r="Y58" s="1"/>
      <c r="Z58" s="5">
        <f t="shared" ref="Z58:Z59" si="45">IF(T58=0,0,X58/T58)</f>
        <v>-0.78333333333333333</v>
      </c>
    </row>
    <row r="59" spans="1:26" s="24" customFormat="1" hidden="1" outlineLevel="2" x14ac:dyDescent="0.3">
      <c r="A59" s="29"/>
      <c r="B59" s="11" t="str">
        <f>CONCATENATE("          ", "6309", " - ", "TELEPHONE")</f>
        <v xml:space="preserve">          6309 - TELEPHONE</v>
      </c>
      <c r="C59" s="11"/>
      <c r="D59" s="8">
        <v>13</v>
      </c>
      <c r="E59" s="3"/>
      <c r="F59" s="7">
        <f t="shared" si="38"/>
        <v>0</v>
      </c>
      <c r="G59" s="3"/>
      <c r="H59" s="8">
        <v>60</v>
      </c>
      <c r="I59" s="3"/>
      <c r="J59" s="7">
        <f t="shared" si="39"/>
        <v>2.5359256128486898E-2</v>
      </c>
      <c r="K59" s="3"/>
      <c r="L59" s="8">
        <f t="shared" si="40"/>
        <v>-47</v>
      </c>
      <c r="M59" s="3"/>
      <c r="N59" s="7">
        <f t="shared" si="41"/>
        <v>-0.78333333333333333</v>
      </c>
      <c r="O59" s="11"/>
      <c r="P59" s="8">
        <v>13</v>
      </c>
      <c r="Q59" s="3"/>
      <c r="R59" s="7">
        <f t="shared" si="42"/>
        <v>0</v>
      </c>
      <c r="S59" s="3"/>
      <c r="T59" s="8">
        <v>60</v>
      </c>
      <c r="U59" s="3"/>
      <c r="V59" s="7">
        <f t="shared" si="43"/>
        <v>2.5359256128486898E-2</v>
      </c>
      <c r="W59" s="3"/>
      <c r="X59" s="8">
        <f t="shared" si="44"/>
        <v>-47</v>
      </c>
      <c r="Y59" s="3"/>
      <c r="Z59" s="7">
        <f t="shared" si="45"/>
        <v>-0.78333333333333333</v>
      </c>
    </row>
    <row r="60" spans="1:26" s="62" customFormat="1" x14ac:dyDescent="0.3">
      <c r="A60" s="36"/>
      <c r="B60" s="36"/>
      <c r="C60" s="36"/>
      <c r="D60" s="1"/>
      <c r="E60" s="1"/>
      <c r="F60" s="5"/>
      <c r="G60" s="1"/>
      <c r="H60" s="1"/>
      <c r="I60" s="1"/>
      <c r="J60" s="5"/>
      <c r="K60" s="1"/>
      <c r="L60" s="1"/>
      <c r="M60" s="1"/>
      <c r="N60" s="5"/>
      <c r="O60" s="36"/>
      <c r="P60" s="1"/>
      <c r="Q60" s="1"/>
      <c r="R60" s="5"/>
      <c r="S60" s="1"/>
      <c r="T60" s="1"/>
      <c r="U60" s="1"/>
      <c r="V60" s="5"/>
      <c r="W60" s="1"/>
      <c r="X60" s="1"/>
      <c r="Y60" s="1"/>
      <c r="Z60" s="5"/>
    </row>
    <row r="61" spans="1:26" s="23" customFormat="1" x14ac:dyDescent="0.3">
      <c r="A61" s="10"/>
      <c r="B61" s="25" t="s">
        <v>293</v>
      </c>
      <c r="C61" s="10"/>
      <c r="D61" s="4">
        <f>SUM(0)</f>
        <v>0</v>
      </c>
      <c r="E61" s="4"/>
      <c r="F61" s="12">
        <f>IF(D$12=0,0,D61/D$12)</f>
        <v>0</v>
      </c>
      <c r="G61" s="4"/>
      <c r="H61" s="4">
        <f>SUM(0)</f>
        <v>0</v>
      </c>
      <c r="I61" s="4"/>
      <c r="J61" s="12">
        <f>IF(H$12=0,0,H61/H$12)</f>
        <v>0</v>
      </c>
      <c r="K61" s="4"/>
      <c r="L61" s="4">
        <f>+D61-H61</f>
        <v>0</v>
      </c>
      <c r="M61" s="4"/>
      <c r="N61" s="12">
        <f>IF(H61=0,0,L61/H61)</f>
        <v>0</v>
      </c>
      <c r="O61" s="10"/>
      <c r="P61" s="4">
        <f>SUM(0)</f>
        <v>0</v>
      </c>
      <c r="Q61" s="4"/>
      <c r="R61" s="12">
        <f>IF(P$12=0,0,P61/P$12)</f>
        <v>0</v>
      </c>
      <c r="S61" s="4"/>
      <c r="T61" s="4">
        <f>SUM(0)</f>
        <v>0</v>
      </c>
      <c r="U61" s="4"/>
      <c r="V61" s="12">
        <f>IF(T$12=0,0,T61/T$12)</f>
        <v>0</v>
      </c>
      <c r="W61" s="4"/>
      <c r="X61" s="4">
        <f>+P61-T61</f>
        <v>0</v>
      </c>
      <c r="Y61" s="4"/>
      <c r="Z61" s="12">
        <f>IF(T61=0,0,X61/T61)</f>
        <v>0</v>
      </c>
    </row>
    <row r="62" spans="1:26" x14ac:dyDescent="0.3">
      <c r="A62" s="9"/>
      <c r="B62" s="10"/>
      <c r="C62" s="10"/>
      <c r="D62" s="2"/>
      <c r="E62" s="2"/>
      <c r="F62" s="6"/>
      <c r="G62" s="2"/>
      <c r="H62" s="2"/>
      <c r="I62" s="2"/>
      <c r="J62" s="6"/>
      <c r="K62" s="2"/>
      <c r="L62" s="2"/>
      <c r="M62" s="2"/>
      <c r="N62" s="6"/>
      <c r="O62" s="10"/>
      <c r="P62" s="2"/>
      <c r="Q62" s="2"/>
      <c r="R62" s="6"/>
      <c r="S62" s="2"/>
      <c r="T62" s="2"/>
      <c r="U62" s="2"/>
      <c r="V62" s="6"/>
      <c r="W62" s="2"/>
      <c r="X62" s="2"/>
      <c r="Y62" s="2"/>
      <c r="Z62" s="6"/>
    </row>
    <row r="63" spans="1:26" s="23" customFormat="1" x14ac:dyDescent="0.3">
      <c r="A63" s="10"/>
      <c r="B63" s="26" t="s">
        <v>277</v>
      </c>
      <c r="C63" s="26"/>
      <c r="D63" s="21">
        <f>+D19-D21+D61</f>
        <v>-763</v>
      </c>
      <c r="E63" s="13"/>
      <c r="F63" s="22">
        <f>IF(D$12=0,0,D63/D$12)</f>
        <v>0</v>
      </c>
      <c r="G63" s="13"/>
      <c r="H63" s="21">
        <f>+H19-H21+H61</f>
        <v>-11288.04025</v>
      </c>
      <c r="I63" s="13"/>
      <c r="J63" s="22">
        <f>IF(H$12=0,0,H63/H$12)</f>
        <v>-4.7709383981403208</v>
      </c>
      <c r="K63" s="16"/>
      <c r="L63" s="21">
        <f>+D63-H63</f>
        <v>10525.04025</v>
      </c>
      <c r="M63" s="16"/>
      <c r="N63" s="22">
        <f>IF(H63=0,0,L63/H63)</f>
        <v>-0.93240633598910139</v>
      </c>
      <c r="O63" s="25"/>
      <c r="P63" s="21">
        <f>+P19-P21+P61</f>
        <v>-763</v>
      </c>
      <c r="Q63" s="13"/>
      <c r="R63" s="22">
        <f>IF(P$12=0,0,P63/P$12)</f>
        <v>0</v>
      </c>
      <c r="S63" s="13"/>
      <c r="T63" s="21">
        <f>+T19-T21+T61</f>
        <v>-11288.04025</v>
      </c>
      <c r="U63" s="13"/>
      <c r="V63" s="22">
        <f>IF(T$12=0,0,T63/T$12)</f>
        <v>-4.7709383981403208</v>
      </c>
      <c r="W63" s="16"/>
      <c r="X63" s="21">
        <f>+P63-T63</f>
        <v>10525.04025</v>
      </c>
      <c r="Y63" s="16"/>
      <c r="Z63" s="22">
        <f>IF(T63=0,0,X63/T63)</f>
        <v>-0.93240633598910139</v>
      </c>
    </row>
    <row r="64" spans="1:26" x14ac:dyDescent="0.3">
      <c r="A64" s="9"/>
      <c r="B64" s="10"/>
      <c r="C64" s="9"/>
      <c r="D64" s="2"/>
      <c r="E64" s="2"/>
      <c r="F64" s="6"/>
      <c r="G64" s="2"/>
      <c r="H64" s="2"/>
      <c r="I64" s="2"/>
      <c r="J64" s="6"/>
      <c r="K64" s="2"/>
      <c r="L64" s="2"/>
      <c r="M64" s="2"/>
      <c r="N64" s="6"/>
      <c r="P64" s="2"/>
      <c r="Q64" s="2"/>
      <c r="R64" s="6"/>
      <c r="S64" s="2"/>
      <c r="T64" s="2"/>
      <c r="U64" s="2"/>
      <c r="V64" s="6"/>
      <c r="W64" s="2"/>
      <c r="X64" s="2"/>
      <c r="Y64" s="2"/>
      <c r="Z64" s="6"/>
    </row>
    <row r="65" spans="1:26" s="23" customFormat="1" x14ac:dyDescent="0.3">
      <c r="A65" s="52"/>
      <c r="B65" s="10" t="s">
        <v>128</v>
      </c>
      <c r="C65" s="10"/>
      <c r="D65" s="4"/>
      <c r="E65" s="4"/>
      <c r="F65" s="12">
        <f>IF(D$12=0,0,D65/D$12)</f>
        <v>0</v>
      </c>
      <c r="G65" s="4"/>
      <c r="H65" s="4">
        <v>857</v>
      </c>
      <c r="I65" s="4"/>
      <c r="J65" s="12">
        <f>IF(H$12=0,0,H65/H$12)</f>
        <v>0.36221470836855452</v>
      </c>
      <c r="K65" s="4"/>
      <c r="L65" s="4">
        <f>+D65-H65</f>
        <v>-857</v>
      </c>
      <c r="M65" s="4"/>
      <c r="N65" s="12">
        <f>IF(H65=0,0,L65/H65)</f>
        <v>-1</v>
      </c>
      <c r="O65" s="10"/>
      <c r="P65" s="4"/>
      <c r="Q65" s="4"/>
      <c r="R65" s="12">
        <f>IF(P$12=0,0,P65/P$12)</f>
        <v>0</v>
      </c>
      <c r="S65" s="4"/>
      <c r="T65" s="4">
        <v>857</v>
      </c>
      <c r="U65" s="4"/>
      <c r="V65" s="12">
        <f>IF(T$12=0,0,T65/T$12)</f>
        <v>0.36221470836855452</v>
      </c>
      <c r="W65" s="4"/>
      <c r="X65" s="4">
        <f>+P65-T65</f>
        <v>-857</v>
      </c>
      <c r="Y65" s="4"/>
      <c r="Z65" s="12">
        <f>IF(T65=0,0,X65/T65)</f>
        <v>-1</v>
      </c>
    </row>
    <row r="66" spans="1:26" x14ac:dyDescent="0.3">
      <c r="A66" s="9"/>
      <c r="B66" s="10"/>
      <c r="C66" s="10"/>
      <c r="D66" s="2"/>
      <c r="E66" s="2"/>
      <c r="F66" s="6"/>
      <c r="G66" s="2"/>
      <c r="H66" s="2"/>
      <c r="I66" s="2"/>
      <c r="J66" s="6"/>
      <c r="K66" s="2"/>
      <c r="L66" s="2"/>
      <c r="M66" s="2"/>
      <c r="N66" s="6"/>
      <c r="O66" s="10"/>
      <c r="P66" s="2"/>
      <c r="Q66" s="2"/>
      <c r="R66" s="6"/>
      <c r="S66" s="2"/>
      <c r="T66" s="2"/>
      <c r="U66" s="2"/>
      <c r="V66" s="6"/>
      <c r="W66" s="2"/>
      <c r="X66" s="2"/>
      <c r="Y66" s="2"/>
      <c r="Z66" s="6"/>
    </row>
    <row r="67" spans="1:26" s="23" customFormat="1" ht="15" thickBot="1" x14ac:dyDescent="0.35">
      <c r="A67" s="10"/>
      <c r="B67" s="26" t="s">
        <v>126</v>
      </c>
      <c r="C67" s="26"/>
      <c r="D67" s="35">
        <f>+D63-D65</f>
        <v>-763</v>
      </c>
      <c r="E67" s="13"/>
      <c r="F67" s="30">
        <f>IF(D$12=0,0,D67/D$12)</f>
        <v>0</v>
      </c>
      <c r="G67" s="13"/>
      <c r="H67" s="35">
        <f>+H63-H65</f>
        <v>-12145.04025</v>
      </c>
      <c r="I67" s="13"/>
      <c r="J67" s="30">
        <f>IF(H$12=0,0,H67/H$12)</f>
        <v>-5.1331531065088756</v>
      </c>
      <c r="K67" s="16"/>
      <c r="L67" s="35">
        <f>D67-H67</f>
        <v>11382.04025</v>
      </c>
      <c r="M67" s="16"/>
      <c r="N67" s="30">
        <f>IF(H67=0,0,L67/H67)</f>
        <v>-0.93717600071354235</v>
      </c>
      <c r="O67" s="25"/>
      <c r="P67" s="35">
        <f>+P63-P65</f>
        <v>-763</v>
      </c>
      <c r="Q67" s="13"/>
      <c r="R67" s="30">
        <f>IF(P$12=0,0,P67/P$12)</f>
        <v>0</v>
      </c>
      <c r="S67" s="13"/>
      <c r="T67" s="35">
        <f>+T63-T65</f>
        <v>-12145.04025</v>
      </c>
      <c r="U67" s="13"/>
      <c r="V67" s="30">
        <f>IF(T$12=0,0,T67/T$12)</f>
        <v>-5.1331531065088756</v>
      </c>
      <c r="W67" s="16"/>
      <c r="X67" s="35">
        <f>P67-T67</f>
        <v>11382.04025</v>
      </c>
      <c r="Y67" s="16"/>
      <c r="Z67" s="30">
        <f>IF(T67=0,0,X67/T67)</f>
        <v>-0.93717600071354235</v>
      </c>
    </row>
    <row r="68" spans="1:26" ht="15" thickTop="1" x14ac:dyDescent="0.3">
      <c r="A68" s="9"/>
      <c r="B68" s="9"/>
      <c r="C68" s="9"/>
      <c r="D68" s="2"/>
      <c r="E68" s="2"/>
      <c r="F68" s="6"/>
      <c r="G68" s="2"/>
      <c r="H68" s="2"/>
      <c r="I68" s="2"/>
      <c r="J68" s="6"/>
      <c r="K68" s="2"/>
      <c r="L68" s="2"/>
      <c r="M68" s="2"/>
      <c r="N68" s="6"/>
      <c r="P68" s="2"/>
      <c r="Q68" s="2"/>
      <c r="R68" s="6"/>
      <c r="S68" s="2"/>
      <c r="T68" s="2"/>
      <c r="U68" s="2"/>
      <c r="V68" s="6"/>
      <c r="W68" s="2"/>
      <c r="X68" s="2"/>
      <c r="Y68" s="2"/>
      <c r="Z68" s="6"/>
    </row>
    <row r="69" spans="1:26" x14ac:dyDescent="0.3">
      <c r="A69" s="9"/>
      <c r="B69" s="9"/>
      <c r="C69" s="9"/>
      <c r="D69" s="2"/>
      <c r="E69" s="2"/>
      <c r="F69" s="6"/>
      <c r="G69" s="2"/>
      <c r="H69" s="2"/>
      <c r="I69" s="2"/>
      <c r="J69" s="6"/>
      <c r="K69" s="2"/>
      <c r="L69" s="2"/>
      <c r="M69" s="2"/>
      <c r="N69" s="6"/>
      <c r="P69" s="2"/>
      <c r="Q69" s="2"/>
      <c r="R69" s="6"/>
      <c r="S69" s="2"/>
      <c r="T69" s="2"/>
      <c r="U69" s="2"/>
      <c r="V69" s="6"/>
      <c r="W69" s="2"/>
      <c r="X69" s="2"/>
      <c r="Y69" s="2"/>
      <c r="Z69" s="6"/>
    </row>
    <row r="70" spans="1:26" s="23" customFormat="1" ht="15" thickBot="1" x14ac:dyDescent="0.35">
      <c r="A70" s="10"/>
      <c r="B70" s="26" t="s">
        <v>294</v>
      </c>
      <c r="C70" s="26"/>
      <c r="D70" s="33">
        <f>SUM(D67:D69)</f>
        <v>-763</v>
      </c>
      <c r="E70" s="13"/>
      <c r="F70" s="31">
        <f>IF(D$12=0,0,D70/D$12)</f>
        <v>0</v>
      </c>
      <c r="G70" s="13"/>
      <c r="H70" s="33">
        <f>SUM(H67:H69)</f>
        <v>-12145.04025</v>
      </c>
      <c r="I70" s="13"/>
      <c r="J70" s="31">
        <f>IF(H$12=0,0,H70/H$12)</f>
        <v>-5.1331531065088756</v>
      </c>
      <c r="K70" s="16"/>
      <c r="L70" s="33">
        <f>+D70-H70</f>
        <v>11382.04025</v>
      </c>
      <c r="M70" s="16"/>
      <c r="N70" s="31">
        <f>IF(H70=0,0,L70/H70)</f>
        <v>-0.93717600071354235</v>
      </c>
      <c r="O70" s="25"/>
      <c r="P70" s="33">
        <f>SUM(P67:P69)</f>
        <v>-763</v>
      </c>
      <c r="Q70" s="13"/>
      <c r="R70" s="31">
        <f>IF(P$12=0,0,P70/P$12)</f>
        <v>0</v>
      </c>
      <c r="S70" s="13"/>
      <c r="T70" s="33">
        <f>SUM(T67:T69)</f>
        <v>-12145.04025</v>
      </c>
      <c r="U70" s="13"/>
      <c r="V70" s="31">
        <f>IF(T$12=0,0,T70/T$12)</f>
        <v>-5.1331531065088756</v>
      </c>
      <c r="W70" s="16"/>
      <c r="X70" s="33">
        <f>+P70-T70</f>
        <v>11382.04025</v>
      </c>
      <c r="Y70" s="16"/>
      <c r="Z70" s="31">
        <f>IF(T70=0,0,X70/T70)</f>
        <v>-0.93717600071354235</v>
      </c>
    </row>
    <row r="71" spans="1:26" ht="15" thickTop="1" x14ac:dyDescent="0.3">
      <c r="A71" s="9"/>
      <c r="C71" s="9"/>
      <c r="D71" s="18"/>
      <c r="E71" s="18"/>
      <c r="G71" s="18"/>
      <c r="H71" s="18"/>
      <c r="I71" s="18"/>
      <c r="J71" s="43"/>
      <c r="K71" s="18"/>
      <c r="L71" s="18"/>
      <c r="M71" s="18"/>
      <c r="P71" s="18"/>
      <c r="Q71" s="18"/>
      <c r="R71" s="43"/>
      <c r="S71" s="18"/>
      <c r="T71" s="18"/>
      <c r="U71" s="18"/>
      <c r="V71" s="43"/>
      <c r="W71" s="18"/>
      <c r="X71" s="18"/>
    </row>
    <row r="72" spans="1:26" x14ac:dyDescent="0.3">
      <c r="A72" s="9"/>
      <c r="B72" s="54">
        <v>44462.645469097224</v>
      </c>
      <c r="D72" s="18"/>
      <c r="E72" s="18"/>
      <c r="G72" s="18"/>
      <c r="H72" s="18"/>
      <c r="I72" s="18"/>
      <c r="J72" s="43"/>
      <c r="K72" s="18"/>
      <c r="L72" s="18"/>
      <c r="M72" s="18"/>
      <c r="P72" s="18"/>
      <c r="Q72" s="18"/>
      <c r="R72" s="43"/>
      <c r="S72" s="18"/>
      <c r="T72" s="18"/>
      <c r="U72" s="18"/>
      <c r="V72" s="43"/>
      <c r="W72" s="18"/>
      <c r="X72" s="18"/>
    </row>
    <row r="73" spans="1:26" x14ac:dyDescent="0.3">
      <c r="A73" s="9"/>
      <c r="B73" s="59" t="s">
        <v>56</v>
      </c>
      <c r="D73" s="18"/>
      <c r="E73" s="18"/>
      <c r="G73" s="18"/>
      <c r="H73" s="18"/>
      <c r="I73" s="18"/>
      <c r="J73" s="43"/>
      <c r="K73" s="18"/>
      <c r="L73" s="18"/>
      <c r="M73" s="18"/>
      <c r="P73" s="18"/>
      <c r="Q73" s="18"/>
      <c r="R73" s="43"/>
      <c r="S73" s="18"/>
      <c r="T73" s="18"/>
      <c r="U73" s="18"/>
      <c r="V73" s="43"/>
      <c r="W73" s="18"/>
      <c r="X73" s="18"/>
    </row>
    <row r="74" spans="1:26" x14ac:dyDescent="0.3">
      <c r="A74" s="9"/>
      <c r="B74" s="55"/>
      <c r="D74" s="18"/>
      <c r="E74" s="18"/>
      <c r="G74" s="18"/>
      <c r="H74" s="18"/>
      <c r="I74" s="18"/>
      <c r="J74" s="43"/>
      <c r="K74" s="18"/>
      <c r="L74" s="18"/>
      <c r="M74" s="18"/>
      <c r="P74" s="18"/>
      <c r="Q74" s="18"/>
      <c r="R74" s="43"/>
      <c r="S74" s="18"/>
      <c r="T74" s="18"/>
      <c r="U74" s="18"/>
      <c r="V74" s="43"/>
      <c r="W74" s="18"/>
      <c r="X74" s="18"/>
    </row>
    <row r="75" spans="1:26" x14ac:dyDescent="0.3">
      <c r="D75" s="18"/>
      <c r="E75" s="18"/>
      <c r="G75" s="18"/>
      <c r="H75" s="18"/>
      <c r="I75" s="18"/>
      <c r="J75" s="43"/>
      <c r="K75" s="18"/>
      <c r="L75" s="18"/>
      <c r="M75" s="18"/>
      <c r="P75" s="18"/>
      <c r="Q75" s="18"/>
      <c r="R75" s="43"/>
      <c r="S75" s="18"/>
      <c r="T75" s="18"/>
      <c r="U75" s="18"/>
      <c r="V75" s="43"/>
      <c r="W75" s="18"/>
      <c r="X75" s="18"/>
    </row>
  </sheetData>
  <pageMargins left="0.25" right="0.25" top="0.75" bottom="0.75" header="0.3" footer="0.3"/>
  <pageSetup scale="55" fitToWidth="2" orientation="landscape"/>
  <drawing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>
    <tabColor rgb="FF92D050"/>
    <outlinePr summaryBelow="0" summaryRight="0"/>
  </sheetPr>
  <dimension ref="A2:Z75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50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7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50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7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7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7" customWidth="1" outlineLevel="1"/>
  </cols>
  <sheetData>
    <row r="2" spans="1:26" x14ac:dyDescent="0.3">
      <c r="D2" s="57" t="s">
        <v>23</v>
      </c>
    </row>
    <row r="3" spans="1:26" x14ac:dyDescent="0.3">
      <c r="D3" s="57" t="s">
        <v>237</v>
      </c>
      <c r="E3" s="17"/>
      <c r="F3" s="51"/>
      <c r="G3" s="17"/>
      <c r="H3" s="17"/>
      <c r="I3" s="17"/>
      <c r="J3" s="39"/>
      <c r="K3" s="17"/>
      <c r="L3" s="17"/>
      <c r="M3" s="17"/>
      <c r="N3" s="51"/>
      <c r="O3" s="61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3">
      <c r="D4" s="57" t="str">
        <f>CONCATENATE("Period ",RIGHT(202201,2),", ",2022)</f>
        <v>Period 01, 2022</v>
      </c>
      <c r="E4" s="17"/>
      <c r="F4" s="51"/>
      <c r="G4" s="17"/>
      <c r="H4" s="17"/>
      <c r="I4" s="17"/>
      <c r="J4" s="39"/>
      <c r="K4" s="17"/>
      <c r="L4" s="17"/>
      <c r="M4" s="17"/>
      <c r="N4" s="51"/>
      <c r="O4" s="61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3">
      <c r="A5" s="23"/>
      <c r="D5" s="64">
        <v>44408</v>
      </c>
      <c r="E5" s="17"/>
      <c r="F5" s="51"/>
      <c r="G5" s="17"/>
      <c r="H5" s="17"/>
      <c r="I5" s="17"/>
      <c r="J5" s="39"/>
      <c r="K5" s="17"/>
      <c r="L5" s="17"/>
      <c r="M5" s="17"/>
      <c r="N5" s="51"/>
      <c r="O5" s="61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3">
      <c r="A6" s="23"/>
      <c r="B6" s="47"/>
      <c r="C6" s="47"/>
      <c r="D6" s="23" t="str">
        <f>CONCATENATE("Department ","307", " - ", "Art Store")</f>
        <v>Department 307 - Art Store</v>
      </c>
      <c r="E6" s="17"/>
      <c r="F6" s="51"/>
      <c r="G6" s="17"/>
      <c r="H6" s="17"/>
      <c r="I6" s="17"/>
      <c r="J6" s="39"/>
      <c r="K6" s="17"/>
      <c r="L6" s="17"/>
      <c r="M6" s="17"/>
      <c r="N6" s="51"/>
      <c r="O6" s="60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3">
      <c r="B7" s="63"/>
    </row>
    <row r="8" spans="1:26" x14ac:dyDescent="0.3">
      <c r="B8" s="63"/>
    </row>
    <row r="9" spans="1:26" x14ac:dyDescent="0.3">
      <c r="B9" s="9"/>
      <c r="C9" s="9"/>
      <c r="D9" s="15" t="s">
        <v>292</v>
      </c>
      <c r="E9" s="15"/>
      <c r="F9" s="38"/>
      <c r="G9" s="15"/>
      <c r="H9" s="15"/>
      <c r="I9" s="15"/>
      <c r="J9" s="49"/>
      <c r="K9" s="15"/>
      <c r="L9" s="15"/>
      <c r="M9" s="15"/>
      <c r="N9" s="38"/>
      <c r="P9" s="15" t="s">
        <v>39</v>
      </c>
      <c r="Q9" s="15"/>
      <c r="R9" s="38"/>
      <c r="S9" s="15"/>
      <c r="T9" s="15"/>
      <c r="U9" s="15"/>
      <c r="V9" s="49"/>
      <c r="W9" s="15"/>
      <c r="X9" s="15"/>
      <c r="Y9" s="15"/>
      <c r="Z9" s="38"/>
    </row>
    <row r="10" spans="1:26" x14ac:dyDescent="0.3">
      <c r="A10" s="10"/>
      <c r="B10" s="53"/>
      <c r="C10" s="10"/>
      <c r="D10" s="42" t="s">
        <v>57</v>
      </c>
      <c r="E10" s="34"/>
      <c r="F10" s="40" t="s">
        <v>40</v>
      </c>
      <c r="G10" s="34"/>
      <c r="H10" s="45" t="s">
        <v>238</v>
      </c>
      <c r="I10" s="34"/>
      <c r="J10" s="48" t="s">
        <v>58</v>
      </c>
      <c r="K10" s="10"/>
      <c r="L10" s="42" t="s">
        <v>127</v>
      </c>
      <c r="M10" s="10"/>
      <c r="N10" s="40" t="s">
        <v>258</v>
      </c>
      <c r="O10" s="10"/>
      <c r="P10" s="56" t="s">
        <v>57</v>
      </c>
      <c r="Q10" s="34"/>
      <c r="R10" s="40" t="s">
        <v>40</v>
      </c>
      <c r="S10" s="34"/>
      <c r="T10" s="45" t="s">
        <v>238</v>
      </c>
      <c r="U10" s="34"/>
      <c r="V10" s="48" t="s">
        <v>58</v>
      </c>
      <c r="W10" s="10"/>
      <c r="X10" s="42" t="s">
        <v>127</v>
      </c>
      <c r="Y10" s="10"/>
      <c r="Z10" s="40" t="s">
        <v>258</v>
      </c>
    </row>
    <row r="11" spans="1:26" ht="15.6" x14ac:dyDescent="0.3">
      <c r="A11" s="9"/>
      <c r="B11" s="58"/>
      <c r="C11" s="9"/>
      <c r="D11" s="9"/>
      <c r="E11" s="9"/>
      <c r="F11" s="6"/>
      <c r="G11" s="9"/>
      <c r="H11" s="9"/>
      <c r="I11" s="9"/>
      <c r="J11" s="46"/>
      <c r="K11" s="9"/>
      <c r="L11" s="9"/>
      <c r="M11" s="9"/>
      <c r="N11" s="6"/>
      <c r="P11" s="9"/>
      <c r="Q11" s="9"/>
      <c r="R11" s="6"/>
      <c r="S11" s="9"/>
      <c r="T11" s="9"/>
      <c r="U11" s="9"/>
      <c r="V11" s="46"/>
      <c r="W11" s="9"/>
      <c r="X11" s="9"/>
      <c r="Y11" s="9"/>
      <c r="Z11" s="6"/>
    </row>
    <row r="12" spans="1:26" s="23" customFormat="1" collapsed="1" x14ac:dyDescent="0.3">
      <c r="A12" s="10"/>
      <c r="B12" s="25" t="s">
        <v>140</v>
      </c>
      <c r="C12" s="10"/>
      <c r="D12" s="4">
        <f>SUM(OSRRefD13x_0)</f>
        <v>0</v>
      </c>
      <c r="E12" s="4"/>
      <c r="F12" s="12"/>
      <c r="G12" s="4"/>
      <c r="H12" s="4">
        <f>SUM(OSRRefH13x_0)</f>
        <v>2366</v>
      </c>
      <c r="I12" s="4"/>
      <c r="J12" s="12"/>
      <c r="K12" s="4"/>
      <c r="L12" s="4">
        <f t="shared" ref="L12:L14" si="0">+D12-H12</f>
        <v>-2366</v>
      </c>
      <c r="M12" s="4"/>
      <c r="N12" s="12">
        <f t="shared" ref="N12:N14" si="1">IF(H12=0,0,L12/H12)</f>
        <v>-1</v>
      </c>
      <c r="O12" s="10"/>
      <c r="P12" s="4">
        <f>SUM(OSRRefP13x_0)</f>
        <v>0</v>
      </c>
      <c r="Q12" s="4"/>
      <c r="R12" s="12"/>
      <c r="S12" s="4"/>
      <c r="T12" s="4">
        <f>SUM(OSRRefT13x_0)</f>
        <v>2366</v>
      </c>
      <c r="U12" s="4"/>
      <c r="V12" s="12"/>
      <c r="W12" s="4"/>
      <c r="X12" s="4">
        <f t="shared" ref="X12:X14" si="2">+P12-T12</f>
        <v>-2366</v>
      </c>
      <c r="Y12" s="4"/>
      <c r="Z12" s="12">
        <f t="shared" ref="Z12:Z14" si="3">IF(T12=0,0,X12/T12)</f>
        <v>-1</v>
      </c>
    </row>
    <row r="13" spans="1:26" s="24" customFormat="1" hidden="1" outlineLevel="1" x14ac:dyDescent="0.3">
      <c r="A13" s="44"/>
      <c r="B13" s="11" t="str">
        <f>CONCATENATE("          ", "4000", " - ", "TAXABLE SALES")</f>
        <v xml:space="preserve">          4000 - TAXABLE SALES</v>
      </c>
      <c r="C13" s="11"/>
      <c r="D13" s="3">
        <f t="shared" ref="D13:D14" si="4">0</f>
        <v>0</v>
      </c>
      <c r="E13" s="3"/>
      <c r="F13" s="19"/>
      <c r="G13" s="3"/>
      <c r="H13" s="3">
        <v>1811</v>
      </c>
      <c r="I13" s="3"/>
      <c r="J13" s="19"/>
      <c r="K13" s="3"/>
      <c r="L13" s="3">
        <f t="shared" si="0"/>
        <v>-1811</v>
      </c>
      <c r="M13" s="3"/>
      <c r="N13" s="19">
        <f t="shared" si="1"/>
        <v>-1</v>
      </c>
      <c r="O13" s="11"/>
      <c r="P13" s="3">
        <f t="shared" ref="P13:P14" si="5">0</f>
        <v>0</v>
      </c>
      <c r="Q13" s="3"/>
      <c r="R13" s="19"/>
      <c r="S13" s="3"/>
      <c r="T13" s="3">
        <v>1811</v>
      </c>
      <c r="U13" s="3"/>
      <c r="V13" s="19"/>
      <c r="W13" s="3"/>
      <c r="X13" s="3">
        <f t="shared" si="2"/>
        <v>-1811</v>
      </c>
      <c r="Y13" s="3"/>
      <c r="Z13" s="19">
        <f t="shared" si="3"/>
        <v>-1</v>
      </c>
    </row>
    <row r="14" spans="1:26" s="24" customFormat="1" hidden="1" outlineLevel="1" x14ac:dyDescent="0.3">
      <c r="A14" s="44"/>
      <c r="B14" s="11" t="str">
        <f>CONCATENATE("          ", "4100", " - ", "NON-TAXABLE SALES")</f>
        <v xml:space="preserve">          4100 - NON-TAXABLE SALES</v>
      </c>
      <c r="C14" s="11"/>
      <c r="D14" s="3">
        <f t="shared" si="4"/>
        <v>0</v>
      </c>
      <c r="E14" s="3"/>
      <c r="F14" s="19"/>
      <c r="G14" s="3"/>
      <c r="H14" s="3">
        <v>555</v>
      </c>
      <c r="I14" s="3"/>
      <c r="J14" s="19"/>
      <c r="K14" s="3"/>
      <c r="L14" s="3">
        <f t="shared" si="0"/>
        <v>-555</v>
      </c>
      <c r="M14" s="3"/>
      <c r="N14" s="19">
        <f t="shared" si="1"/>
        <v>-1</v>
      </c>
      <c r="O14" s="11"/>
      <c r="P14" s="3">
        <f t="shared" si="5"/>
        <v>0</v>
      </c>
      <c r="Q14" s="3"/>
      <c r="R14" s="19"/>
      <c r="S14" s="3"/>
      <c r="T14" s="3">
        <v>555</v>
      </c>
      <c r="U14" s="3"/>
      <c r="V14" s="19"/>
      <c r="W14" s="3"/>
      <c r="X14" s="3">
        <f t="shared" si="2"/>
        <v>-555</v>
      </c>
      <c r="Y14" s="3"/>
      <c r="Z14" s="19">
        <f t="shared" si="3"/>
        <v>-1</v>
      </c>
    </row>
    <row r="15" spans="1:26" x14ac:dyDescent="0.3">
      <c r="A15" s="9"/>
      <c r="B15" s="10"/>
      <c r="C15" s="9"/>
      <c r="D15" s="2"/>
      <c r="E15" s="2"/>
      <c r="F15" s="6"/>
      <c r="G15" s="2"/>
      <c r="H15" s="2"/>
      <c r="I15" s="2"/>
      <c r="J15" s="6"/>
      <c r="K15" s="2"/>
      <c r="L15" s="2"/>
      <c r="M15" s="2"/>
      <c r="N15" s="6"/>
      <c r="P15" s="2"/>
      <c r="Q15" s="2"/>
      <c r="R15" s="6"/>
      <c r="S15" s="2"/>
      <c r="T15" s="2"/>
      <c r="U15" s="2"/>
      <c r="V15" s="6"/>
      <c r="W15" s="2"/>
      <c r="X15" s="2"/>
      <c r="Y15" s="2"/>
      <c r="Z15" s="6"/>
    </row>
    <row r="16" spans="1:26" s="23" customFormat="1" collapsed="1" x14ac:dyDescent="0.3">
      <c r="A16" s="10"/>
      <c r="B16" s="25" t="s">
        <v>257</v>
      </c>
      <c r="C16" s="10"/>
      <c r="D16" s="4">
        <f>SUM(OSRRefD16x_0)</f>
        <v>0</v>
      </c>
      <c r="E16" s="4"/>
      <c r="F16" s="12">
        <f t="shared" ref="F16:F17" si="6">IF(D$12=0,0,D16/D$12)</f>
        <v>0</v>
      </c>
      <c r="G16" s="4"/>
      <c r="H16" s="4">
        <f>SUM(OSRRefH16x_0)</f>
        <v>1382</v>
      </c>
      <c r="I16" s="4"/>
      <c r="J16" s="12">
        <f t="shared" ref="J16:J17" si="7">IF(H$12=0,0,H16/H$12)</f>
        <v>0.58410819949281489</v>
      </c>
      <c r="K16" s="4"/>
      <c r="L16" s="4">
        <f t="shared" ref="L16:L17" si="8">+D16-H16</f>
        <v>-1382</v>
      </c>
      <c r="M16" s="4"/>
      <c r="N16" s="12">
        <f t="shared" ref="N16:N17" si="9">IF(H16=0,0,L16/H16)</f>
        <v>-1</v>
      </c>
      <c r="O16" s="10"/>
      <c r="P16" s="4">
        <f>SUM(OSRRefP16x_0)</f>
        <v>0</v>
      </c>
      <c r="Q16" s="4"/>
      <c r="R16" s="12">
        <f t="shared" ref="R16:R17" si="10">IF(P$12=0,0,P16/P$12)</f>
        <v>0</v>
      </c>
      <c r="S16" s="4"/>
      <c r="T16" s="4">
        <f>SUM(OSRRefT16x_0)</f>
        <v>1382</v>
      </c>
      <c r="U16" s="4"/>
      <c r="V16" s="12">
        <f t="shared" ref="V16:V17" si="11">IF(T$12=0,0,T16/T$12)</f>
        <v>0.58410819949281489</v>
      </c>
      <c r="W16" s="4"/>
      <c r="X16" s="4">
        <f t="shared" ref="X16:X17" si="12">+P16-T16</f>
        <v>-1382</v>
      </c>
      <c r="Y16" s="4"/>
      <c r="Z16" s="12">
        <f t="shared" ref="Z16:Z17" si="13">IF(T16=0,0,X16/T16)</f>
        <v>-1</v>
      </c>
    </row>
    <row r="17" spans="1:26" s="24" customFormat="1" hidden="1" outlineLevel="1" x14ac:dyDescent="0.3">
      <c r="A17" s="44"/>
      <c r="B17" s="11" t="str">
        <f>CONCATENATE("          ", "5000", " - ", "PURCHASES @ COST")</f>
        <v xml:space="preserve">          5000 - PURCHASES @ COST</v>
      </c>
      <c r="C17" s="11"/>
      <c r="D17" s="3"/>
      <c r="E17" s="3"/>
      <c r="F17" s="19">
        <f t="shared" si="6"/>
        <v>0</v>
      </c>
      <c r="G17" s="3"/>
      <c r="H17" s="3">
        <v>1382</v>
      </c>
      <c r="I17" s="3"/>
      <c r="J17" s="19">
        <f t="shared" si="7"/>
        <v>0.58410819949281489</v>
      </c>
      <c r="K17" s="3"/>
      <c r="L17" s="3">
        <f t="shared" si="8"/>
        <v>-1382</v>
      </c>
      <c r="M17" s="3"/>
      <c r="N17" s="19">
        <f t="shared" si="9"/>
        <v>-1</v>
      </c>
      <c r="O17" s="11"/>
      <c r="P17" s="3"/>
      <c r="Q17" s="3"/>
      <c r="R17" s="19">
        <f t="shared" si="10"/>
        <v>0</v>
      </c>
      <c r="S17" s="3"/>
      <c r="T17" s="3">
        <v>1382</v>
      </c>
      <c r="U17" s="3"/>
      <c r="V17" s="19">
        <f t="shared" si="11"/>
        <v>0.58410819949281489</v>
      </c>
      <c r="W17" s="3"/>
      <c r="X17" s="3">
        <f t="shared" si="12"/>
        <v>-1382</v>
      </c>
      <c r="Y17" s="3"/>
      <c r="Z17" s="19">
        <f t="shared" si="13"/>
        <v>-1</v>
      </c>
    </row>
    <row r="18" spans="1:26" x14ac:dyDescent="0.3">
      <c r="A18" s="9"/>
      <c r="B18" s="10"/>
      <c r="C18" s="10"/>
      <c r="D18" s="2"/>
      <c r="E18" s="2"/>
      <c r="F18" s="6"/>
      <c r="G18" s="2"/>
      <c r="H18" s="2"/>
      <c r="I18" s="2"/>
      <c r="J18" s="6"/>
      <c r="K18" s="2"/>
      <c r="L18" s="2"/>
      <c r="M18" s="2"/>
      <c r="N18" s="6"/>
      <c r="O18" s="10"/>
      <c r="P18" s="2"/>
      <c r="Q18" s="2"/>
      <c r="R18" s="6"/>
      <c r="S18" s="2"/>
      <c r="T18" s="2"/>
      <c r="U18" s="2"/>
      <c r="V18" s="6"/>
      <c r="W18" s="2"/>
      <c r="X18" s="2"/>
      <c r="Y18" s="2"/>
      <c r="Z18" s="6"/>
    </row>
    <row r="19" spans="1:26" s="23" customFormat="1" x14ac:dyDescent="0.3">
      <c r="A19" s="10"/>
      <c r="B19" s="26" t="s">
        <v>108</v>
      </c>
      <c r="C19" s="26"/>
      <c r="D19" s="21">
        <f>D12-D16</f>
        <v>0</v>
      </c>
      <c r="E19" s="13"/>
      <c r="F19" s="22">
        <f>IF(D$12=0,0,D19/D$12)</f>
        <v>0</v>
      </c>
      <c r="G19" s="13"/>
      <c r="H19" s="21">
        <f>H12-H16</f>
        <v>984</v>
      </c>
      <c r="I19" s="13"/>
      <c r="J19" s="22">
        <f>IF(H$12=0,0,H19/H$12)</f>
        <v>0.41589180050718511</v>
      </c>
      <c r="K19" s="16"/>
      <c r="L19" s="21">
        <f>+D19-H19</f>
        <v>-984</v>
      </c>
      <c r="M19" s="16"/>
      <c r="N19" s="22">
        <f>IF(H19=0,0,L19/H19)</f>
        <v>-1</v>
      </c>
      <c r="O19" s="25"/>
      <c r="P19" s="21">
        <f>P12-P16</f>
        <v>0</v>
      </c>
      <c r="Q19" s="13"/>
      <c r="R19" s="22">
        <f>IF(P$12=0,0,P19/P$12)</f>
        <v>0</v>
      </c>
      <c r="S19" s="13"/>
      <c r="T19" s="21">
        <f>T12-T16</f>
        <v>984</v>
      </c>
      <c r="U19" s="13"/>
      <c r="V19" s="22">
        <f>IF(T$12=0,0,T19/T$12)</f>
        <v>0.41589180050718511</v>
      </c>
      <c r="W19" s="16"/>
      <c r="X19" s="21">
        <f>+P19-T19</f>
        <v>-984</v>
      </c>
      <c r="Y19" s="16"/>
      <c r="Z19" s="22">
        <f>IF(T19=0,0,X19/T19)</f>
        <v>-1</v>
      </c>
    </row>
    <row r="20" spans="1:26" x14ac:dyDescent="0.3">
      <c r="A20" s="9"/>
      <c r="B20" s="10"/>
      <c r="C20" s="9"/>
      <c r="D20" s="1"/>
      <c r="E20" s="1"/>
      <c r="F20" s="5"/>
      <c r="G20" s="1"/>
      <c r="H20" s="1"/>
      <c r="I20" s="1"/>
      <c r="J20" s="5"/>
      <c r="K20" s="1"/>
      <c r="L20" s="1"/>
      <c r="M20" s="1"/>
      <c r="N20" s="5"/>
      <c r="O20" s="36"/>
      <c r="P20" s="1"/>
      <c r="Q20" s="1"/>
      <c r="R20" s="5"/>
      <c r="S20" s="1"/>
      <c r="T20" s="1"/>
      <c r="U20" s="1"/>
      <c r="V20" s="5"/>
      <c r="W20" s="1"/>
      <c r="X20" s="1"/>
      <c r="Y20" s="1"/>
      <c r="Z20" s="5"/>
    </row>
    <row r="21" spans="1:26" s="23" customFormat="1" x14ac:dyDescent="0.3">
      <c r="A21" s="10"/>
      <c r="B21" s="25" t="s">
        <v>295</v>
      </c>
      <c r="C21" s="10"/>
      <c r="D21" s="20">
        <f>SUM(OSRRefD22x_0)</f>
        <v>763</v>
      </c>
      <c r="E21" s="20"/>
      <c r="F21" s="32">
        <f t="shared" ref="F21:F30" si="14">IF(D$12=0,0,D21/D$12)</f>
        <v>0</v>
      </c>
      <c r="G21" s="20"/>
      <c r="H21" s="20">
        <f>SUM(OSRRefH22x_0)</f>
        <v>12272.04025</v>
      </c>
      <c r="I21" s="20"/>
      <c r="J21" s="32">
        <f t="shared" ref="J21:J30" si="15">IF(H$12=0,0,H21/H$12)</f>
        <v>5.1868301986475061</v>
      </c>
      <c r="K21" s="4"/>
      <c r="L21" s="20">
        <f t="shared" ref="L21:L30" si="16">+D21-H21</f>
        <v>-11509.04025</v>
      </c>
      <c r="M21" s="4"/>
      <c r="N21" s="32">
        <f t="shared" ref="N21:N30" si="17">IF(H21=0,0,L21/H21)</f>
        <v>-0.93782614916048701</v>
      </c>
      <c r="O21" s="10"/>
      <c r="P21" s="20">
        <f>SUM(OSRRefP22x_0)</f>
        <v>763</v>
      </c>
      <c r="Q21" s="20"/>
      <c r="R21" s="32">
        <f t="shared" ref="R21:R30" si="18">IF(P$12=0,0,P21/P$12)</f>
        <v>0</v>
      </c>
      <c r="S21" s="20"/>
      <c r="T21" s="20">
        <f>SUM(OSRRefT22x_0)</f>
        <v>12272.04025</v>
      </c>
      <c r="U21" s="20"/>
      <c r="V21" s="32">
        <f t="shared" ref="V21:V30" si="19">IF(T$12=0,0,T21/T$12)</f>
        <v>5.1868301986475061</v>
      </c>
      <c r="W21" s="4"/>
      <c r="X21" s="20">
        <f t="shared" ref="X21:X30" si="20">+P21-T21</f>
        <v>-11509.04025</v>
      </c>
      <c r="Y21" s="4"/>
      <c r="Z21" s="32">
        <f t="shared" ref="Z21:Z30" si="21">IF(T21=0,0,X21/T21)</f>
        <v>-0.93782614916048701</v>
      </c>
    </row>
    <row r="22" spans="1:26" s="27" customFormat="1" outlineLevel="1" collapsed="1" x14ac:dyDescent="0.3">
      <c r="A22" s="28"/>
      <c r="B22" s="14" t="str">
        <f>CONCATENATE("     ","*Benefits                                         ")</f>
        <v xml:space="preserve">     *Benefits                                         </v>
      </c>
      <c r="C22" s="14"/>
      <c r="D22" s="1">
        <f>SUM(OSRRefD22_0x_0)</f>
        <v>0</v>
      </c>
      <c r="E22" s="1"/>
      <c r="F22" s="5">
        <f t="shared" si="14"/>
        <v>0</v>
      </c>
      <c r="G22" s="1"/>
      <c r="H22" s="1">
        <f>SUM(OSRRefH22_0x_0)</f>
        <v>1312.04025</v>
      </c>
      <c r="I22" s="1"/>
      <c r="J22" s="5">
        <f t="shared" si="15"/>
        <v>0.55453941251056638</v>
      </c>
      <c r="K22" s="1"/>
      <c r="L22" s="1">
        <f t="shared" si="16"/>
        <v>-1312.04025</v>
      </c>
      <c r="M22" s="1"/>
      <c r="N22" s="5">
        <f t="shared" si="17"/>
        <v>-1</v>
      </c>
      <c r="O22" s="14"/>
      <c r="P22" s="1">
        <f>SUM(OSRRefP22_0x_0)</f>
        <v>0</v>
      </c>
      <c r="Q22" s="1"/>
      <c r="R22" s="5">
        <f t="shared" si="18"/>
        <v>0</v>
      </c>
      <c r="S22" s="1"/>
      <c r="T22" s="1">
        <f>SUM(OSRRefT22_0x_0)</f>
        <v>1312.04025</v>
      </c>
      <c r="U22" s="1"/>
      <c r="V22" s="5">
        <f t="shared" si="19"/>
        <v>0.55453941251056638</v>
      </c>
      <c r="W22" s="1"/>
      <c r="X22" s="1">
        <f t="shared" si="20"/>
        <v>-1312.04025</v>
      </c>
      <c r="Y22" s="1"/>
      <c r="Z22" s="5">
        <f t="shared" si="21"/>
        <v>-1</v>
      </c>
    </row>
    <row r="23" spans="1:26" s="24" customFormat="1" hidden="1" outlineLevel="2" x14ac:dyDescent="0.3">
      <c r="A23" s="29"/>
      <c r="B23" s="11" t="str">
        <f>CONCATENATE("          ", "6111", " - ", "F.I.C.A.")</f>
        <v xml:space="preserve">          6111 - F.I.C.A.</v>
      </c>
      <c r="C23" s="11"/>
      <c r="D23" s="8"/>
      <c r="E23" s="3"/>
      <c r="F23" s="7">
        <f t="shared" si="14"/>
        <v>0</v>
      </c>
      <c r="G23" s="3"/>
      <c r="H23" s="8">
        <v>778.69275000000005</v>
      </c>
      <c r="I23" s="3"/>
      <c r="J23" s="7">
        <f t="shared" si="15"/>
        <v>0.3291178148774303</v>
      </c>
      <c r="K23" s="3"/>
      <c r="L23" s="8">
        <f t="shared" si="16"/>
        <v>-778.69275000000005</v>
      </c>
      <c r="M23" s="3"/>
      <c r="N23" s="7">
        <f t="shared" si="17"/>
        <v>-1</v>
      </c>
      <c r="O23" s="11"/>
      <c r="P23" s="8"/>
      <c r="Q23" s="3"/>
      <c r="R23" s="7">
        <f t="shared" si="18"/>
        <v>0</v>
      </c>
      <c r="S23" s="3"/>
      <c r="T23" s="8">
        <v>778.69275000000005</v>
      </c>
      <c r="U23" s="3"/>
      <c r="V23" s="7">
        <f t="shared" si="19"/>
        <v>0.3291178148774303</v>
      </c>
      <c r="W23" s="3"/>
      <c r="X23" s="8">
        <f t="shared" si="20"/>
        <v>-778.69275000000005</v>
      </c>
      <c r="Y23" s="3"/>
      <c r="Z23" s="7">
        <f t="shared" si="21"/>
        <v>-1</v>
      </c>
    </row>
    <row r="24" spans="1:26" s="24" customFormat="1" hidden="1" outlineLevel="2" x14ac:dyDescent="0.3">
      <c r="A24" s="29"/>
      <c r="B24" s="11" t="str">
        <f>CONCATENATE("          ", "6112", " - ", "COMPENSATION INSURANCE")</f>
        <v xml:space="preserve">          6112 - COMPENSATION INSURANCE</v>
      </c>
      <c r="C24" s="11"/>
      <c r="D24" s="8"/>
      <c r="E24" s="3"/>
      <c r="F24" s="7">
        <f t="shared" si="14"/>
        <v>0</v>
      </c>
      <c r="G24" s="3"/>
      <c r="H24" s="8">
        <v>158.72999999999999</v>
      </c>
      <c r="I24" s="3"/>
      <c r="J24" s="7">
        <f t="shared" si="15"/>
        <v>6.708791208791208E-2</v>
      </c>
      <c r="K24" s="3"/>
      <c r="L24" s="8">
        <f t="shared" si="16"/>
        <v>-158.72999999999999</v>
      </c>
      <c r="M24" s="3"/>
      <c r="N24" s="7">
        <f t="shared" si="17"/>
        <v>-1</v>
      </c>
      <c r="O24" s="11"/>
      <c r="P24" s="8"/>
      <c r="Q24" s="3"/>
      <c r="R24" s="7">
        <f t="shared" si="18"/>
        <v>0</v>
      </c>
      <c r="S24" s="3"/>
      <c r="T24" s="8">
        <v>158.72999999999999</v>
      </c>
      <c r="U24" s="3"/>
      <c r="V24" s="7">
        <f t="shared" si="19"/>
        <v>6.708791208791208E-2</v>
      </c>
      <c r="W24" s="3"/>
      <c r="X24" s="8">
        <f t="shared" si="20"/>
        <v>-158.72999999999999</v>
      </c>
      <c r="Y24" s="3"/>
      <c r="Z24" s="7">
        <f t="shared" si="21"/>
        <v>-1</v>
      </c>
    </row>
    <row r="25" spans="1:26" s="24" customFormat="1" hidden="1" outlineLevel="2" x14ac:dyDescent="0.3">
      <c r="A25" s="29"/>
      <c r="B25" s="11" t="str">
        <f>CONCATENATE("          ", "6113", " - ", "GROUP INSURANCE")</f>
        <v xml:space="preserve">          6113 - GROUP INSURANCE</v>
      </c>
      <c r="C25" s="11"/>
      <c r="D25" s="8"/>
      <c r="E25" s="3"/>
      <c r="F25" s="7">
        <f t="shared" si="14"/>
        <v>0</v>
      </c>
      <c r="G25" s="3"/>
      <c r="H25" s="8">
        <v>0</v>
      </c>
      <c r="I25" s="3"/>
      <c r="J25" s="7">
        <f t="shared" si="15"/>
        <v>0</v>
      </c>
      <c r="K25" s="3"/>
      <c r="L25" s="8">
        <f t="shared" si="16"/>
        <v>0</v>
      </c>
      <c r="M25" s="3"/>
      <c r="N25" s="7">
        <f t="shared" si="17"/>
        <v>0</v>
      </c>
      <c r="O25" s="11"/>
      <c r="P25" s="8"/>
      <c r="Q25" s="3"/>
      <c r="R25" s="7">
        <f t="shared" si="18"/>
        <v>0</v>
      </c>
      <c r="S25" s="3"/>
      <c r="T25" s="8">
        <v>0</v>
      </c>
      <c r="U25" s="3"/>
      <c r="V25" s="7">
        <f t="shared" si="19"/>
        <v>0</v>
      </c>
      <c r="W25" s="3"/>
      <c r="X25" s="8">
        <f t="shared" si="20"/>
        <v>0</v>
      </c>
      <c r="Y25" s="3"/>
      <c r="Z25" s="7">
        <f t="shared" si="21"/>
        <v>0</v>
      </c>
    </row>
    <row r="26" spans="1:26" s="24" customFormat="1" hidden="1" outlineLevel="2" x14ac:dyDescent="0.3">
      <c r="A26" s="29"/>
      <c r="B26" s="11" t="str">
        <f>CONCATENATE("          ", "6114", " - ", "STATE UNEMPLOYMENT INSURANCE")</f>
        <v xml:space="preserve">          6114 - STATE UNEMPLOYMENT INSURANCE</v>
      </c>
      <c r="C26" s="11"/>
      <c r="D26" s="8"/>
      <c r="E26" s="3"/>
      <c r="F26" s="7">
        <f t="shared" si="14"/>
        <v>0</v>
      </c>
      <c r="G26" s="3"/>
      <c r="H26" s="8">
        <v>21.3675</v>
      </c>
      <c r="I26" s="3"/>
      <c r="J26" s="7">
        <f t="shared" si="15"/>
        <v>9.0310650887573968E-3</v>
      </c>
      <c r="K26" s="3"/>
      <c r="L26" s="8">
        <f t="shared" si="16"/>
        <v>-21.3675</v>
      </c>
      <c r="M26" s="3"/>
      <c r="N26" s="7">
        <f t="shared" si="17"/>
        <v>-1</v>
      </c>
      <c r="O26" s="11"/>
      <c r="P26" s="8"/>
      <c r="Q26" s="3"/>
      <c r="R26" s="7">
        <f t="shared" si="18"/>
        <v>0</v>
      </c>
      <c r="S26" s="3"/>
      <c r="T26" s="8">
        <v>21.3675</v>
      </c>
      <c r="U26" s="3"/>
      <c r="V26" s="7">
        <f t="shared" si="19"/>
        <v>9.0310650887573968E-3</v>
      </c>
      <c r="W26" s="3"/>
      <c r="X26" s="8">
        <f t="shared" si="20"/>
        <v>-21.3675</v>
      </c>
      <c r="Y26" s="3"/>
      <c r="Z26" s="7">
        <f t="shared" si="21"/>
        <v>-1</v>
      </c>
    </row>
    <row r="27" spans="1:26" s="24" customFormat="1" hidden="1" outlineLevel="2" x14ac:dyDescent="0.3">
      <c r="A27" s="29"/>
      <c r="B27" s="11" t="str">
        <f>CONCATENATE("          ", "6115", " - ", "P.E.R.S.")</f>
        <v xml:space="preserve">          6115 - P.E.R.S.</v>
      </c>
      <c r="C27" s="11"/>
      <c r="D27" s="8"/>
      <c r="E27" s="3"/>
      <c r="F27" s="7">
        <f t="shared" si="14"/>
        <v>0</v>
      </c>
      <c r="G27" s="3"/>
      <c r="H27" s="8">
        <v>0</v>
      </c>
      <c r="I27" s="3"/>
      <c r="J27" s="7">
        <f t="shared" si="15"/>
        <v>0</v>
      </c>
      <c r="K27" s="3"/>
      <c r="L27" s="8">
        <f t="shared" si="16"/>
        <v>0</v>
      </c>
      <c r="M27" s="3"/>
      <c r="N27" s="7">
        <f t="shared" si="17"/>
        <v>0</v>
      </c>
      <c r="O27" s="11"/>
      <c r="P27" s="8"/>
      <c r="Q27" s="3"/>
      <c r="R27" s="7">
        <f t="shared" si="18"/>
        <v>0</v>
      </c>
      <c r="S27" s="3"/>
      <c r="T27" s="8">
        <v>0</v>
      </c>
      <c r="U27" s="3"/>
      <c r="V27" s="7">
        <f t="shared" si="19"/>
        <v>0</v>
      </c>
      <c r="W27" s="3"/>
      <c r="X27" s="8">
        <f t="shared" si="20"/>
        <v>0</v>
      </c>
      <c r="Y27" s="3"/>
      <c r="Z27" s="7">
        <f t="shared" si="21"/>
        <v>0</v>
      </c>
    </row>
    <row r="28" spans="1:26" s="24" customFormat="1" hidden="1" outlineLevel="2" x14ac:dyDescent="0.3">
      <c r="A28" s="29"/>
      <c r="B28" s="11" t="str">
        <f>CONCATENATE("          ", "6116", " - ", "EDUCATIONAL BENEFITS")</f>
        <v xml:space="preserve">          6116 - EDUCATIONAL BENEFITS</v>
      </c>
      <c r="C28" s="11"/>
      <c r="D28" s="8"/>
      <c r="E28" s="3"/>
      <c r="F28" s="7">
        <f t="shared" si="14"/>
        <v>0</v>
      </c>
      <c r="G28" s="3"/>
      <c r="H28" s="8">
        <v>0</v>
      </c>
      <c r="I28" s="3"/>
      <c r="J28" s="7">
        <f t="shared" si="15"/>
        <v>0</v>
      </c>
      <c r="K28" s="3"/>
      <c r="L28" s="8">
        <f t="shared" si="16"/>
        <v>0</v>
      </c>
      <c r="M28" s="3"/>
      <c r="N28" s="7">
        <f t="shared" si="17"/>
        <v>0</v>
      </c>
      <c r="O28" s="11"/>
      <c r="P28" s="8"/>
      <c r="Q28" s="3"/>
      <c r="R28" s="7">
        <f t="shared" si="18"/>
        <v>0</v>
      </c>
      <c r="S28" s="3"/>
      <c r="T28" s="8">
        <v>0</v>
      </c>
      <c r="U28" s="3"/>
      <c r="V28" s="7">
        <f t="shared" si="19"/>
        <v>0</v>
      </c>
      <c r="W28" s="3"/>
      <c r="X28" s="8">
        <f t="shared" si="20"/>
        <v>0</v>
      </c>
      <c r="Y28" s="3"/>
      <c r="Z28" s="7">
        <f t="shared" si="21"/>
        <v>0</v>
      </c>
    </row>
    <row r="29" spans="1:26" s="24" customFormat="1" hidden="1" outlineLevel="2" x14ac:dyDescent="0.3">
      <c r="A29" s="29"/>
      <c r="B29" s="11" t="str">
        <f>CONCATENATE("          ", "6118", " - ", "VACATION")</f>
        <v xml:space="preserve">          6118 - VACATION</v>
      </c>
      <c r="C29" s="11"/>
      <c r="D29" s="8"/>
      <c r="E29" s="3"/>
      <c r="F29" s="7">
        <f t="shared" si="14"/>
        <v>0</v>
      </c>
      <c r="G29" s="3"/>
      <c r="H29" s="8">
        <v>0</v>
      </c>
      <c r="I29" s="3"/>
      <c r="J29" s="7">
        <f t="shared" si="15"/>
        <v>0</v>
      </c>
      <c r="K29" s="3"/>
      <c r="L29" s="8">
        <f t="shared" si="16"/>
        <v>0</v>
      </c>
      <c r="M29" s="3"/>
      <c r="N29" s="7">
        <f t="shared" si="17"/>
        <v>0</v>
      </c>
      <c r="O29" s="11"/>
      <c r="P29" s="8"/>
      <c r="Q29" s="3"/>
      <c r="R29" s="7">
        <f t="shared" si="18"/>
        <v>0</v>
      </c>
      <c r="S29" s="3"/>
      <c r="T29" s="8">
        <v>0</v>
      </c>
      <c r="U29" s="3"/>
      <c r="V29" s="7">
        <f t="shared" si="19"/>
        <v>0</v>
      </c>
      <c r="W29" s="3"/>
      <c r="X29" s="8">
        <f t="shared" si="20"/>
        <v>0</v>
      </c>
      <c r="Y29" s="3"/>
      <c r="Z29" s="7">
        <f t="shared" si="21"/>
        <v>0</v>
      </c>
    </row>
    <row r="30" spans="1:26" s="24" customFormat="1" hidden="1" outlineLevel="2" x14ac:dyDescent="0.3">
      <c r="A30" s="29"/>
      <c r="B30" s="11" t="str">
        <f>CONCATENATE("          ", "6119", " - ", "SICK LEAVE")</f>
        <v xml:space="preserve">          6119 - SICK LEAVE</v>
      </c>
      <c r="C30" s="11"/>
      <c r="D30" s="8"/>
      <c r="E30" s="3"/>
      <c r="F30" s="7">
        <f t="shared" si="14"/>
        <v>0</v>
      </c>
      <c r="G30" s="3"/>
      <c r="H30" s="8">
        <v>353.25</v>
      </c>
      <c r="I30" s="3"/>
      <c r="J30" s="7">
        <f t="shared" si="15"/>
        <v>0.14930262045646661</v>
      </c>
      <c r="K30" s="3"/>
      <c r="L30" s="8">
        <f t="shared" si="16"/>
        <v>-353.25</v>
      </c>
      <c r="M30" s="3"/>
      <c r="N30" s="7">
        <f t="shared" si="17"/>
        <v>-1</v>
      </c>
      <c r="O30" s="11"/>
      <c r="P30" s="8"/>
      <c r="Q30" s="3"/>
      <c r="R30" s="7">
        <f t="shared" si="18"/>
        <v>0</v>
      </c>
      <c r="S30" s="3"/>
      <c r="T30" s="8">
        <v>353.25</v>
      </c>
      <c r="U30" s="3"/>
      <c r="V30" s="7">
        <f t="shared" si="19"/>
        <v>0.14930262045646661</v>
      </c>
      <c r="W30" s="3"/>
      <c r="X30" s="8">
        <f t="shared" si="20"/>
        <v>-353.25</v>
      </c>
      <c r="Y30" s="3"/>
      <c r="Z30" s="7">
        <f t="shared" si="21"/>
        <v>-1</v>
      </c>
    </row>
    <row r="31" spans="1:26" s="27" customFormat="1" outlineLevel="1" collapsed="1" x14ac:dyDescent="0.3">
      <c r="A31" s="28"/>
      <c r="B31" s="14" t="str">
        <f>CONCATENATE("     ","*Payroll                                          ")</f>
        <v xml:space="preserve">     *Payroll                                          </v>
      </c>
      <c r="C31" s="14"/>
      <c r="D31" s="1">
        <f>SUM(OSRRefD22_1x_0)</f>
        <v>0</v>
      </c>
      <c r="E31" s="1"/>
      <c r="F31" s="5">
        <f t="shared" ref="F31:F41" si="22">IF(D$12=0,0,D31/D$12)</f>
        <v>0</v>
      </c>
      <c r="G31" s="1"/>
      <c r="H31" s="1">
        <f>SUM(OSRRefH22_1x_0)</f>
        <v>10055</v>
      </c>
      <c r="I31" s="1"/>
      <c r="J31" s="5">
        <f t="shared" ref="J31:J41" si="23">IF(H$12=0,0,H31/H$12)</f>
        <v>4.2497886728655958</v>
      </c>
      <c r="K31" s="1"/>
      <c r="L31" s="1">
        <f t="shared" ref="L31:L41" si="24">+D31-H31</f>
        <v>-10055</v>
      </c>
      <c r="M31" s="1"/>
      <c r="N31" s="5">
        <f t="shared" ref="N31:N41" si="25">IF(H31=0,0,L31/H31)</f>
        <v>-1</v>
      </c>
      <c r="O31" s="14"/>
      <c r="P31" s="1">
        <f>SUM(OSRRefP22_1x_0)</f>
        <v>0</v>
      </c>
      <c r="Q31" s="1"/>
      <c r="R31" s="5">
        <f t="shared" ref="R31:R41" si="26">IF(P$12=0,0,P31/P$12)</f>
        <v>0</v>
      </c>
      <c r="S31" s="1"/>
      <c r="T31" s="1">
        <f>SUM(OSRRefT22_1x_0)</f>
        <v>10055</v>
      </c>
      <c r="U31" s="1"/>
      <c r="V31" s="5">
        <f t="shared" ref="V31:V41" si="27">IF(T$12=0,0,T31/T$12)</f>
        <v>4.2497886728655958</v>
      </c>
      <c r="W31" s="1"/>
      <c r="X31" s="1">
        <f t="shared" ref="X31:X41" si="28">+P31-T31</f>
        <v>-10055</v>
      </c>
      <c r="Y31" s="1"/>
      <c r="Z31" s="5">
        <f t="shared" ref="Z31:Z41" si="29">IF(T31=0,0,X31/T31)</f>
        <v>-1</v>
      </c>
    </row>
    <row r="32" spans="1:26" s="24" customFormat="1" hidden="1" outlineLevel="2" x14ac:dyDescent="0.3">
      <c r="A32" s="29"/>
      <c r="B32" s="11" t="str">
        <f>CONCATENATE("          ", "6001", " - ", "ADMINISTRATIVE SALARIES")</f>
        <v xml:space="preserve">          6001 - ADMINISTRATIVE SALARIES</v>
      </c>
      <c r="C32" s="11"/>
      <c r="D32" s="8"/>
      <c r="E32" s="3"/>
      <c r="F32" s="7">
        <f t="shared" si="22"/>
        <v>0</v>
      </c>
      <c r="G32" s="3"/>
      <c r="H32" s="8">
        <v>0</v>
      </c>
      <c r="I32" s="3"/>
      <c r="J32" s="7">
        <f t="shared" si="23"/>
        <v>0</v>
      </c>
      <c r="K32" s="3"/>
      <c r="L32" s="8">
        <f t="shared" si="24"/>
        <v>0</v>
      </c>
      <c r="M32" s="3"/>
      <c r="N32" s="7">
        <f t="shared" si="25"/>
        <v>0</v>
      </c>
      <c r="O32" s="11"/>
      <c r="P32" s="8"/>
      <c r="Q32" s="3"/>
      <c r="R32" s="7">
        <f t="shared" si="26"/>
        <v>0</v>
      </c>
      <c r="S32" s="3"/>
      <c r="T32" s="8">
        <v>0</v>
      </c>
      <c r="U32" s="3"/>
      <c r="V32" s="7">
        <f t="shared" si="27"/>
        <v>0</v>
      </c>
      <c r="W32" s="3"/>
      <c r="X32" s="8">
        <f t="shared" si="28"/>
        <v>0</v>
      </c>
      <c r="Y32" s="3"/>
      <c r="Z32" s="7">
        <f t="shared" si="29"/>
        <v>0</v>
      </c>
    </row>
    <row r="33" spans="1:26" s="24" customFormat="1" hidden="1" outlineLevel="2" x14ac:dyDescent="0.3">
      <c r="A33" s="29"/>
      <c r="B33" s="11" t="str">
        <f>CONCATENATE("          ", "6002", " - ", "STAFF SALARIES")</f>
        <v xml:space="preserve">          6002 - STAFF SALARIES</v>
      </c>
      <c r="C33" s="11"/>
      <c r="D33" s="8"/>
      <c r="E33" s="3"/>
      <c r="F33" s="7">
        <f t="shared" si="22"/>
        <v>0</v>
      </c>
      <c r="G33" s="3"/>
      <c r="H33" s="8">
        <v>0</v>
      </c>
      <c r="I33" s="3"/>
      <c r="J33" s="7">
        <f t="shared" si="23"/>
        <v>0</v>
      </c>
      <c r="K33" s="3"/>
      <c r="L33" s="8">
        <f t="shared" si="24"/>
        <v>0</v>
      </c>
      <c r="M33" s="3"/>
      <c r="N33" s="7">
        <f t="shared" si="25"/>
        <v>0</v>
      </c>
      <c r="O33" s="11"/>
      <c r="P33" s="8"/>
      <c r="Q33" s="3"/>
      <c r="R33" s="7">
        <f t="shared" si="26"/>
        <v>0</v>
      </c>
      <c r="S33" s="3"/>
      <c r="T33" s="8">
        <v>0</v>
      </c>
      <c r="U33" s="3"/>
      <c r="V33" s="7">
        <f t="shared" si="27"/>
        <v>0</v>
      </c>
      <c r="W33" s="3"/>
      <c r="X33" s="8">
        <f t="shared" si="28"/>
        <v>0</v>
      </c>
      <c r="Y33" s="3"/>
      <c r="Z33" s="7">
        <f t="shared" si="29"/>
        <v>0</v>
      </c>
    </row>
    <row r="34" spans="1:26" s="24" customFormat="1" hidden="1" outlineLevel="2" x14ac:dyDescent="0.3">
      <c r="A34" s="29"/>
      <c r="B34" s="11" t="str">
        <f>CONCATENATE("          ", "6003", " - ", "STAFF HOURLY-9 MONTH")</f>
        <v xml:space="preserve">          6003 - STAFF HOURLY-9 MONTH</v>
      </c>
      <c r="C34" s="11"/>
      <c r="D34" s="8"/>
      <c r="E34" s="3"/>
      <c r="F34" s="7">
        <f t="shared" si="22"/>
        <v>0</v>
      </c>
      <c r="G34" s="3"/>
      <c r="H34" s="8">
        <v>0</v>
      </c>
      <c r="I34" s="3"/>
      <c r="J34" s="7">
        <f t="shared" si="23"/>
        <v>0</v>
      </c>
      <c r="K34" s="3"/>
      <c r="L34" s="8">
        <f t="shared" si="24"/>
        <v>0</v>
      </c>
      <c r="M34" s="3"/>
      <c r="N34" s="7">
        <f t="shared" si="25"/>
        <v>0</v>
      </c>
      <c r="O34" s="11"/>
      <c r="P34" s="8"/>
      <c r="Q34" s="3"/>
      <c r="R34" s="7">
        <f t="shared" si="26"/>
        <v>0</v>
      </c>
      <c r="S34" s="3"/>
      <c r="T34" s="8">
        <v>0</v>
      </c>
      <c r="U34" s="3"/>
      <c r="V34" s="7">
        <f t="shared" si="27"/>
        <v>0</v>
      </c>
      <c r="W34" s="3"/>
      <c r="X34" s="8">
        <f t="shared" si="28"/>
        <v>0</v>
      </c>
      <c r="Y34" s="3"/>
      <c r="Z34" s="7">
        <f t="shared" si="29"/>
        <v>0</v>
      </c>
    </row>
    <row r="35" spans="1:26" s="24" customFormat="1" hidden="1" outlineLevel="2" x14ac:dyDescent="0.3">
      <c r="A35" s="29"/>
      <c r="B35" s="11" t="str">
        <f>CONCATENATE("          ", "6004", " - ", "STAFF HOURLY")</f>
        <v xml:space="preserve">          6004 - STAFF HOURLY</v>
      </c>
      <c r="C35" s="11"/>
      <c r="D35" s="8"/>
      <c r="E35" s="3"/>
      <c r="F35" s="7">
        <f t="shared" si="22"/>
        <v>0</v>
      </c>
      <c r="G35" s="3"/>
      <c r="H35" s="8">
        <v>2280</v>
      </c>
      <c r="I35" s="3"/>
      <c r="J35" s="7">
        <f t="shared" si="23"/>
        <v>0.96365173288250217</v>
      </c>
      <c r="K35" s="3"/>
      <c r="L35" s="8">
        <f t="shared" si="24"/>
        <v>-2280</v>
      </c>
      <c r="M35" s="3"/>
      <c r="N35" s="7">
        <f t="shared" si="25"/>
        <v>-1</v>
      </c>
      <c r="O35" s="11"/>
      <c r="P35" s="8"/>
      <c r="Q35" s="3"/>
      <c r="R35" s="7">
        <f t="shared" si="26"/>
        <v>0</v>
      </c>
      <c r="S35" s="3"/>
      <c r="T35" s="8">
        <v>2280</v>
      </c>
      <c r="U35" s="3"/>
      <c r="V35" s="7">
        <f t="shared" si="27"/>
        <v>0.96365173288250217</v>
      </c>
      <c r="W35" s="3"/>
      <c r="X35" s="8">
        <f t="shared" si="28"/>
        <v>-2280</v>
      </c>
      <c r="Y35" s="3"/>
      <c r="Z35" s="7">
        <f t="shared" si="29"/>
        <v>-1</v>
      </c>
    </row>
    <row r="36" spans="1:26" s="24" customFormat="1" hidden="1" outlineLevel="2" x14ac:dyDescent="0.3">
      <c r="A36" s="29"/>
      <c r="B36" s="11" t="str">
        <f>CONCATENATE("          ", "6005", " - ", "TEMPORARY WAGES-HOURLY")</f>
        <v xml:space="preserve">          6005 - TEMPORARY WAGES-HOURLY</v>
      </c>
      <c r="C36" s="11"/>
      <c r="D36" s="8"/>
      <c r="E36" s="3"/>
      <c r="F36" s="7">
        <f t="shared" si="22"/>
        <v>0</v>
      </c>
      <c r="G36" s="3"/>
      <c r="H36" s="8">
        <v>0</v>
      </c>
      <c r="I36" s="3"/>
      <c r="J36" s="7">
        <f t="shared" si="23"/>
        <v>0</v>
      </c>
      <c r="K36" s="3"/>
      <c r="L36" s="8">
        <f t="shared" si="24"/>
        <v>0</v>
      </c>
      <c r="M36" s="3"/>
      <c r="N36" s="7">
        <f t="shared" si="25"/>
        <v>0</v>
      </c>
      <c r="O36" s="11"/>
      <c r="P36" s="8"/>
      <c r="Q36" s="3"/>
      <c r="R36" s="7">
        <f t="shared" si="26"/>
        <v>0</v>
      </c>
      <c r="S36" s="3"/>
      <c r="T36" s="8">
        <v>0</v>
      </c>
      <c r="U36" s="3"/>
      <c r="V36" s="7">
        <f t="shared" si="27"/>
        <v>0</v>
      </c>
      <c r="W36" s="3"/>
      <c r="X36" s="8">
        <f t="shared" si="28"/>
        <v>0</v>
      </c>
      <c r="Y36" s="3"/>
      <c r="Z36" s="7">
        <f t="shared" si="29"/>
        <v>0</v>
      </c>
    </row>
    <row r="37" spans="1:26" s="24" customFormat="1" hidden="1" outlineLevel="2" x14ac:dyDescent="0.3">
      <c r="A37" s="29"/>
      <c r="B37" s="11" t="str">
        <f>CONCATENATE("          ", "6006", " - ", "TEMPORARY PART TIME")</f>
        <v xml:space="preserve">          6006 - TEMPORARY PART TIME</v>
      </c>
      <c r="C37" s="11"/>
      <c r="D37" s="8"/>
      <c r="E37" s="3"/>
      <c r="F37" s="7">
        <f t="shared" si="22"/>
        <v>0</v>
      </c>
      <c r="G37" s="3"/>
      <c r="H37" s="8">
        <v>0</v>
      </c>
      <c r="I37" s="3"/>
      <c r="J37" s="7">
        <f t="shared" si="23"/>
        <v>0</v>
      </c>
      <c r="K37" s="3"/>
      <c r="L37" s="8">
        <f t="shared" si="24"/>
        <v>0</v>
      </c>
      <c r="M37" s="3"/>
      <c r="N37" s="7">
        <f t="shared" si="25"/>
        <v>0</v>
      </c>
      <c r="O37" s="11"/>
      <c r="P37" s="8"/>
      <c r="Q37" s="3"/>
      <c r="R37" s="7">
        <f t="shared" si="26"/>
        <v>0</v>
      </c>
      <c r="S37" s="3"/>
      <c r="T37" s="8">
        <v>0</v>
      </c>
      <c r="U37" s="3"/>
      <c r="V37" s="7">
        <f t="shared" si="27"/>
        <v>0</v>
      </c>
      <c r="W37" s="3"/>
      <c r="X37" s="8">
        <f t="shared" si="28"/>
        <v>0</v>
      </c>
      <c r="Y37" s="3"/>
      <c r="Z37" s="7">
        <f t="shared" si="29"/>
        <v>0</v>
      </c>
    </row>
    <row r="38" spans="1:26" s="24" customFormat="1" hidden="1" outlineLevel="2" x14ac:dyDescent="0.3">
      <c r="A38" s="29"/>
      <c r="B38" s="11" t="str">
        <f>CONCATENATE("          ", "6007", " - ", "STUDENT HOURLY")</f>
        <v xml:space="preserve">          6007 - STUDENT HOURLY</v>
      </c>
      <c r="C38" s="11"/>
      <c r="D38" s="8"/>
      <c r="E38" s="3"/>
      <c r="F38" s="7">
        <f t="shared" si="22"/>
        <v>0</v>
      </c>
      <c r="G38" s="3"/>
      <c r="H38" s="8">
        <v>7775</v>
      </c>
      <c r="I38" s="3"/>
      <c r="J38" s="7">
        <f t="shared" si="23"/>
        <v>3.286136939983094</v>
      </c>
      <c r="K38" s="3"/>
      <c r="L38" s="8">
        <f t="shared" si="24"/>
        <v>-7775</v>
      </c>
      <c r="M38" s="3"/>
      <c r="N38" s="7">
        <f t="shared" si="25"/>
        <v>-1</v>
      </c>
      <c r="O38" s="11"/>
      <c r="P38" s="8"/>
      <c r="Q38" s="3"/>
      <c r="R38" s="7">
        <f t="shared" si="26"/>
        <v>0</v>
      </c>
      <c r="S38" s="3"/>
      <c r="T38" s="8">
        <v>7775</v>
      </c>
      <c r="U38" s="3"/>
      <c r="V38" s="7">
        <f t="shared" si="27"/>
        <v>3.286136939983094</v>
      </c>
      <c r="W38" s="3"/>
      <c r="X38" s="8">
        <f t="shared" si="28"/>
        <v>-7775</v>
      </c>
      <c r="Y38" s="3"/>
      <c r="Z38" s="7">
        <f t="shared" si="29"/>
        <v>-1</v>
      </c>
    </row>
    <row r="39" spans="1:26" s="24" customFormat="1" hidden="1" outlineLevel="2" x14ac:dyDescent="0.3">
      <c r="A39" s="29"/>
      <c r="B39" s="11" t="str">
        <f>CONCATENATE("          ", "6008", " - ", "STUDENT HOURLY-FICA EXEMPT")</f>
        <v xml:space="preserve">          6008 - STUDENT HOURLY-FICA EXEMPT</v>
      </c>
      <c r="C39" s="11"/>
      <c r="D39" s="8"/>
      <c r="E39" s="3"/>
      <c r="F39" s="7">
        <f t="shared" si="22"/>
        <v>0</v>
      </c>
      <c r="G39" s="3"/>
      <c r="H39" s="8">
        <v>0</v>
      </c>
      <c r="I39" s="3"/>
      <c r="J39" s="7">
        <f t="shared" si="23"/>
        <v>0</v>
      </c>
      <c r="K39" s="3"/>
      <c r="L39" s="8">
        <f t="shared" si="24"/>
        <v>0</v>
      </c>
      <c r="M39" s="3"/>
      <c r="N39" s="7">
        <f t="shared" si="25"/>
        <v>0</v>
      </c>
      <c r="O39" s="11"/>
      <c r="P39" s="8"/>
      <c r="Q39" s="3"/>
      <c r="R39" s="7">
        <f t="shared" si="26"/>
        <v>0</v>
      </c>
      <c r="S39" s="3"/>
      <c r="T39" s="8">
        <v>0</v>
      </c>
      <c r="U39" s="3"/>
      <c r="V39" s="7">
        <f t="shared" si="27"/>
        <v>0</v>
      </c>
      <c r="W39" s="3"/>
      <c r="X39" s="8">
        <f t="shared" si="28"/>
        <v>0</v>
      </c>
      <c r="Y39" s="3"/>
      <c r="Z39" s="7">
        <f t="shared" si="29"/>
        <v>0</v>
      </c>
    </row>
    <row r="40" spans="1:26" s="24" customFormat="1" hidden="1" outlineLevel="2" x14ac:dyDescent="0.3">
      <c r="A40" s="29"/>
      <c r="B40" s="11" t="str">
        <f>CONCATENATE("          ", "6009", " - ", "TEMPORARY-SEASONAL")</f>
        <v xml:space="preserve">          6009 - TEMPORARY-SEASONAL</v>
      </c>
      <c r="C40" s="11"/>
      <c r="D40" s="8"/>
      <c r="E40" s="3"/>
      <c r="F40" s="7">
        <f t="shared" si="22"/>
        <v>0</v>
      </c>
      <c r="G40" s="3"/>
      <c r="H40" s="8">
        <v>0</v>
      </c>
      <c r="I40" s="3"/>
      <c r="J40" s="7">
        <f t="shared" si="23"/>
        <v>0</v>
      </c>
      <c r="K40" s="3"/>
      <c r="L40" s="8">
        <f t="shared" si="24"/>
        <v>0</v>
      </c>
      <c r="M40" s="3"/>
      <c r="N40" s="7">
        <f t="shared" si="25"/>
        <v>0</v>
      </c>
      <c r="O40" s="11"/>
      <c r="P40" s="8"/>
      <c r="Q40" s="3"/>
      <c r="R40" s="7">
        <f t="shared" si="26"/>
        <v>0</v>
      </c>
      <c r="S40" s="3"/>
      <c r="T40" s="8">
        <v>0</v>
      </c>
      <c r="U40" s="3"/>
      <c r="V40" s="7">
        <f t="shared" si="27"/>
        <v>0</v>
      </c>
      <c r="W40" s="3"/>
      <c r="X40" s="8">
        <f t="shared" si="28"/>
        <v>0</v>
      </c>
      <c r="Y40" s="3"/>
      <c r="Z40" s="7">
        <f t="shared" si="29"/>
        <v>0</v>
      </c>
    </row>
    <row r="41" spans="1:26" s="24" customFormat="1" hidden="1" outlineLevel="2" x14ac:dyDescent="0.3">
      <c r="A41" s="29"/>
      <c r="B41" s="11" t="str">
        <f>CONCATENATE("          ", "6010", " - ", "GRATUITY")</f>
        <v xml:space="preserve">          6010 - GRATUITY</v>
      </c>
      <c r="C41" s="11"/>
      <c r="D41" s="8"/>
      <c r="E41" s="3"/>
      <c r="F41" s="7">
        <f t="shared" si="22"/>
        <v>0</v>
      </c>
      <c r="G41" s="3"/>
      <c r="H41" s="8">
        <v>0</v>
      </c>
      <c r="I41" s="3"/>
      <c r="J41" s="7">
        <f t="shared" si="23"/>
        <v>0</v>
      </c>
      <c r="K41" s="3"/>
      <c r="L41" s="8">
        <f t="shared" si="24"/>
        <v>0</v>
      </c>
      <c r="M41" s="3"/>
      <c r="N41" s="7">
        <f t="shared" si="25"/>
        <v>0</v>
      </c>
      <c r="O41" s="11"/>
      <c r="P41" s="8"/>
      <c r="Q41" s="3"/>
      <c r="R41" s="7">
        <f t="shared" si="26"/>
        <v>0</v>
      </c>
      <c r="S41" s="3"/>
      <c r="T41" s="8">
        <v>0</v>
      </c>
      <c r="U41" s="3"/>
      <c r="V41" s="7">
        <f t="shared" si="27"/>
        <v>0</v>
      </c>
      <c r="W41" s="3"/>
      <c r="X41" s="8">
        <f t="shared" si="28"/>
        <v>0</v>
      </c>
      <c r="Y41" s="3"/>
      <c r="Z41" s="7">
        <f t="shared" si="29"/>
        <v>0</v>
      </c>
    </row>
    <row r="42" spans="1:26" s="27" customFormat="1" outlineLevel="1" collapsed="1" x14ac:dyDescent="0.3">
      <c r="A42" s="28"/>
      <c r="B42" s="14" t="str">
        <f>CONCATENATE("     ","Advertising/Promo                                 ")</f>
        <v xml:space="preserve">     Advertising/Promo                                 </v>
      </c>
      <c r="C42" s="14"/>
      <c r="D42" s="1">
        <f>SUM(OSRRefD22_2x_0)</f>
        <v>100</v>
      </c>
      <c r="E42" s="1"/>
      <c r="F42" s="5">
        <f t="shared" ref="F42:F57" si="30">IF(D$12=0,0,D42/D$12)</f>
        <v>0</v>
      </c>
      <c r="G42" s="1"/>
      <c r="H42" s="1">
        <f>SUM(OSRRefH22_2x_0)</f>
        <v>50</v>
      </c>
      <c r="I42" s="1"/>
      <c r="J42" s="5">
        <f t="shared" ref="J42:J57" si="31">IF(H$12=0,0,H42/H$12)</f>
        <v>2.1132713440405747E-2</v>
      </c>
      <c r="K42" s="1"/>
      <c r="L42" s="1">
        <f t="shared" ref="L42:L57" si="32">+D42-H42</f>
        <v>50</v>
      </c>
      <c r="M42" s="1"/>
      <c r="N42" s="5">
        <f t="shared" ref="N42:N57" si="33">IF(H42=0,0,L42/H42)</f>
        <v>1</v>
      </c>
      <c r="O42" s="14"/>
      <c r="P42" s="1">
        <f>SUM(OSRRefP22_2x_0)</f>
        <v>100</v>
      </c>
      <c r="Q42" s="1"/>
      <c r="R42" s="5">
        <f t="shared" ref="R42:R57" si="34">IF(P$12=0,0,P42/P$12)</f>
        <v>0</v>
      </c>
      <c r="S42" s="1"/>
      <c r="T42" s="1">
        <f>SUM(OSRRefT22_2x_0)</f>
        <v>50</v>
      </c>
      <c r="U42" s="1"/>
      <c r="V42" s="5">
        <f t="shared" ref="V42:V57" si="35">IF(T$12=0,0,T42/T$12)</f>
        <v>2.1132713440405747E-2</v>
      </c>
      <c r="W42" s="1"/>
      <c r="X42" s="1">
        <f t="shared" ref="X42:X57" si="36">+P42-T42</f>
        <v>50</v>
      </c>
      <c r="Y42" s="1"/>
      <c r="Z42" s="5">
        <f t="shared" ref="Z42:Z57" si="37">IF(T42=0,0,X42/T42)</f>
        <v>1</v>
      </c>
    </row>
    <row r="43" spans="1:26" s="24" customFormat="1" hidden="1" outlineLevel="2" x14ac:dyDescent="0.3">
      <c r="A43" s="29"/>
      <c r="B43" s="11" t="str">
        <f>CONCATENATE("          ", "6362", " - ", "ADVERTISING EXPENSE")</f>
        <v xml:space="preserve">          6362 - ADVERTISING EXPENSE</v>
      </c>
      <c r="C43" s="11"/>
      <c r="D43" s="8">
        <v>100</v>
      </c>
      <c r="E43" s="3"/>
      <c r="F43" s="7">
        <f t="shared" si="30"/>
        <v>0</v>
      </c>
      <c r="G43" s="3"/>
      <c r="H43" s="8">
        <v>50</v>
      </c>
      <c r="I43" s="3"/>
      <c r="J43" s="7">
        <f t="shared" si="31"/>
        <v>2.1132713440405747E-2</v>
      </c>
      <c r="K43" s="3"/>
      <c r="L43" s="8">
        <f t="shared" si="32"/>
        <v>50</v>
      </c>
      <c r="M43" s="3"/>
      <c r="N43" s="7">
        <f t="shared" si="33"/>
        <v>1</v>
      </c>
      <c r="O43" s="11"/>
      <c r="P43" s="8">
        <v>100</v>
      </c>
      <c r="Q43" s="3"/>
      <c r="R43" s="7">
        <f t="shared" si="34"/>
        <v>0</v>
      </c>
      <c r="S43" s="3"/>
      <c r="T43" s="8">
        <v>50</v>
      </c>
      <c r="U43" s="3"/>
      <c r="V43" s="7">
        <f t="shared" si="35"/>
        <v>2.1132713440405747E-2</v>
      </c>
      <c r="W43" s="3"/>
      <c r="X43" s="8">
        <f t="shared" si="36"/>
        <v>50</v>
      </c>
      <c r="Y43" s="3"/>
      <c r="Z43" s="7">
        <f t="shared" si="37"/>
        <v>1</v>
      </c>
    </row>
    <row r="44" spans="1:26" s="27" customFormat="1" outlineLevel="1" collapsed="1" x14ac:dyDescent="0.3">
      <c r="A44" s="28"/>
      <c r="B44" s="14" t="str">
        <f>CONCATENATE("     ","Bad Debts/Over/Short                              ")</f>
        <v xml:space="preserve">     Bad Debts/Over/Short                              </v>
      </c>
      <c r="C44" s="14"/>
      <c r="D44" s="1">
        <f>SUM(OSRRefD22_3x_0)</f>
        <v>0</v>
      </c>
      <c r="E44" s="1"/>
      <c r="F44" s="5">
        <f t="shared" si="30"/>
        <v>0</v>
      </c>
      <c r="G44" s="1"/>
      <c r="H44" s="1">
        <f>SUM(OSRRefH22_3x_0)</f>
        <v>25</v>
      </c>
      <c r="I44" s="1"/>
      <c r="J44" s="5">
        <f t="shared" si="31"/>
        <v>1.0566356720202874E-2</v>
      </c>
      <c r="K44" s="1"/>
      <c r="L44" s="1">
        <f t="shared" si="32"/>
        <v>-25</v>
      </c>
      <c r="M44" s="1"/>
      <c r="N44" s="5">
        <f t="shared" si="33"/>
        <v>-1</v>
      </c>
      <c r="O44" s="14"/>
      <c r="P44" s="1">
        <f>SUM(OSRRefP22_3x_0)</f>
        <v>0</v>
      </c>
      <c r="Q44" s="1"/>
      <c r="R44" s="5">
        <f t="shared" si="34"/>
        <v>0</v>
      </c>
      <c r="S44" s="1"/>
      <c r="T44" s="1">
        <f>SUM(OSRRefT22_3x_0)</f>
        <v>25</v>
      </c>
      <c r="U44" s="1"/>
      <c r="V44" s="5">
        <f t="shared" si="35"/>
        <v>1.0566356720202874E-2</v>
      </c>
      <c r="W44" s="1"/>
      <c r="X44" s="1">
        <f t="shared" si="36"/>
        <v>-25</v>
      </c>
      <c r="Y44" s="1"/>
      <c r="Z44" s="5">
        <f t="shared" si="37"/>
        <v>-1</v>
      </c>
    </row>
    <row r="45" spans="1:26" s="24" customFormat="1" hidden="1" outlineLevel="2" x14ac:dyDescent="0.3">
      <c r="A45" s="29"/>
      <c r="B45" s="11" t="str">
        <f>CONCATENATE("          ", "6272", " - ", "CASH (OVER/SHORT)")</f>
        <v xml:space="preserve">          6272 - CASH (OVER/SHORT)</v>
      </c>
      <c r="C45" s="11"/>
      <c r="D45" s="8"/>
      <c r="E45" s="3"/>
      <c r="F45" s="7">
        <f t="shared" si="30"/>
        <v>0</v>
      </c>
      <c r="G45" s="3"/>
      <c r="H45" s="8">
        <v>25</v>
      </c>
      <c r="I45" s="3"/>
      <c r="J45" s="7">
        <f t="shared" si="31"/>
        <v>1.0566356720202874E-2</v>
      </c>
      <c r="K45" s="3"/>
      <c r="L45" s="8">
        <f t="shared" si="32"/>
        <v>-25</v>
      </c>
      <c r="M45" s="3"/>
      <c r="N45" s="7">
        <f t="shared" si="33"/>
        <v>-1</v>
      </c>
      <c r="O45" s="11"/>
      <c r="P45" s="8"/>
      <c r="Q45" s="3"/>
      <c r="R45" s="7">
        <f t="shared" si="34"/>
        <v>0</v>
      </c>
      <c r="S45" s="3"/>
      <c r="T45" s="8">
        <v>25</v>
      </c>
      <c r="U45" s="3"/>
      <c r="V45" s="7">
        <f t="shared" si="35"/>
        <v>1.0566356720202874E-2</v>
      </c>
      <c r="W45" s="3"/>
      <c r="X45" s="8">
        <f t="shared" si="36"/>
        <v>-25</v>
      </c>
      <c r="Y45" s="3"/>
      <c r="Z45" s="7">
        <f t="shared" si="37"/>
        <v>-1</v>
      </c>
    </row>
    <row r="46" spans="1:26" s="27" customFormat="1" outlineLevel="1" collapsed="1" x14ac:dyDescent="0.3">
      <c r="A46" s="28"/>
      <c r="B46" s="14" t="str">
        <f>CONCATENATE("     ","Bank/card Fees                                    ")</f>
        <v xml:space="preserve">     Bank/card Fees                                    </v>
      </c>
      <c r="C46" s="14"/>
      <c r="D46" s="1">
        <f>SUM(OSRRefD22_4x_0)</f>
        <v>0</v>
      </c>
      <c r="E46" s="1"/>
      <c r="F46" s="5">
        <f t="shared" si="30"/>
        <v>0</v>
      </c>
      <c r="G46" s="1"/>
      <c r="H46" s="1">
        <f>SUM(OSRRefH22_4x_0)</f>
        <v>45</v>
      </c>
      <c r="I46" s="1"/>
      <c r="J46" s="5">
        <f t="shared" si="31"/>
        <v>1.9019442096365174E-2</v>
      </c>
      <c r="K46" s="1"/>
      <c r="L46" s="1">
        <f t="shared" si="32"/>
        <v>-45</v>
      </c>
      <c r="M46" s="1"/>
      <c r="N46" s="5">
        <f t="shared" si="33"/>
        <v>-1</v>
      </c>
      <c r="O46" s="14"/>
      <c r="P46" s="1">
        <f>SUM(OSRRefP22_4x_0)</f>
        <v>0</v>
      </c>
      <c r="Q46" s="1"/>
      <c r="R46" s="5">
        <f t="shared" si="34"/>
        <v>0</v>
      </c>
      <c r="S46" s="1"/>
      <c r="T46" s="1">
        <f>SUM(OSRRefT22_4x_0)</f>
        <v>45</v>
      </c>
      <c r="U46" s="1"/>
      <c r="V46" s="5">
        <f t="shared" si="35"/>
        <v>1.9019442096365174E-2</v>
      </c>
      <c r="W46" s="1"/>
      <c r="X46" s="1">
        <f t="shared" si="36"/>
        <v>-45</v>
      </c>
      <c r="Y46" s="1"/>
      <c r="Z46" s="5">
        <f t="shared" si="37"/>
        <v>-1</v>
      </c>
    </row>
    <row r="47" spans="1:26" s="24" customFormat="1" hidden="1" outlineLevel="2" x14ac:dyDescent="0.3">
      <c r="A47" s="29"/>
      <c r="B47" s="11" t="str">
        <f>CONCATENATE("          ", "6381", " - ", "BANK/CREDIT CARD FEES")</f>
        <v xml:space="preserve">          6381 - BANK/CREDIT CARD FEES</v>
      </c>
      <c r="C47" s="11"/>
      <c r="D47" s="8"/>
      <c r="E47" s="3"/>
      <c r="F47" s="7">
        <f t="shared" si="30"/>
        <v>0</v>
      </c>
      <c r="G47" s="3"/>
      <c r="H47" s="8">
        <v>45</v>
      </c>
      <c r="I47" s="3"/>
      <c r="J47" s="7">
        <f t="shared" si="31"/>
        <v>1.9019442096365174E-2</v>
      </c>
      <c r="K47" s="3"/>
      <c r="L47" s="8">
        <f t="shared" si="32"/>
        <v>-45</v>
      </c>
      <c r="M47" s="3"/>
      <c r="N47" s="7">
        <f t="shared" si="33"/>
        <v>-1</v>
      </c>
      <c r="O47" s="11"/>
      <c r="P47" s="8"/>
      <c r="Q47" s="3"/>
      <c r="R47" s="7">
        <f t="shared" si="34"/>
        <v>0</v>
      </c>
      <c r="S47" s="3"/>
      <c r="T47" s="8">
        <v>45</v>
      </c>
      <c r="U47" s="3"/>
      <c r="V47" s="7">
        <f t="shared" si="35"/>
        <v>1.9019442096365174E-2</v>
      </c>
      <c r="W47" s="3"/>
      <c r="X47" s="8">
        <f t="shared" si="36"/>
        <v>-45</v>
      </c>
      <c r="Y47" s="3"/>
      <c r="Z47" s="7">
        <f t="shared" si="37"/>
        <v>-1</v>
      </c>
    </row>
    <row r="48" spans="1:26" s="27" customFormat="1" outlineLevel="1" collapsed="1" x14ac:dyDescent="0.3">
      <c r="A48" s="28"/>
      <c r="B48" s="14" t="str">
        <f>CONCATENATE("     ","Discounts and Markdowns                           ")</f>
        <v xml:space="preserve">     Discounts and Markdowns                           </v>
      </c>
      <c r="C48" s="14"/>
      <c r="D48" s="1">
        <f>SUM(OSRRefD22_5x_0)</f>
        <v>0</v>
      </c>
      <c r="E48" s="1"/>
      <c r="F48" s="5">
        <f t="shared" si="30"/>
        <v>0</v>
      </c>
      <c r="G48" s="1"/>
      <c r="H48" s="1">
        <f>SUM(OSRRefH22_5x_0)</f>
        <v>0</v>
      </c>
      <c r="I48" s="1"/>
      <c r="J48" s="5">
        <f t="shared" si="31"/>
        <v>0</v>
      </c>
      <c r="K48" s="1"/>
      <c r="L48" s="1">
        <f t="shared" si="32"/>
        <v>0</v>
      </c>
      <c r="M48" s="1"/>
      <c r="N48" s="5">
        <f t="shared" si="33"/>
        <v>0</v>
      </c>
      <c r="O48" s="14"/>
      <c r="P48" s="1">
        <f>SUM(OSRRefP22_5x_0)</f>
        <v>0</v>
      </c>
      <c r="Q48" s="1"/>
      <c r="R48" s="5">
        <f t="shared" si="34"/>
        <v>0</v>
      </c>
      <c r="S48" s="1"/>
      <c r="T48" s="1">
        <f>SUM(OSRRefT22_5x_0)</f>
        <v>0</v>
      </c>
      <c r="U48" s="1"/>
      <c r="V48" s="5">
        <f t="shared" si="35"/>
        <v>0</v>
      </c>
      <c r="W48" s="1"/>
      <c r="X48" s="1">
        <f t="shared" si="36"/>
        <v>0</v>
      </c>
      <c r="Y48" s="1"/>
      <c r="Z48" s="5">
        <f t="shared" si="37"/>
        <v>0</v>
      </c>
    </row>
    <row r="49" spans="1:26" s="24" customFormat="1" hidden="1" outlineLevel="2" x14ac:dyDescent="0.3">
      <c r="A49" s="29"/>
      <c r="B49" s="11" t="str">
        <f>CONCATENATE("          ", "6382", " - ", "DISCOUNTS/MARK DOWNS")</f>
        <v xml:space="preserve">          6382 - DISCOUNTS/MARK DOWNS</v>
      </c>
      <c r="C49" s="11"/>
      <c r="D49" s="8"/>
      <c r="E49" s="3"/>
      <c r="F49" s="7">
        <f t="shared" si="30"/>
        <v>0</v>
      </c>
      <c r="G49" s="3"/>
      <c r="H49" s="8">
        <v>0</v>
      </c>
      <c r="I49" s="3"/>
      <c r="J49" s="7">
        <f t="shared" si="31"/>
        <v>0</v>
      </c>
      <c r="K49" s="3"/>
      <c r="L49" s="8">
        <f t="shared" si="32"/>
        <v>0</v>
      </c>
      <c r="M49" s="3"/>
      <c r="N49" s="7">
        <f t="shared" si="33"/>
        <v>0</v>
      </c>
      <c r="O49" s="11"/>
      <c r="P49" s="8"/>
      <c r="Q49" s="3"/>
      <c r="R49" s="7">
        <f t="shared" si="34"/>
        <v>0</v>
      </c>
      <c r="S49" s="3"/>
      <c r="T49" s="8">
        <v>0</v>
      </c>
      <c r="U49" s="3"/>
      <c r="V49" s="7">
        <f t="shared" si="35"/>
        <v>0</v>
      </c>
      <c r="W49" s="3"/>
      <c r="X49" s="8">
        <f t="shared" si="36"/>
        <v>0</v>
      </c>
      <c r="Y49" s="3"/>
      <c r="Z49" s="7">
        <f t="shared" si="37"/>
        <v>0</v>
      </c>
    </row>
    <row r="50" spans="1:26" s="27" customFormat="1" outlineLevel="1" collapsed="1" x14ac:dyDescent="0.3">
      <c r="A50" s="28"/>
      <c r="B50" s="14" t="str">
        <f>CONCATENATE("     ","General                                           ")</f>
        <v xml:space="preserve">     General                                           </v>
      </c>
      <c r="C50" s="14"/>
      <c r="D50" s="1">
        <f>SUM(OSRRefD22_6x_0)</f>
        <v>0</v>
      </c>
      <c r="E50" s="1"/>
      <c r="F50" s="5">
        <f t="shared" si="30"/>
        <v>0</v>
      </c>
      <c r="G50" s="1"/>
      <c r="H50" s="1">
        <f>SUM(OSRRefH22_6x_0)</f>
        <v>0</v>
      </c>
      <c r="I50" s="1"/>
      <c r="J50" s="5">
        <f t="shared" si="31"/>
        <v>0</v>
      </c>
      <c r="K50" s="1"/>
      <c r="L50" s="1">
        <f t="shared" si="32"/>
        <v>0</v>
      </c>
      <c r="M50" s="1"/>
      <c r="N50" s="5">
        <f t="shared" si="33"/>
        <v>0</v>
      </c>
      <c r="O50" s="14"/>
      <c r="P50" s="1">
        <f>SUM(OSRRefP22_6x_0)</f>
        <v>0</v>
      </c>
      <c r="Q50" s="1"/>
      <c r="R50" s="5">
        <f t="shared" si="34"/>
        <v>0</v>
      </c>
      <c r="S50" s="1"/>
      <c r="T50" s="1">
        <f>SUM(OSRRefT22_6x_0)</f>
        <v>0</v>
      </c>
      <c r="U50" s="1"/>
      <c r="V50" s="5">
        <f t="shared" si="35"/>
        <v>0</v>
      </c>
      <c r="W50" s="1"/>
      <c r="X50" s="1">
        <f t="shared" si="36"/>
        <v>0</v>
      </c>
      <c r="Y50" s="1"/>
      <c r="Z50" s="5">
        <f t="shared" si="37"/>
        <v>0</v>
      </c>
    </row>
    <row r="51" spans="1:26" s="24" customFormat="1" hidden="1" outlineLevel="2" x14ac:dyDescent="0.3">
      <c r="A51" s="29"/>
      <c r="B51" s="11" t="str">
        <f>CONCATENATE("          ", "6279", " - ", "GENERAL EXPENSE")</f>
        <v xml:space="preserve">          6279 - GENERAL EXPENSE</v>
      </c>
      <c r="C51" s="11"/>
      <c r="D51" s="8"/>
      <c r="E51" s="3"/>
      <c r="F51" s="7">
        <f t="shared" si="30"/>
        <v>0</v>
      </c>
      <c r="G51" s="3"/>
      <c r="H51" s="8">
        <v>0</v>
      </c>
      <c r="I51" s="3"/>
      <c r="J51" s="7">
        <f t="shared" si="31"/>
        <v>0</v>
      </c>
      <c r="K51" s="3"/>
      <c r="L51" s="8">
        <f t="shared" si="32"/>
        <v>0</v>
      </c>
      <c r="M51" s="3"/>
      <c r="N51" s="7">
        <f t="shared" si="33"/>
        <v>0</v>
      </c>
      <c r="O51" s="11"/>
      <c r="P51" s="8"/>
      <c r="Q51" s="3"/>
      <c r="R51" s="7">
        <f t="shared" si="34"/>
        <v>0</v>
      </c>
      <c r="S51" s="3"/>
      <c r="T51" s="8">
        <v>0</v>
      </c>
      <c r="U51" s="3"/>
      <c r="V51" s="7">
        <f t="shared" si="35"/>
        <v>0</v>
      </c>
      <c r="W51" s="3"/>
      <c r="X51" s="8">
        <f t="shared" si="36"/>
        <v>0</v>
      </c>
      <c r="Y51" s="3"/>
      <c r="Z51" s="7">
        <f t="shared" si="37"/>
        <v>0</v>
      </c>
    </row>
    <row r="52" spans="1:26" s="27" customFormat="1" outlineLevel="1" collapsed="1" x14ac:dyDescent="0.3">
      <c r="A52" s="28"/>
      <c r="B52" s="14" t="str">
        <f>CONCATENATE("     ","Inventory Adjustment                              ")</f>
        <v xml:space="preserve">     Inventory Adjustment                              </v>
      </c>
      <c r="C52" s="14"/>
      <c r="D52" s="1">
        <f>SUM(OSRRefD22_7x_0)</f>
        <v>650</v>
      </c>
      <c r="E52" s="1"/>
      <c r="F52" s="5">
        <f t="shared" si="30"/>
        <v>0</v>
      </c>
      <c r="G52" s="1"/>
      <c r="H52" s="1">
        <f>SUM(OSRRefH22_7x_0)</f>
        <v>650</v>
      </c>
      <c r="I52" s="1"/>
      <c r="J52" s="5">
        <f t="shared" si="31"/>
        <v>0.27472527472527475</v>
      </c>
      <c r="K52" s="1"/>
      <c r="L52" s="1">
        <f t="shared" si="32"/>
        <v>0</v>
      </c>
      <c r="M52" s="1"/>
      <c r="N52" s="5">
        <f t="shared" si="33"/>
        <v>0</v>
      </c>
      <c r="O52" s="14"/>
      <c r="P52" s="1">
        <f>SUM(OSRRefP22_7x_0)</f>
        <v>650</v>
      </c>
      <c r="Q52" s="1"/>
      <c r="R52" s="5">
        <f t="shared" si="34"/>
        <v>0</v>
      </c>
      <c r="S52" s="1"/>
      <c r="T52" s="1">
        <f>SUM(OSRRefT22_7x_0)</f>
        <v>650</v>
      </c>
      <c r="U52" s="1"/>
      <c r="V52" s="5">
        <f t="shared" si="35"/>
        <v>0.27472527472527475</v>
      </c>
      <c r="W52" s="1"/>
      <c r="X52" s="1">
        <f t="shared" si="36"/>
        <v>0</v>
      </c>
      <c r="Y52" s="1"/>
      <c r="Z52" s="5">
        <f t="shared" si="37"/>
        <v>0</v>
      </c>
    </row>
    <row r="53" spans="1:26" s="24" customFormat="1" hidden="1" outlineLevel="2" x14ac:dyDescent="0.3">
      <c r="A53" s="29"/>
      <c r="B53" s="11" t="str">
        <f>CONCATENATE("          ", "6408", " - ", "INVENTORY ADJUSTMENT")</f>
        <v xml:space="preserve">          6408 - INVENTORY ADJUSTMENT</v>
      </c>
      <c r="C53" s="11"/>
      <c r="D53" s="8">
        <v>650</v>
      </c>
      <c r="E53" s="3"/>
      <c r="F53" s="7">
        <f t="shared" si="30"/>
        <v>0</v>
      </c>
      <c r="G53" s="3"/>
      <c r="H53" s="8">
        <v>650</v>
      </c>
      <c r="I53" s="3"/>
      <c r="J53" s="7">
        <f t="shared" si="31"/>
        <v>0.27472527472527475</v>
      </c>
      <c r="K53" s="3"/>
      <c r="L53" s="8">
        <f t="shared" si="32"/>
        <v>0</v>
      </c>
      <c r="M53" s="3"/>
      <c r="N53" s="7">
        <f t="shared" si="33"/>
        <v>0</v>
      </c>
      <c r="O53" s="11"/>
      <c r="P53" s="8">
        <v>650</v>
      </c>
      <c r="Q53" s="3"/>
      <c r="R53" s="7">
        <f t="shared" si="34"/>
        <v>0</v>
      </c>
      <c r="S53" s="3"/>
      <c r="T53" s="8">
        <v>650</v>
      </c>
      <c r="U53" s="3"/>
      <c r="V53" s="7">
        <f t="shared" si="35"/>
        <v>0.27472527472527475</v>
      </c>
      <c r="W53" s="3"/>
      <c r="X53" s="8">
        <f t="shared" si="36"/>
        <v>0</v>
      </c>
      <c r="Y53" s="3"/>
      <c r="Z53" s="7">
        <f t="shared" si="37"/>
        <v>0</v>
      </c>
    </row>
    <row r="54" spans="1:26" s="27" customFormat="1" outlineLevel="1" collapsed="1" x14ac:dyDescent="0.3">
      <c r="A54" s="28"/>
      <c r="B54" s="14" t="str">
        <f>CONCATENATE("     ","Supplies                                          ")</f>
        <v xml:space="preserve">     Supplies                                          </v>
      </c>
      <c r="C54" s="14"/>
      <c r="D54" s="1">
        <f>SUM(OSRRefD22_8x_0)</f>
        <v>0</v>
      </c>
      <c r="E54" s="1"/>
      <c r="F54" s="5">
        <f t="shared" si="30"/>
        <v>0</v>
      </c>
      <c r="G54" s="1"/>
      <c r="H54" s="1">
        <f>SUM(OSRRefH22_8x_0)</f>
        <v>75</v>
      </c>
      <c r="I54" s="1"/>
      <c r="J54" s="5">
        <f t="shared" si="31"/>
        <v>3.1699070160608619E-2</v>
      </c>
      <c r="K54" s="1"/>
      <c r="L54" s="1">
        <f t="shared" si="32"/>
        <v>-75</v>
      </c>
      <c r="M54" s="1"/>
      <c r="N54" s="5">
        <f t="shared" si="33"/>
        <v>-1</v>
      </c>
      <c r="O54" s="14"/>
      <c r="P54" s="1">
        <f>SUM(OSRRefP22_8x_0)</f>
        <v>0</v>
      </c>
      <c r="Q54" s="1"/>
      <c r="R54" s="5">
        <f t="shared" si="34"/>
        <v>0</v>
      </c>
      <c r="S54" s="1"/>
      <c r="T54" s="1">
        <f>SUM(OSRRefT22_8x_0)</f>
        <v>75</v>
      </c>
      <c r="U54" s="1"/>
      <c r="V54" s="5">
        <f t="shared" si="35"/>
        <v>3.1699070160608619E-2</v>
      </c>
      <c r="W54" s="1"/>
      <c r="X54" s="1">
        <f t="shared" si="36"/>
        <v>-75</v>
      </c>
      <c r="Y54" s="1"/>
      <c r="Z54" s="5">
        <f t="shared" si="37"/>
        <v>-1</v>
      </c>
    </row>
    <row r="55" spans="1:26" s="24" customFormat="1" hidden="1" outlineLevel="2" x14ac:dyDescent="0.3">
      <c r="A55" s="29"/>
      <c r="B55" s="11" t="str">
        <f>CONCATENATE("          ", "6235", " - ", "COVID-19 EXPENSES")</f>
        <v xml:space="preserve">          6235 - COVID-19 EXPENSES</v>
      </c>
      <c r="C55" s="11"/>
      <c r="D55" s="8"/>
      <c r="E55" s="3"/>
      <c r="F55" s="7">
        <f t="shared" si="30"/>
        <v>0</v>
      </c>
      <c r="G55" s="3"/>
      <c r="H55" s="8">
        <v>25</v>
      </c>
      <c r="I55" s="3"/>
      <c r="J55" s="7">
        <f t="shared" si="31"/>
        <v>1.0566356720202874E-2</v>
      </c>
      <c r="K55" s="3"/>
      <c r="L55" s="8">
        <f t="shared" si="32"/>
        <v>-25</v>
      </c>
      <c r="M55" s="3"/>
      <c r="N55" s="7">
        <f t="shared" si="33"/>
        <v>-1</v>
      </c>
      <c r="O55" s="11"/>
      <c r="P55" s="8"/>
      <c r="Q55" s="3"/>
      <c r="R55" s="7">
        <f t="shared" si="34"/>
        <v>0</v>
      </c>
      <c r="S55" s="3"/>
      <c r="T55" s="8">
        <v>25</v>
      </c>
      <c r="U55" s="3"/>
      <c r="V55" s="7">
        <f t="shared" si="35"/>
        <v>1.0566356720202874E-2</v>
      </c>
      <c r="W55" s="3"/>
      <c r="X55" s="8">
        <f t="shared" si="36"/>
        <v>-25</v>
      </c>
      <c r="Y55" s="3"/>
      <c r="Z55" s="7">
        <f t="shared" si="37"/>
        <v>-1</v>
      </c>
    </row>
    <row r="56" spans="1:26" s="24" customFormat="1" hidden="1" outlineLevel="2" x14ac:dyDescent="0.3">
      <c r="A56" s="29"/>
      <c r="B56" s="11" t="str">
        <f>CONCATENATE("          ", "6241", " - ", "OFFICE EXPENSE")</f>
        <v xml:space="preserve">          6241 - OFFICE EXPENSE</v>
      </c>
      <c r="C56" s="11"/>
      <c r="D56" s="8"/>
      <c r="E56" s="3"/>
      <c r="F56" s="7">
        <f t="shared" si="30"/>
        <v>0</v>
      </c>
      <c r="G56" s="3"/>
      <c r="H56" s="8">
        <v>25</v>
      </c>
      <c r="I56" s="3"/>
      <c r="J56" s="7">
        <f t="shared" si="31"/>
        <v>1.0566356720202874E-2</v>
      </c>
      <c r="K56" s="3"/>
      <c r="L56" s="8">
        <f t="shared" si="32"/>
        <v>-25</v>
      </c>
      <c r="M56" s="3"/>
      <c r="N56" s="7">
        <f t="shared" si="33"/>
        <v>-1</v>
      </c>
      <c r="O56" s="11"/>
      <c r="P56" s="8"/>
      <c r="Q56" s="3"/>
      <c r="R56" s="7">
        <f t="shared" si="34"/>
        <v>0</v>
      </c>
      <c r="S56" s="3"/>
      <c r="T56" s="8">
        <v>25</v>
      </c>
      <c r="U56" s="3"/>
      <c r="V56" s="7">
        <f t="shared" si="35"/>
        <v>1.0566356720202874E-2</v>
      </c>
      <c r="W56" s="3"/>
      <c r="X56" s="8">
        <f t="shared" si="36"/>
        <v>-25</v>
      </c>
      <c r="Y56" s="3"/>
      <c r="Z56" s="7">
        <f t="shared" si="37"/>
        <v>-1</v>
      </c>
    </row>
    <row r="57" spans="1:26" s="24" customFormat="1" hidden="1" outlineLevel="2" x14ac:dyDescent="0.3">
      <c r="A57" s="29"/>
      <c r="B57" s="11" t="str">
        <f>CONCATENATE("          ", "6247", " - ", "STORE SUPPLIES")</f>
        <v xml:space="preserve">          6247 - STORE SUPPLIES</v>
      </c>
      <c r="C57" s="11"/>
      <c r="D57" s="8"/>
      <c r="E57" s="3"/>
      <c r="F57" s="7">
        <f t="shared" si="30"/>
        <v>0</v>
      </c>
      <c r="G57" s="3"/>
      <c r="H57" s="8">
        <v>25</v>
      </c>
      <c r="I57" s="3"/>
      <c r="J57" s="7">
        <f t="shared" si="31"/>
        <v>1.0566356720202874E-2</v>
      </c>
      <c r="K57" s="3"/>
      <c r="L57" s="8">
        <f t="shared" si="32"/>
        <v>-25</v>
      </c>
      <c r="M57" s="3"/>
      <c r="N57" s="7">
        <f t="shared" si="33"/>
        <v>-1</v>
      </c>
      <c r="O57" s="11"/>
      <c r="P57" s="8"/>
      <c r="Q57" s="3"/>
      <c r="R57" s="7">
        <f t="shared" si="34"/>
        <v>0</v>
      </c>
      <c r="S57" s="3"/>
      <c r="T57" s="8">
        <v>25</v>
      </c>
      <c r="U57" s="3"/>
      <c r="V57" s="7">
        <f t="shared" si="35"/>
        <v>1.0566356720202874E-2</v>
      </c>
      <c r="W57" s="3"/>
      <c r="X57" s="8">
        <f t="shared" si="36"/>
        <v>-25</v>
      </c>
      <c r="Y57" s="3"/>
      <c r="Z57" s="7">
        <f t="shared" si="37"/>
        <v>-1</v>
      </c>
    </row>
    <row r="58" spans="1:26" s="27" customFormat="1" outlineLevel="1" collapsed="1" x14ac:dyDescent="0.3">
      <c r="A58" s="28"/>
      <c r="B58" s="14" t="str">
        <f>CONCATENATE("     ","Telephone/Data Lines                              ")</f>
        <v xml:space="preserve">     Telephone/Data Lines                              </v>
      </c>
      <c r="C58" s="14"/>
      <c r="D58" s="1">
        <f>SUM(OSRRefD22_9x_0)</f>
        <v>13</v>
      </c>
      <c r="E58" s="1"/>
      <c r="F58" s="5">
        <f t="shared" ref="F58:F59" si="38">IF(D$12=0,0,D58/D$12)</f>
        <v>0</v>
      </c>
      <c r="G58" s="1"/>
      <c r="H58" s="1">
        <f>SUM(OSRRefH22_9x_0)</f>
        <v>60</v>
      </c>
      <c r="I58" s="1"/>
      <c r="J58" s="5">
        <f t="shared" ref="J58:J59" si="39">IF(H$12=0,0,H58/H$12)</f>
        <v>2.5359256128486898E-2</v>
      </c>
      <c r="K58" s="1"/>
      <c r="L58" s="1">
        <f t="shared" ref="L58:L59" si="40">+D58-H58</f>
        <v>-47</v>
      </c>
      <c r="M58" s="1"/>
      <c r="N58" s="5">
        <f t="shared" ref="N58:N59" si="41">IF(H58=0,0,L58/H58)</f>
        <v>-0.78333333333333333</v>
      </c>
      <c r="O58" s="14"/>
      <c r="P58" s="1">
        <f>SUM(OSRRefP22_9x_0)</f>
        <v>13</v>
      </c>
      <c r="Q58" s="1"/>
      <c r="R58" s="5">
        <f t="shared" ref="R58:R59" si="42">IF(P$12=0,0,P58/P$12)</f>
        <v>0</v>
      </c>
      <c r="S58" s="1"/>
      <c r="T58" s="1">
        <f>SUM(OSRRefT22_9x_0)</f>
        <v>60</v>
      </c>
      <c r="U58" s="1"/>
      <c r="V58" s="5">
        <f t="shared" ref="V58:V59" si="43">IF(T$12=0,0,T58/T$12)</f>
        <v>2.5359256128486898E-2</v>
      </c>
      <c r="W58" s="1"/>
      <c r="X58" s="1">
        <f t="shared" ref="X58:X59" si="44">+P58-T58</f>
        <v>-47</v>
      </c>
      <c r="Y58" s="1"/>
      <c r="Z58" s="5">
        <f t="shared" ref="Z58:Z59" si="45">IF(T58=0,0,X58/T58)</f>
        <v>-0.78333333333333333</v>
      </c>
    </row>
    <row r="59" spans="1:26" s="24" customFormat="1" hidden="1" outlineLevel="2" x14ac:dyDescent="0.3">
      <c r="A59" s="29"/>
      <c r="B59" s="11" t="str">
        <f>CONCATENATE("          ", "6309", " - ", "TELEPHONE")</f>
        <v xml:space="preserve">          6309 - TELEPHONE</v>
      </c>
      <c r="C59" s="11"/>
      <c r="D59" s="8">
        <v>13</v>
      </c>
      <c r="E59" s="3"/>
      <c r="F59" s="7">
        <f t="shared" si="38"/>
        <v>0</v>
      </c>
      <c r="G59" s="3"/>
      <c r="H59" s="8">
        <v>60</v>
      </c>
      <c r="I59" s="3"/>
      <c r="J59" s="7">
        <f t="shared" si="39"/>
        <v>2.5359256128486898E-2</v>
      </c>
      <c r="K59" s="3"/>
      <c r="L59" s="8">
        <f t="shared" si="40"/>
        <v>-47</v>
      </c>
      <c r="M59" s="3"/>
      <c r="N59" s="7">
        <f t="shared" si="41"/>
        <v>-0.78333333333333333</v>
      </c>
      <c r="O59" s="11"/>
      <c r="P59" s="8">
        <v>13</v>
      </c>
      <c r="Q59" s="3"/>
      <c r="R59" s="7">
        <f t="shared" si="42"/>
        <v>0</v>
      </c>
      <c r="S59" s="3"/>
      <c r="T59" s="8">
        <v>60</v>
      </c>
      <c r="U59" s="3"/>
      <c r="V59" s="7">
        <f t="shared" si="43"/>
        <v>2.5359256128486898E-2</v>
      </c>
      <c r="W59" s="3"/>
      <c r="X59" s="8">
        <f t="shared" si="44"/>
        <v>-47</v>
      </c>
      <c r="Y59" s="3"/>
      <c r="Z59" s="7">
        <f t="shared" si="45"/>
        <v>-0.78333333333333333</v>
      </c>
    </row>
    <row r="60" spans="1:26" s="62" customFormat="1" x14ac:dyDescent="0.3">
      <c r="A60" s="36"/>
      <c r="B60" s="36"/>
      <c r="C60" s="36"/>
      <c r="D60" s="1"/>
      <c r="E60" s="1"/>
      <c r="F60" s="5"/>
      <c r="G60" s="1"/>
      <c r="H60" s="1"/>
      <c r="I60" s="1"/>
      <c r="J60" s="5"/>
      <c r="K60" s="1"/>
      <c r="L60" s="1"/>
      <c r="M60" s="1"/>
      <c r="N60" s="5"/>
      <c r="O60" s="36"/>
      <c r="P60" s="1"/>
      <c r="Q60" s="1"/>
      <c r="R60" s="5"/>
      <c r="S60" s="1"/>
      <c r="T60" s="1"/>
      <c r="U60" s="1"/>
      <c r="V60" s="5"/>
      <c r="W60" s="1"/>
      <c r="X60" s="1"/>
      <c r="Y60" s="1"/>
      <c r="Z60" s="5"/>
    </row>
    <row r="61" spans="1:26" s="23" customFormat="1" x14ac:dyDescent="0.3">
      <c r="A61" s="10"/>
      <c r="B61" s="25" t="s">
        <v>293</v>
      </c>
      <c r="C61" s="10"/>
      <c r="D61" s="4">
        <f>SUM(0)</f>
        <v>0</v>
      </c>
      <c r="E61" s="4"/>
      <c r="F61" s="12">
        <f>IF(D$12=0,0,D61/D$12)</f>
        <v>0</v>
      </c>
      <c r="G61" s="4"/>
      <c r="H61" s="4">
        <f>SUM(0)</f>
        <v>0</v>
      </c>
      <c r="I61" s="4"/>
      <c r="J61" s="12">
        <f>IF(H$12=0,0,H61/H$12)</f>
        <v>0</v>
      </c>
      <c r="K61" s="4"/>
      <c r="L61" s="4">
        <f>+D61-H61</f>
        <v>0</v>
      </c>
      <c r="M61" s="4"/>
      <c r="N61" s="12">
        <f>IF(H61=0,0,L61/H61)</f>
        <v>0</v>
      </c>
      <c r="O61" s="10"/>
      <c r="P61" s="4">
        <f>SUM(0)</f>
        <v>0</v>
      </c>
      <c r="Q61" s="4"/>
      <c r="R61" s="12">
        <f>IF(P$12=0,0,P61/P$12)</f>
        <v>0</v>
      </c>
      <c r="S61" s="4"/>
      <c r="T61" s="4">
        <f>SUM(0)</f>
        <v>0</v>
      </c>
      <c r="U61" s="4"/>
      <c r="V61" s="12">
        <f>IF(T$12=0,0,T61/T$12)</f>
        <v>0</v>
      </c>
      <c r="W61" s="4"/>
      <c r="X61" s="4">
        <f>+P61-T61</f>
        <v>0</v>
      </c>
      <c r="Y61" s="4"/>
      <c r="Z61" s="12">
        <f>IF(T61=0,0,X61/T61)</f>
        <v>0</v>
      </c>
    </row>
    <row r="62" spans="1:26" x14ac:dyDescent="0.3">
      <c r="A62" s="9"/>
      <c r="B62" s="10"/>
      <c r="C62" s="10"/>
      <c r="D62" s="2"/>
      <c r="E62" s="2"/>
      <c r="F62" s="6"/>
      <c r="G62" s="2"/>
      <c r="H62" s="2"/>
      <c r="I62" s="2"/>
      <c r="J62" s="6"/>
      <c r="K62" s="2"/>
      <c r="L62" s="2"/>
      <c r="M62" s="2"/>
      <c r="N62" s="6"/>
      <c r="O62" s="10"/>
      <c r="P62" s="2"/>
      <c r="Q62" s="2"/>
      <c r="R62" s="6"/>
      <c r="S62" s="2"/>
      <c r="T62" s="2"/>
      <c r="U62" s="2"/>
      <c r="V62" s="6"/>
      <c r="W62" s="2"/>
      <c r="X62" s="2"/>
      <c r="Y62" s="2"/>
      <c r="Z62" s="6"/>
    </row>
    <row r="63" spans="1:26" s="23" customFormat="1" x14ac:dyDescent="0.3">
      <c r="A63" s="10"/>
      <c r="B63" s="26" t="s">
        <v>277</v>
      </c>
      <c r="C63" s="26"/>
      <c r="D63" s="21">
        <f>+D19-D21+D61</f>
        <v>-763</v>
      </c>
      <c r="E63" s="13"/>
      <c r="F63" s="22">
        <f>IF(D$12=0,0,D63/D$12)</f>
        <v>0</v>
      </c>
      <c r="G63" s="13"/>
      <c r="H63" s="21">
        <f>+H19-H21+H61</f>
        <v>-11288.04025</v>
      </c>
      <c r="I63" s="13"/>
      <c r="J63" s="22">
        <f>IF(H$12=0,0,H63/H$12)</f>
        <v>-4.7709383981403208</v>
      </c>
      <c r="K63" s="16"/>
      <c r="L63" s="21">
        <f>+D63-H63</f>
        <v>10525.04025</v>
      </c>
      <c r="M63" s="16"/>
      <c r="N63" s="22">
        <f>IF(H63=0,0,L63/H63)</f>
        <v>-0.93240633598910139</v>
      </c>
      <c r="O63" s="25"/>
      <c r="P63" s="21">
        <f>+P19-P21+P61</f>
        <v>-763</v>
      </c>
      <c r="Q63" s="13"/>
      <c r="R63" s="22">
        <f>IF(P$12=0,0,P63/P$12)</f>
        <v>0</v>
      </c>
      <c r="S63" s="13"/>
      <c r="T63" s="21">
        <f>+T19-T21+T61</f>
        <v>-11288.04025</v>
      </c>
      <c r="U63" s="13"/>
      <c r="V63" s="22">
        <f>IF(T$12=0,0,T63/T$12)</f>
        <v>-4.7709383981403208</v>
      </c>
      <c r="W63" s="16"/>
      <c r="X63" s="21">
        <f>+P63-T63</f>
        <v>10525.04025</v>
      </c>
      <c r="Y63" s="16"/>
      <c r="Z63" s="22">
        <f>IF(T63=0,0,X63/T63)</f>
        <v>-0.93240633598910139</v>
      </c>
    </row>
    <row r="64" spans="1:26" x14ac:dyDescent="0.3">
      <c r="A64" s="9"/>
      <c r="B64" s="10"/>
      <c r="C64" s="9"/>
      <c r="D64" s="2"/>
      <c r="E64" s="2"/>
      <c r="F64" s="6"/>
      <c r="G64" s="2"/>
      <c r="H64" s="2"/>
      <c r="I64" s="2"/>
      <c r="J64" s="6"/>
      <c r="K64" s="2"/>
      <c r="L64" s="2"/>
      <c r="M64" s="2"/>
      <c r="N64" s="6"/>
      <c r="P64" s="2"/>
      <c r="Q64" s="2"/>
      <c r="R64" s="6"/>
      <c r="S64" s="2"/>
      <c r="T64" s="2"/>
      <c r="U64" s="2"/>
      <c r="V64" s="6"/>
      <c r="W64" s="2"/>
      <c r="X64" s="2"/>
      <c r="Y64" s="2"/>
      <c r="Z64" s="6"/>
    </row>
    <row r="65" spans="1:26" s="23" customFormat="1" x14ac:dyDescent="0.3">
      <c r="A65" s="52"/>
      <c r="B65" s="10" t="s">
        <v>128</v>
      </c>
      <c r="C65" s="10"/>
      <c r="D65" s="4"/>
      <c r="E65" s="4"/>
      <c r="F65" s="12">
        <f>IF(D$12=0,0,D65/D$12)</f>
        <v>0</v>
      </c>
      <c r="G65" s="4"/>
      <c r="H65" s="4">
        <v>857</v>
      </c>
      <c r="I65" s="4"/>
      <c r="J65" s="12">
        <f>IF(H$12=0,0,H65/H$12)</f>
        <v>0.36221470836855452</v>
      </c>
      <c r="K65" s="4"/>
      <c r="L65" s="4">
        <f>+D65-H65</f>
        <v>-857</v>
      </c>
      <c r="M65" s="4"/>
      <c r="N65" s="12">
        <f>IF(H65=0,0,L65/H65)</f>
        <v>-1</v>
      </c>
      <c r="O65" s="10"/>
      <c r="P65" s="4"/>
      <c r="Q65" s="4"/>
      <c r="R65" s="12">
        <f>IF(P$12=0,0,P65/P$12)</f>
        <v>0</v>
      </c>
      <c r="S65" s="4"/>
      <c r="T65" s="4">
        <v>857</v>
      </c>
      <c r="U65" s="4"/>
      <c r="V65" s="12">
        <f>IF(T$12=0,0,T65/T$12)</f>
        <v>0.36221470836855452</v>
      </c>
      <c r="W65" s="4"/>
      <c r="X65" s="4">
        <f>+P65-T65</f>
        <v>-857</v>
      </c>
      <c r="Y65" s="4"/>
      <c r="Z65" s="12">
        <f>IF(T65=0,0,X65/T65)</f>
        <v>-1</v>
      </c>
    </row>
    <row r="66" spans="1:26" x14ac:dyDescent="0.3">
      <c r="A66" s="9"/>
      <c r="B66" s="10"/>
      <c r="C66" s="10"/>
      <c r="D66" s="2"/>
      <c r="E66" s="2"/>
      <c r="F66" s="6"/>
      <c r="G66" s="2"/>
      <c r="H66" s="2"/>
      <c r="I66" s="2"/>
      <c r="J66" s="6"/>
      <c r="K66" s="2"/>
      <c r="L66" s="2"/>
      <c r="M66" s="2"/>
      <c r="N66" s="6"/>
      <c r="O66" s="10"/>
      <c r="P66" s="2"/>
      <c r="Q66" s="2"/>
      <c r="R66" s="6"/>
      <c r="S66" s="2"/>
      <c r="T66" s="2"/>
      <c r="U66" s="2"/>
      <c r="V66" s="6"/>
      <c r="W66" s="2"/>
      <c r="X66" s="2"/>
      <c r="Y66" s="2"/>
      <c r="Z66" s="6"/>
    </row>
    <row r="67" spans="1:26" s="23" customFormat="1" ht="15" thickBot="1" x14ac:dyDescent="0.35">
      <c r="A67" s="10"/>
      <c r="B67" s="26" t="s">
        <v>126</v>
      </c>
      <c r="C67" s="26"/>
      <c r="D67" s="35">
        <f>+D63-D65</f>
        <v>-763</v>
      </c>
      <c r="E67" s="13"/>
      <c r="F67" s="30">
        <f>IF(D$12=0,0,D67/D$12)</f>
        <v>0</v>
      </c>
      <c r="G67" s="13"/>
      <c r="H67" s="35">
        <f>+H63-H65</f>
        <v>-12145.04025</v>
      </c>
      <c r="I67" s="13"/>
      <c r="J67" s="30">
        <f>IF(H$12=0,0,H67/H$12)</f>
        <v>-5.1331531065088756</v>
      </c>
      <c r="K67" s="16"/>
      <c r="L67" s="35">
        <f>D67-H67</f>
        <v>11382.04025</v>
      </c>
      <c r="M67" s="16"/>
      <c r="N67" s="30">
        <f>IF(H67=0,0,L67/H67)</f>
        <v>-0.93717600071354235</v>
      </c>
      <c r="O67" s="25"/>
      <c r="P67" s="35">
        <f>+P63-P65</f>
        <v>-763</v>
      </c>
      <c r="Q67" s="13"/>
      <c r="R67" s="30">
        <f>IF(P$12=0,0,P67/P$12)</f>
        <v>0</v>
      </c>
      <c r="S67" s="13"/>
      <c r="T67" s="35">
        <f>+T63-T65</f>
        <v>-12145.04025</v>
      </c>
      <c r="U67" s="13"/>
      <c r="V67" s="30">
        <f>IF(T$12=0,0,T67/T$12)</f>
        <v>-5.1331531065088756</v>
      </c>
      <c r="W67" s="16"/>
      <c r="X67" s="35">
        <f>P67-T67</f>
        <v>11382.04025</v>
      </c>
      <c r="Y67" s="16"/>
      <c r="Z67" s="30">
        <f>IF(T67=0,0,X67/T67)</f>
        <v>-0.93717600071354235</v>
      </c>
    </row>
    <row r="68" spans="1:26" ht="15" thickTop="1" x14ac:dyDescent="0.3">
      <c r="A68" s="9"/>
      <c r="B68" s="9"/>
      <c r="C68" s="9"/>
      <c r="D68" s="2"/>
      <c r="E68" s="2"/>
      <c r="F68" s="6"/>
      <c r="G68" s="2"/>
      <c r="H68" s="2"/>
      <c r="I68" s="2"/>
      <c r="J68" s="6"/>
      <c r="K68" s="2"/>
      <c r="L68" s="2"/>
      <c r="M68" s="2"/>
      <c r="N68" s="6"/>
      <c r="P68" s="2"/>
      <c r="Q68" s="2"/>
      <c r="R68" s="6"/>
      <c r="S68" s="2"/>
      <c r="T68" s="2"/>
      <c r="U68" s="2"/>
      <c r="V68" s="6"/>
      <c r="W68" s="2"/>
      <c r="X68" s="2"/>
      <c r="Y68" s="2"/>
      <c r="Z68" s="6"/>
    </row>
    <row r="69" spans="1:26" x14ac:dyDescent="0.3">
      <c r="A69" s="9"/>
      <c r="B69" s="9"/>
      <c r="C69" s="9"/>
      <c r="D69" s="2"/>
      <c r="E69" s="2"/>
      <c r="F69" s="6"/>
      <c r="G69" s="2"/>
      <c r="H69" s="2"/>
      <c r="I69" s="2"/>
      <c r="J69" s="6"/>
      <c r="K69" s="2"/>
      <c r="L69" s="2"/>
      <c r="M69" s="2"/>
      <c r="N69" s="6"/>
      <c r="P69" s="2"/>
      <c r="Q69" s="2"/>
      <c r="R69" s="6"/>
      <c r="S69" s="2"/>
      <c r="T69" s="2"/>
      <c r="U69" s="2"/>
      <c r="V69" s="6"/>
      <c r="W69" s="2"/>
      <c r="X69" s="2"/>
      <c r="Y69" s="2"/>
      <c r="Z69" s="6"/>
    </row>
    <row r="70" spans="1:26" s="23" customFormat="1" ht="15" thickBot="1" x14ac:dyDescent="0.35">
      <c r="A70" s="10"/>
      <c r="B70" s="26" t="s">
        <v>294</v>
      </c>
      <c r="C70" s="26"/>
      <c r="D70" s="33">
        <f>SUM(D67:D69)</f>
        <v>-763</v>
      </c>
      <c r="E70" s="13"/>
      <c r="F70" s="31">
        <f>IF(D$12=0,0,D70/D$12)</f>
        <v>0</v>
      </c>
      <c r="G70" s="13"/>
      <c r="H70" s="33">
        <f>SUM(H67:H69)</f>
        <v>-12145.04025</v>
      </c>
      <c r="I70" s="13"/>
      <c r="J70" s="31">
        <f>IF(H$12=0,0,H70/H$12)</f>
        <v>-5.1331531065088756</v>
      </c>
      <c r="K70" s="16"/>
      <c r="L70" s="33">
        <f>+D70-H70</f>
        <v>11382.04025</v>
      </c>
      <c r="M70" s="16"/>
      <c r="N70" s="31">
        <f>IF(H70=0,0,L70/H70)</f>
        <v>-0.93717600071354235</v>
      </c>
      <c r="O70" s="25"/>
      <c r="P70" s="33">
        <f>SUM(P67:P69)</f>
        <v>-763</v>
      </c>
      <c r="Q70" s="13"/>
      <c r="R70" s="31">
        <f>IF(P$12=0,0,P70/P$12)</f>
        <v>0</v>
      </c>
      <c r="S70" s="13"/>
      <c r="T70" s="33">
        <f>SUM(T67:T69)</f>
        <v>-12145.04025</v>
      </c>
      <c r="U70" s="13"/>
      <c r="V70" s="31">
        <f>IF(T$12=0,0,T70/T$12)</f>
        <v>-5.1331531065088756</v>
      </c>
      <c r="W70" s="16"/>
      <c r="X70" s="33">
        <f>+P70-T70</f>
        <v>11382.04025</v>
      </c>
      <c r="Y70" s="16"/>
      <c r="Z70" s="31">
        <f>IF(T70=0,0,X70/T70)</f>
        <v>-0.93717600071354235</v>
      </c>
    </row>
    <row r="71" spans="1:26" ht="15" thickTop="1" x14ac:dyDescent="0.3">
      <c r="A71" s="9"/>
      <c r="C71" s="9"/>
      <c r="D71" s="18"/>
      <c r="E71" s="18"/>
      <c r="G71" s="18"/>
      <c r="H71" s="18"/>
      <c r="I71" s="18"/>
      <c r="J71" s="43"/>
      <c r="K71" s="18"/>
      <c r="L71" s="18"/>
      <c r="M71" s="18"/>
      <c r="P71" s="18"/>
      <c r="Q71" s="18"/>
      <c r="R71" s="43"/>
      <c r="S71" s="18"/>
      <c r="T71" s="18"/>
      <c r="U71" s="18"/>
      <c r="V71" s="43"/>
      <c r="W71" s="18"/>
      <c r="X71" s="18"/>
    </row>
    <row r="72" spans="1:26" x14ac:dyDescent="0.3">
      <c r="A72" s="9"/>
      <c r="B72" s="54">
        <v>44462.64548684028</v>
      </c>
      <c r="D72" s="18"/>
      <c r="E72" s="18"/>
      <c r="G72" s="18"/>
      <c r="H72" s="18"/>
      <c r="I72" s="18"/>
      <c r="J72" s="43"/>
      <c r="K72" s="18"/>
      <c r="L72" s="18"/>
      <c r="M72" s="18"/>
      <c r="P72" s="18"/>
      <c r="Q72" s="18"/>
      <c r="R72" s="43"/>
      <c r="S72" s="18"/>
      <c r="T72" s="18"/>
      <c r="U72" s="18"/>
      <c r="V72" s="43"/>
      <c r="W72" s="18"/>
      <c r="X72" s="18"/>
    </row>
    <row r="73" spans="1:26" x14ac:dyDescent="0.3">
      <c r="A73" s="9"/>
      <c r="B73" s="59" t="s">
        <v>56</v>
      </c>
      <c r="D73" s="18"/>
      <c r="E73" s="18"/>
      <c r="G73" s="18"/>
      <c r="H73" s="18"/>
      <c r="I73" s="18"/>
      <c r="J73" s="43"/>
      <c r="K73" s="18"/>
      <c r="L73" s="18"/>
      <c r="M73" s="18"/>
      <c r="P73" s="18"/>
      <c r="Q73" s="18"/>
      <c r="R73" s="43"/>
      <c r="S73" s="18"/>
      <c r="T73" s="18"/>
      <c r="U73" s="18"/>
      <c r="V73" s="43"/>
      <c r="W73" s="18"/>
      <c r="X73" s="18"/>
    </row>
    <row r="74" spans="1:26" x14ac:dyDescent="0.3">
      <c r="A74" s="9"/>
      <c r="B74" s="55"/>
      <c r="D74" s="18"/>
      <c r="E74" s="18"/>
      <c r="G74" s="18"/>
      <c r="H74" s="18"/>
      <c r="I74" s="18"/>
      <c r="J74" s="43"/>
      <c r="K74" s="18"/>
      <c r="L74" s="18"/>
      <c r="M74" s="18"/>
      <c r="P74" s="18"/>
      <c r="Q74" s="18"/>
      <c r="R74" s="43"/>
      <c r="S74" s="18"/>
      <c r="T74" s="18"/>
      <c r="U74" s="18"/>
      <c r="V74" s="43"/>
      <c r="W74" s="18"/>
      <c r="X74" s="18"/>
    </row>
    <row r="75" spans="1:26" x14ac:dyDescent="0.3">
      <c r="D75" s="18"/>
      <c r="E75" s="18"/>
      <c r="G75" s="18"/>
      <c r="H75" s="18"/>
      <c r="I75" s="18"/>
      <c r="J75" s="43"/>
      <c r="K75" s="18"/>
      <c r="L75" s="18"/>
      <c r="M75" s="18"/>
      <c r="P75" s="18"/>
      <c r="Q75" s="18"/>
      <c r="R75" s="43"/>
      <c r="S75" s="18"/>
      <c r="T75" s="18"/>
      <c r="U75" s="18"/>
      <c r="V75" s="43"/>
      <c r="W75" s="18"/>
      <c r="X75" s="18"/>
    </row>
  </sheetData>
  <pageMargins left="0.25" right="0.25" top="0.75" bottom="0.75" header="0.3" footer="0.3"/>
  <pageSetup scale="55" fitToWidth="2" orientation="landscape"/>
  <drawing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rgb="FFFFFF00"/>
    <outlinePr summaryBelow="0" summaryRight="0"/>
  </sheetPr>
  <dimension ref="A2:Z97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50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7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50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7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7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7" customWidth="1" outlineLevel="1"/>
  </cols>
  <sheetData>
    <row r="2" spans="1:26" x14ac:dyDescent="0.3">
      <c r="D2" s="57" t="s">
        <v>23</v>
      </c>
    </row>
    <row r="3" spans="1:26" x14ac:dyDescent="0.3">
      <c r="D3" s="57" t="s">
        <v>237</v>
      </c>
      <c r="E3" s="17"/>
      <c r="F3" s="51"/>
      <c r="G3" s="17"/>
      <c r="H3" s="17"/>
      <c r="I3" s="17"/>
      <c r="J3" s="39"/>
      <c r="K3" s="17"/>
      <c r="L3" s="17"/>
      <c r="M3" s="17"/>
      <c r="N3" s="51"/>
      <c r="O3" s="61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3">
      <c r="D4" s="57" t="str">
        <f>CONCATENATE("Period ",RIGHT(202201,2),", ",2022)</f>
        <v>Period 01, 2022</v>
      </c>
      <c r="E4" s="17"/>
      <c r="F4" s="51"/>
      <c r="G4" s="17"/>
      <c r="H4" s="17"/>
      <c r="I4" s="17"/>
      <c r="J4" s="39"/>
      <c r="K4" s="17"/>
      <c r="L4" s="17"/>
      <c r="M4" s="17"/>
      <c r="N4" s="51"/>
      <c r="O4" s="61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3">
      <c r="A5" s="23"/>
      <c r="D5" s="64">
        <v>44408</v>
      </c>
      <c r="E5" s="17"/>
      <c r="F5" s="51"/>
      <c r="G5" s="17"/>
      <c r="H5" s="17"/>
      <c r="I5" s="17"/>
      <c r="J5" s="39"/>
      <c r="K5" s="17"/>
      <c r="L5" s="17"/>
      <c r="M5" s="17"/>
      <c r="N5" s="51"/>
      <c r="O5" s="61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3">
      <c r="A6" s="23"/>
      <c r="B6" s="47"/>
      <c r="C6" s="47"/>
      <c r="D6" s="23" t="s">
        <v>21</v>
      </c>
      <c r="E6" s="17"/>
      <c r="F6" s="51"/>
      <c r="G6" s="17"/>
      <c r="H6" s="17"/>
      <c r="I6" s="17"/>
      <c r="J6" s="39"/>
      <c r="K6" s="17"/>
      <c r="L6" s="17"/>
      <c r="M6" s="17"/>
      <c r="N6" s="51"/>
      <c r="O6" s="60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3">
      <c r="B7" s="63"/>
    </row>
    <row r="8" spans="1:26" x14ac:dyDescent="0.3">
      <c r="B8" s="63"/>
    </row>
    <row r="9" spans="1:26" x14ac:dyDescent="0.3">
      <c r="B9" s="9"/>
      <c r="C9" s="9"/>
      <c r="D9" s="15" t="s">
        <v>292</v>
      </c>
      <c r="E9" s="15"/>
      <c r="F9" s="38"/>
      <c r="G9" s="15"/>
      <c r="H9" s="15"/>
      <c r="I9" s="15"/>
      <c r="J9" s="49"/>
      <c r="K9" s="15"/>
      <c r="L9" s="15"/>
      <c r="M9" s="15"/>
      <c r="N9" s="38"/>
      <c r="P9" s="15" t="s">
        <v>39</v>
      </c>
      <c r="Q9" s="15"/>
      <c r="R9" s="38"/>
      <c r="S9" s="15"/>
      <c r="T9" s="15"/>
      <c r="U9" s="15"/>
      <c r="V9" s="49"/>
      <c r="W9" s="15"/>
      <c r="X9" s="15"/>
      <c r="Y9" s="15"/>
      <c r="Z9" s="38"/>
    </row>
    <row r="10" spans="1:26" x14ac:dyDescent="0.3">
      <c r="A10" s="10"/>
      <c r="B10" s="53"/>
      <c r="C10" s="10"/>
      <c r="D10" s="42" t="s">
        <v>57</v>
      </c>
      <c r="E10" s="34"/>
      <c r="F10" s="40" t="s">
        <v>40</v>
      </c>
      <c r="G10" s="34"/>
      <c r="H10" s="45" t="s">
        <v>238</v>
      </c>
      <c r="I10" s="34"/>
      <c r="J10" s="48" t="s">
        <v>58</v>
      </c>
      <c r="K10" s="10"/>
      <c r="L10" s="42" t="s">
        <v>127</v>
      </c>
      <c r="M10" s="10"/>
      <c r="N10" s="40" t="s">
        <v>258</v>
      </c>
      <c r="O10" s="10"/>
      <c r="P10" s="56" t="s">
        <v>57</v>
      </c>
      <c r="Q10" s="34"/>
      <c r="R10" s="40" t="s">
        <v>40</v>
      </c>
      <c r="S10" s="34"/>
      <c r="T10" s="45" t="s">
        <v>238</v>
      </c>
      <c r="U10" s="34"/>
      <c r="V10" s="48" t="s">
        <v>58</v>
      </c>
      <c r="W10" s="10"/>
      <c r="X10" s="42" t="s">
        <v>127</v>
      </c>
      <c r="Y10" s="10"/>
      <c r="Z10" s="40" t="s">
        <v>258</v>
      </c>
    </row>
    <row r="11" spans="1:26" ht="15.6" x14ac:dyDescent="0.3">
      <c r="A11" s="9"/>
      <c r="B11" s="58"/>
      <c r="C11" s="9"/>
      <c r="D11" s="9"/>
      <c r="E11" s="9"/>
      <c r="F11" s="6"/>
      <c r="G11" s="9"/>
      <c r="H11" s="9"/>
      <c r="I11" s="9"/>
      <c r="J11" s="46"/>
      <c r="K11" s="9"/>
      <c r="L11" s="9"/>
      <c r="M11" s="9"/>
      <c r="N11" s="6"/>
      <c r="P11" s="9"/>
      <c r="Q11" s="9"/>
      <c r="R11" s="6"/>
      <c r="S11" s="9"/>
      <c r="T11" s="9"/>
      <c r="U11" s="9"/>
      <c r="V11" s="46"/>
      <c r="W11" s="9"/>
      <c r="X11" s="9"/>
      <c r="Y11" s="9"/>
      <c r="Z11" s="6"/>
    </row>
    <row r="12" spans="1:26" s="23" customFormat="1" collapsed="1" x14ac:dyDescent="0.3">
      <c r="A12" s="10"/>
      <c r="B12" s="25" t="s">
        <v>140</v>
      </c>
      <c r="C12" s="10"/>
      <c r="D12" s="4">
        <f>SUM(OSRRefD13x_0)</f>
        <v>62114.82</v>
      </c>
      <c r="E12" s="4"/>
      <c r="F12" s="12"/>
      <c r="G12" s="4"/>
      <c r="H12" s="4">
        <f>SUM(OSRRefH13x_0)</f>
        <v>85560</v>
      </c>
      <c r="I12" s="4"/>
      <c r="J12" s="12"/>
      <c r="K12" s="4"/>
      <c r="L12" s="4">
        <f t="shared" ref="L12:L16" si="0">+D12-H12</f>
        <v>-23445.18</v>
      </c>
      <c r="M12" s="4"/>
      <c r="N12" s="12">
        <f t="shared" ref="N12:N16" si="1">IF(H12=0,0,L12/H12)</f>
        <v>-0.27402033660589059</v>
      </c>
      <c r="O12" s="10"/>
      <c r="P12" s="4">
        <f>SUM(OSRRefP13x_0)</f>
        <v>62114.82</v>
      </c>
      <c r="Q12" s="4"/>
      <c r="R12" s="12"/>
      <c r="S12" s="4"/>
      <c r="T12" s="4">
        <f>SUM(OSRRefT13x_0)</f>
        <v>85560</v>
      </c>
      <c r="U12" s="4"/>
      <c r="V12" s="12"/>
      <c r="W12" s="4"/>
      <c r="X12" s="4">
        <f t="shared" ref="X12:X16" si="2">+P12-T12</f>
        <v>-23445.18</v>
      </c>
      <c r="Y12" s="4"/>
      <c r="Z12" s="12">
        <f t="shared" ref="Z12:Z16" si="3">IF(T12=0,0,X12/T12)</f>
        <v>-0.27402033660589059</v>
      </c>
    </row>
    <row r="13" spans="1:26" s="24" customFormat="1" hidden="1" outlineLevel="1" x14ac:dyDescent="0.3">
      <c r="A13" s="44"/>
      <c r="B13" s="11" t="str">
        <f>CONCATENATE("          ", "4000", " - ", "TAXABLE SALES")</f>
        <v xml:space="preserve">          4000 - TAXABLE SALES</v>
      </c>
      <c r="C13" s="11"/>
      <c r="D13" s="3">
        <f>--34833.91</f>
        <v>34833.910000000003</v>
      </c>
      <c r="E13" s="3"/>
      <c r="F13" s="19"/>
      <c r="G13" s="3"/>
      <c r="H13" s="3">
        <v>85560</v>
      </c>
      <c r="I13" s="3"/>
      <c r="J13" s="19"/>
      <c r="K13" s="3"/>
      <c r="L13" s="3">
        <f t="shared" si="0"/>
        <v>-50726.09</v>
      </c>
      <c r="M13" s="3"/>
      <c r="N13" s="19">
        <f t="shared" si="1"/>
        <v>-0.59287155212716214</v>
      </c>
      <c r="O13" s="11"/>
      <c r="P13" s="3">
        <f>--34833.91</f>
        <v>34833.910000000003</v>
      </c>
      <c r="Q13" s="3"/>
      <c r="R13" s="19"/>
      <c r="S13" s="3"/>
      <c r="T13" s="3">
        <v>85560</v>
      </c>
      <c r="U13" s="3"/>
      <c r="V13" s="19"/>
      <c r="W13" s="3"/>
      <c r="X13" s="3">
        <f t="shared" si="2"/>
        <v>-50726.09</v>
      </c>
      <c r="Y13" s="3"/>
      <c r="Z13" s="19">
        <f t="shared" si="3"/>
        <v>-0.59287155212716214</v>
      </c>
    </row>
    <row r="14" spans="1:26" s="24" customFormat="1" hidden="1" outlineLevel="1" x14ac:dyDescent="0.3">
      <c r="A14" s="44"/>
      <c r="B14" s="11" t="str">
        <f>CONCATENATE("          ", "4100", " - ", "NON-TAXABLE SALES")</f>
        <v xml:space="preserve">          4100 - NON-TAXABLE SALES</v>
      </c>
      <c r="C14" s="11"/>
      <c r="D14" s="3">
        <f>--29184.3</f>
        <v>29184.3</v>
      </c>
      <c r="E14" s="3"/>
      <c r="F14" s="19"/>
      <c r="G14" s="3"/>
      <c r="H14" s="3">
        <v>0</v>
      </c>
      <c r="I14" s="3"/>
      <c r="J14" s="19"/>
      <c r="K14" s="3"/>
      <c r="L14" s="3">
        <f t="shared" si="0"/>
        <v>29184.3</v>
      </c>
      <c r="M14" s="3"/>
      <c r="N14" s="19">
        <f t="shared" si="1"/>
        <v>0</v>
      </c>
      <c r="O14" s="11"/>
      <c r="P14" s="3">
        <f>--29184.3</f>
        <v>29184.3</v>
      </c>
      <c r="Q14" s="3"/>
      <c r="R14" s="19"/>
      <c r="S14" s="3"/>
      <c r="T14" s="3">
        <v>0</v>
      </c>
      <c r="U14" s="3"/>
      <c r="V14" s="19"/>
      <c r="W14" s="3"/>
      <c r="X14" s="3">
        <f t="shared" si="2"/>
        <v>29184.3</v>
      </c>
      <c r="Y14" s="3"/>
      <c r="Z14" s="19">
        <f t="shared" si="3"/>
        <v>0</v>
      </c>
    </row>
    <row r="15" spans="1:26" s="24" customFormat="1" hidden="1" outlineLevel="1" x14ac:dyDescent="0.3">
      <c r="A15" s="44"/>
      <c r="B15" s="11" t="str">
        <f>CONCATENATE("          ", "4200", " - ", "TAXABLE RETURNS")</f>
        <v xml:space="preserve">          4200 - TAXABLE RETURNS</v>
      </c>
      <c r="C15" s="11"/>
      <c r="D15" s="3">
        <f>-920.66</f>
        <v>-920.66</v>
      </c>
      <c r="E15" s="3"/>
      <c r="F15" s="19"/>
      <c r="G15" s="3"/>
      <c r="H15" s="3"/>
      <c r="I15" s="3"/>
      <c r="J15" s="19"/>
      <c r="K15" s="3"/>
      <c r="L15" s="3">
        <f t="shared" si="0"/>
        <v>-920.66</v>
      </c>
      <c r="M15" s="3"/>
      <c r="N15" s="19">
        <f t="shared" si="1"/>
        <v>0</v>
      </c>
      <c r="O15" s="11"/>
      <c r="P15" s="3">
        <f>-920.66</f>
        <v>-920.66</v>
      </c>
      <c r="Q15" s="3"/>
      <c r="R15" s="19"/>
      <c r="S15" s="3"/>
      <c r="T15" s="3"/>
      <c r="U15" s="3"/>
      <c r="V15" s="19"/>
      <c r="W15" s="3"/>
      <c r="X15" s="3">
        <f t="shared" si="2"/>
        <v>-920.66</v>
      </c>
      <c r="Y15" s="3"/>
      <c r="Z15" s="19">
        <f t="shared" si="3"/>
        <v>0</v>
      </c>
    </row>
    <row r="16" spans="1:26" s="24" customFormat="1" hidden="1" outlineLevel="1" x14ac:dyDescent="0.3">
      <c r="A16" s="44"/>
      <c r="B16" s="11" t="str">
        <f>CONCATENATE("          ", "4300", " - ", "NON-TAX RETURNS")</f>
        <v xml:space="preserve">          4300 - NON-TAX RETURNS</v>
      </c>
      <c r="C16" s="11"/>
      <c r="D16" s="3">
        <f>-982.73</f>
        <v>-982.73</v>
      </c>
      <c r="E16" s="3"/>
      <c r="F16" s="19"/>
      <c r="G16" s="3"/>
      <c r="H16" s="3"/>
      <c r="I16" s="3"/>
      <c r="J16" s="19"/>
      <c r="K16" s="3"/>
      <c r="L16" s="3">
        <f t="shared" si="0"/>
        <v>-982.73</v>
      </c>
      <c r="M16" s="3"/>
      <c r="N16" s="19">
        <f t="shared" si="1"/>
        <v>0</v>
      </c>
      <c r="O16" s="11"/>
      <c r="P16" s="3">
        <f>-982.73</f>
        <v>-982.73</v>
      </c>
      <c r="Q16" s="3"/>
      <c r="R16" s="19"/>
      <c r="S16" s="3"/>
      <c r="T16" s="3"/>
      <c r="U16" s="3"/>
      <c r="V16" s="19"/>
      <c r="W16" s="3"/>
      <c r="X16" s="3">
        <f t="shared" si="2"/>
        <v>-982.73</v>
      </c>
      <c r="Y16" s="3"/>
      <c r="Z16" s="19">
        <f t="shared" si="3"/>
        <v>0</v>
      </c>
    </row>
    <row r="17" spans="1:26" x14ac:dyDescent="0.3">
      <c r="A17" s="9"/>
      <c r="B17" s="10"/>
      <c r="C17" s="9"/>
      <c r="D17" s="2"/>
      <c r="E17" s="2"/>
      <c r="F17" s="6"/>
      <c r="G17" s="2"/>
      <c r="H17" s="2"/>
      <c r="I17" s="2"/>
      <c r="J17" s="6"/>
      <c r="K17" s="2"/>
      <c r="L17" s="2"/>
      <c r="M17" s="2"/>
      <c r="N17" s="6"/>
      <c r="P17" s="2"/>
      <c r="Q17" s="2"/>
      <c r="R17" s="6"/>
      <c r="S17" s="2"/>
      <c r="T17" s="2"/>
      <c r="U17" s="2"/>
      <c r="V17" s="6"/>
      <c r="W17" s="2"/>
      <c r="X17" s="2"/>
      <c r="Y17" s="2"/>
      <c r="Z17" s="6"/>
    </row>
    <row r="18" spans="1:26" s="23" customFormat="1" collapsed="1" x14ac:dyDescent="0.3">
      <c r="A18" s="10"/>
      <c r="B18" s="25" t="s">
        <v>257</v>
      </c>
      <c r="C18" s="10"/>
      <c r="D18" s="4">
        <f>SUM(OSRRefD16x_0)</f>
        <v>44701.750000000007</v>
      </c>
      <c r="E18" s="4"/>
      <c r="F18" s="12">
        <f t="shared" ref="F18:F28" si="4">IF(D$12=0,0,D18/D$12)</f>
        <v>0.71966319792925437</v>
      </c>
      <c r="G18" s="4"/>
      <c r="H18" s="4">
        <f>SUM(OSRRefH16x_0)</f>
        <v>61853</v>
      </c>
      <c r="I18" s="4"/>
      <c r="J18" s="12">
        <f t="shared" ref="J18:J28" si="5">IF(H$12=0,0,H18/H$12)</f>
        <v>0.72291958859280037</v>
      </c>
      <c r="K18" s="4"/>
      <c r="L18" s="4">
        <f t="shared" ref="L18:L28" si="6">+D18-H18</f>
        <v>-17151.249999999993</v>
      </c>
      <c r="M18" s="4"/>
      <c r="N18" s="12">
        <f t="shared" ref="N18:N28" si="7">IF(H18=0,0,L18/H18)</f>
        <v>-0.27729051137374083</v>
      </c>
      <c r="O18" s="10"/>
      <c r="P18" s="4">
        <f>SUM(OSRRefP16x_0)</f>
        <v>44701.750000000007</v>
      </c>
      <c r="Q18" s="4"/>
      <c r="R18" s="12">
        <f t="shared" ref="R18:R28" si="8">IF(P$12=0,0,P18/P$12)</f>
        <v>0.71966319792925437</v>
      </c>
      <c r="S18" s="4"/>
      <c r="T18" s="4">
        <f>SUM(OSRRefT16x_0)</f>
        <v>61853</v>
      </c>
      <c r="U18" s="4"/>
      <c r="V18" s="12">
        <f t="shared" ref="V18:V28" si="9">IF(T$12=0,0,T18/T$12)</f>
        <v>0.72291958859280037</v>
      </c>
      <c r="W18" s="4"/>
      <c r="X18" s="4">
        <f t="shared" ref="X18:X28" si="10">+P18-T18</f>
        <v>-17151.249999999993</v>
      </c>
      <c r="Y18" s="4"/>
      <c r="Z18" s="12">
        <f t="shared" ref="Z18:Z28" si="11">IF(T18=0,0,X18/T18)</f>
        <v>-0.27729051137374083</v>
      </c>
    </row>
    <row r="19" spans="1:26" s="24" customFormat="1" hidden="1" outlineLevel="1" x14ac:dyDescent="0.3">
      <c r="A19" s="44"/>
      <c r="B19" s="11" t="str">
        <f>CONCATENATE("          ", "5000", " - ", "PURCHASES @ COST")</f>
        <v xml:space="preserve">          5000 - PURCHASES @ COST</v>
      </c>
      <c r="C19" s="11"/>
      <c r="D19" s="3">
        <v>264218.03999999998</v>
      </c>
      <c r="E19" s="3"/>
      <c r="F19" s="19">
        <f t="shared" si="4"/>
        <v>4.2537037054925051</v>
      </c>
      <c r="G19" s="3"/>
      <c r="H19" s="3">
        <v>61853</v>
      </c>
      <c r="I19" s="3"/>
      <c r="J19" s="19">
        <f t="shared" si="5"/>
        <v>0.72291958859280037</v>
      </c>
      <c r="K19" s="3"/>
      <c r="L19" s="3">
        <f t="shared" si="6"/>
        <v>202365.03999999998</v>
      </c>
      <c r="M19" s="3"/>
      <c r="N19" s="19">
        <f t="shared" si="7"/>
        <v>3.2717093754547069</v>
      </c>
      <c r="O19" s="11"/>
      <c r="P19" s="3">
        <v>264218.03999999998</v>
      </c>
      <c r="Q19" s="3"/>
      <c r="R19" s="19">
        <f t="shared" si="8"/>
        <v>4.2537037054925051</v>
      </c>
      <c r="S19" s="3"/>
      <c r="T19" s="3">
        <v>61853</v>
      </c>
      <c r="U19" s="3"/>
      <c r="V19" s="19">
        <f t="shared" si="9"/>
        <v>0.72291958859280037</v>
      </c>
      <c r="W19" s="3"/>
      <c r="X19" s="3">
        <f t="shared" si="10"/>
        <v>202365.03999999998</v>
      </c>
      <c r="Y19" s="3"/>
      <c r="Z19" s="19">
        <f t="shared" si="11"/>
        <v>3.2717093754547069</v>
      </c>
    </row>
    <row r="20" spans="1:26" s="24" customFormat="1" hidden="1" outlineLevel="1" x14ac:dyDescent="0.3">
      <c r="A20" s="44"/>
      <c r="B20" s="11" t="str">
        <f>CONCATENATE("          ", "5001", " - ", "PURCHASES @ COST-NEW TEXT")</f>
        <v xml:space="preserve">          5001 - PURCHASES @ COST-NEW TEXT</v>
      </c>
      <c r="C20" s="11"/>
      <c r="D20" s="3">
        <v>0</v>
      </c>
      <c r="E20" s="3"/>
      <c r="F20" s="19">
        <f t="shared" si="4"/>
        <v>0</v>
      </c>
      <c r="G20" s="3"/>
      <c r="H20" s="3"/>
      <c r="I20" s="3"/>
      <c r="J20" s="19">
        <f t="shared" si="5"/>
        <v>0</v>
      </c>
      <c r="K20" s="3"/>
      <c r="L20" s="3">
        <f t="shared" si="6"/>
        <v>0</v>
      </c>
      <c r="M20" s="3"/>
      <c r="N20" s="19">
        <f t="shared" si="7"/>
        <v>0</v>
      </c>
      <c r="O20" s="11"/>
      <c r="P20" s="3">
        <v>0</v>
      </c>
      <c r="Q20" s="3"/>
      <c r="R20" s="19">
        <f t="shared" si="8"/>
        <v>0</v>
      </c>
      <c r="S20" s="3"/>
      <c r="T20" s="3"/>
      <c r="U20" s="3"/>
      <c r="V20" s="19">
        <f t="shared" si="9"/>
        <v>0</v>
      </c>
      <c r="W20" s="3"/>
      <c r="X20" s="3">
        <f t="shared" si="10"/>
        <v>0</v>
      </c>
      <c r="Y20" s="3"/>
      <c r="Z20" s="19">
        <f t="shared" si="11"/>
        <v>0</v>
      </c>
    </row>
    <row r="21" spans="1:26" s="24" customFormat="1" hidden="1" outlineLevel="1" x14ac:dyDescent="0.3">
      <c r="A21" s="44"/>
      <c r="B21" s="11" t="str">
        <f>CONCATENATE("          ", "5002", " - ", "PURCHASES @ COST-USED TEXT")</f>
        <v xml:space="preserve">          5002 - PURCHASES @ COST-USED TEXT</v>
      </c>
      <c r="C21" s="11"/>
      <c r="D21" s="3">
        <v>0</v>
      </c>
      <c r="E21" s="3"/>
      <c r="F21" s="19">
        <f t="shared" si="4"/>
        <v>0</v>
      </c>
      <c r="G21" s="3"/>
      <c r="H21" s="3"/>
      <c r="I21" s="3"/>
      <c r="J21" s="19">
        <f t="shared" si="5"/>
        <v>0</v>
      </c>
      <c r="K21" s="3"/>
      <c r="L21" s="3">
        <f t="shared" si="6"/>
        <v>0</v>
      </c>
      <c r="M21" s="3"/>
      <c r="N21" s="19">
        <f t="shared" si="7"/>
        <v>0</v>
      </c>
      <c r="O21" s="11"/>
      <c r="P21" s="3">
        <v>0</v>
      </c>
      <c r="Q21" s="3"/>
      <c r="R21" s="19">
        <f t="shared" si="8"/>
        <v>0</v>
      </c>
      <c r="S21" s="3"/>
      <c r="T21" s="3"/>
      <c r="U21" s="3"/>
      <c r="V21" s="19">
        <f t="shared" si="9"/>
        <v>0</v>
      </c>
      <c r="W21" s="3"/>
      <c r="X21" s="3">
        <f t="shared" si="10"/>
        <v>0</v>
      </c>
      <c r="Y21" s="3"/>
      <c r="Z21" s="19">
        <f t="shared" si="11"/>
        <v>0</v>
      </c>
    </row>
    <row r="22" spans="1:26" s="24" customFormat="1" hidden="1" outlineLevel="1" x14ac:dyDescent="0.3">
      <c r="A22" s="44"/>
      <c r="B22" s="11" t="str">
        <f>CONCATENATE("          ", "5004", " - ", "PURCHASES @ COST-DIGITAL TEXT")</f>
        <v xml:space="preserve">          5004 - PURCHASES @ COST-DIGITAL TEXT</v>
      </c>
      <c r="C22" s="11"/>
      <c r="D22" s="3">
        <v>0</v>
      </c>
      <c r="E22" s="3"/>
      <c r="F22" s="19">
        <f t="shared" si="4"/>
        <v>0</v>
      </c>
      <c r="G22" s="3"/>
      <c r="H22" s="3"/>
      <c r="I22" s="3"/>
      <c r="J22" s="19">
        <f t="shared" si="5"/>
        <v>0</v>
      </c>
      <c r="K22" s="3"/>
      <c r="L22" s="3">
        <f t="shared" si="6"/>
        <v>0</v>
      </c>
      <c r="M22" s="3"/>
      <c r="N22" s="19">
        <f t="shared" si="7"/>
        <v>0</v>
      </c>
      <c r="O22" s="11"/>
      <c r="P22" s="3">
        <v>0</v>
      </c>
      <c r="Q22" s="3"/>
      <c r="R22" s="19">
        <f t="shared" si="8"/>
        <v>0</v>
      </c>
      <c r="S22" s="3"/>
      <c r="T22" s="3"/>
      <c r="U22" s="3"/>
      <c r="V22" s="19">
        <f t="shared" si="9"/>
        <v>0</v>
      </c>
      <c r="W22" s="3"/>
      <c r="X22" s="3">
        <f t="shared" si="10"/>
        <v>0</v>
      </c>
      <c r="Y22" s="3"/>
      <c r="Z22" s="19">
        <f t="shared" si="11"/>
        <v>0</v>
      </c>
    </row>
    <row r="23" spans="1:26" s="24" customFormat="1" hidden="1" outlineLevel="1" x14ac:dyDescent="0.3">
      <c r="A23" s="44"/>
      <c r="B23" s="11" t="str">
        <f>CONCATENATE("          ", "5200", " - ", "PURCHASES OFFSET")</f>
        <v xml:space="preserve">          5200 - PURCHASES OFFSET</v>
      </c>
      <c r="C23" s="11"/>
      <c r="D23" s="3">
        <v>-264391.71999999997</v>
      </c>
      <c r="E23" s="3"/>
      <c r="F23" s="19">
        <f t="shared" si="4"/>
        <v>-4.2564998175958646</v>
      </c>
      <c r="G23" s="3"/>
      <c r="H23" s="3"/>
      <c r="I23" s="3"/>
      <c r="J23" s="19">
        <f t="shared" si="5"/>
        <v>0</v>
      </c>
      <c r="K23" s="3"/>
      <c r="L23" s="3">
        <f t="shared" si="6"/>
        <v>-264391.71999999997</v>
      </c>
      <c r="M23" s="3"/>
      <c r="N23" s="19">
        <f t="shared" si="7"/>
        <v>0</v>
      </c>
      <c r="O23" s="11"/>
      <c r="P23" s="3">
        <v>-264391.71999999997</v>
      </c>
      <c r="Q23" s="3"/>
      <c r="R23" s="19">
        <f t="shared" si="8"/>
        <v>-4.2564998175958646</v>
      </c>
      <c r="S23" s="3"/>
      <c r="T23" s="3"/>
      <c r="U23" s="3"/>
      <c r="V23" s="19">
        <f t="shared" si="9"/>
        <v>0</v>
      </c>
      <c r="W23" s="3"/>
      <c r="X23" s="3">
        <f t="shared" si="10"/>
        <v>-264391.71999999997</v>
      </c>
      <c r="Y23" s="3"/>
      <c r="Z23" s="19">
        <f t="shared" si="11"/>
        <v>0</v>
      </c>
    </row>
    <row r="24" spans="1:26" s="24" customFormat="1" hidden="1" outlineLevel="1" x14ac:dyDescent="0.3">
      <c r="A24" s="44"/>
      <c r="B24" s="11" t="str">
        <f>CONCATENATE("          ", "5300", " - ", "COG$ OFFSET")</f>
        <v xml:space="preserve">          5300 - COG$ OFFSET</v>
      </c>
      <c r="C24" s="11"/>
      <c r="D24" s="3">
        <v>42691.72</v>
      </c>
      <c r="E24" s="3"/>
      <c r="F24" s="19">
        <f t="shared" si="4"/>
        <v>0.68730328768561189</v>
      </c>
      <c r="G24" s="3"/>
      <c r="H24" s="3"/>
      <c r="I24" s="3"/>
      <c r="J24" s="19">
        <f t="shared" si="5"/>
        <v>0</v>
      </c>
      <c r="K24" s="3"/>
      <c r="L24" s="3">
        <f t="shared" si="6"/>
        <v>42691.72</v>
      </c>
      <c r="M24" s="3"/>
      <c r="N24" s="19">
        <f t="shared" si="7"/>
        <v>0</v>
      </c>
      <c r="O24" s="11"/>
      <c r="P24" s="3">
        <v>42691.72</v>
      </c>
      <c r="Q24" s="3"/>
      <c r="R24" s="19">
        <f t="shared" si="8"/>
        <v>0.68730328768561189</v>
      </c>
      <c r="S24" s="3"/>
      <c r="T24" s="3"/>
      <c r="U24" s="3"/>
      <c r="V24" s="19">
        <f t="shared" si="9"/>
        <v>0</v>
      </c>
      <c r="W24" s="3"/>
      <c r="X24" s="3">
        <f t="shared" si="10"/>
        <v>42691.72</v>
      </c>
      <c r="Y24" s="3"/>
      <c r="Z24" s="19">
        <f t="shared" si="11"/>
        <v>0</v>
      </c>
    </row>
    <row r="25" spans="1:26" s="24" customFormat="1" hidden="1" outlineLevel="1" x14ac:dyDescent="0.3">
      <c r="A25" s="44"/>
      <c r="B25" s="11" t="str">
        <f>CONCATENATE("          ", "5500", " - ", "FREIGHT-IN")</f>
        <v xml:space="preserve">          5500 - FREIGHT-IN</v>
      </c>
      <c r="C25" s="11"/>
      <c r="D25" s="3">
        <v>2183.71</v>
      </c>
      <c r="E25" s="3"/>
      <c r="F25" s="19">
        <f t="shared" si="4"/>
        <v>3.5156022347001895E-2</v>
      </c>
      <c r="G25" s="3"/>
      <c r="H25" s="3"/>
      <c r="I25" s="3"/>
      <c r="J25" s="19">
        <f t="shared" si="5"/>
        <v>0</v>
      </c>
      <c r="K25" s="3"/>
      <c r="L25" s="3">
        <f t="shared" si="6"/>
        <v>2183.71</v>
      </c>
      <c r="M25" s="3"/>
      <c r="N25" s="19">
        <f t="shared" si="7"/>
        <v>0</v>
      </c>
      <c r="O25" s="11"/>
      <c r="P25" s="3">
        <v>2183.71</v>
      </c>
      <c r="Q25" s="3"/>
      <c r="R25" s="19">
        <f t="shared" si="8"/>
        <v>3.5156022347001895E-2</v>
      </c>
      <c r="S25" s="3"/>
      <c r="T25" s="3"/>
      <c r="U25" s="3"/>
      <c r="V25" s="19">
        <f t="shared" si="9"/>
        <v>0</v>
      </c>
      <c r="W25" s="3"/>
      <c r="X25" s="3">
        <f t="shared" si="10"/>
        <v>2183.71</v>
      </c>
      <c r="Y25" s="3"/>
      <c r="Z25" s="19">
        <f t="shared" si="11"/>
        <v>0</v>
      </c>
    </row>
    <row r="26" spans="1:26" s="24" customFormat="1" hidden="1" outlineLevel="1" x14ac:dyDescent="0.3">
      <c r="A26" s="44"/>
      <c r="B26" s="11" t="str">
        <f>CONCATENATE("          ", "5501", " - ", "FREIGHT-IN-NEW TEXT")</f>
        <v xml:space="preserve">          5501 - FREIGHT-IN-NEW TEXT</v>
      </c>
      <c r="C26" s="11"/>
      <c r="D26" s="3">
        <v>0</v>
      </c>
      <c r="E26" s="3"/>
      <c r="F26" s="19">
        <f t="shared" si="4"/>
        <v>0</v>
      </c>
      <c r="G26" s="3"/>
      <c r="H26" s="3"/>
      <c r="I26" s="3"/>
      <c r="J26" s="19">
        <f t="shared" si="5"/>
        <v>0</v>
      </c>
      <c r="K26" s="3"/>
      <c r="L26" s="3">
        <f t="shared" si="6"/>
        <v>0</v>
      </c>
      <c r="M26" s="3"/>
      <c r="N26" s="19">
        <f t="shared" si="7"/>
        <v>0</v>
      </c>
      <c r="O26" s="11"/>
      <c r="P26" s="3">
        <v>0</v>
      </c>
      <c r="Q26" s="3"/>
      <c r="R26" s="19">
        <f t="shared" si="8"/>
        <v>0</v>
      </c>
      <c r="S26" s="3"/>
      <c r="T26" s="3"/>
      <c r="U26" s="3"/>
      <c r="V26" s="19">
        <f t="shared" si="9"/>
        <v>0</v>
      </c>
      <c r="W26" s="3"/>
      <c r="X26" s="3">
        <f t="shared" si="10"/>
        <v>0</v>
      </c>
      <c r="Y26" s="3"/>
      <c r="Z26" s="19">
        <f t="shared" si="11"/>
        <v>0</v>
      </c>
    </row>
    <row r="27" spans="1:26" s="24" customFormat="1" hidden="1" outlineLevel="1" x14ac:dyDescent="0.3">
      <c r="A27" s="44"/>
      <c r="B27" s="11" t="str">
        <f>CONCATENATE("          ", "5502", " - ", "FREIGHT-IN-USED TEXT")</f>
        <v xml:space="preserve">          5502 - FREIGHT-IN-USED TEXT</v>
      </c>
      <c r="C27" s="11"/>
      <c r="D27" s="3">
        <v>0</v>
      </c>
      <c r="E27" s="3"/>
      <c r="F27" s="19">
        <f t="shared" si="4"/>
        <v>0</v>
      </c>
      <c r="G27" s="3"/>
      <c r="H27" s="3"/>
      <c r="I27" s="3"/>
      <c r="J27" s="19">
        <f t="shared" si="5"/>
        <v>0</v>
      </c>
      <c r="K27" s="3"/>
      <c r="L27" s="3">
        <f t="shared" si="6"/>
        <v>0</v>
      </c>
      <c r="M27" s="3"/>
      <c r="N27" s="19">
        <f t="shared" si="7"/>
        <v>0</v>
      </c>
      <c r="O27" s="11"/>
      <c r="P27" s="3">
        <v>0</v>
      </c>
      <c r="Q27" s="3"/>
      <c r="R27" s="19">
        <f t="shared" si="8"/>
        <v>0</v>
      </c>
      <c r="S27" s="3"/>
      <c r="T27" s="3"/>
      <c r="U27" s="3"/>
      <c r="V27" s="19">
        <f t="shared" si="9"/>
        <v>0</v>
      </c>
      <c r="W27" s="3"/>
      <c r="X27" s="3">
        <f t="shared" si="10"/>
        <v>0</v>
      </c>
      <c r="Y27" s="3"/>
      <c r="Z27" s="19">
        <f t="shared" si="11"/>
        <v>0</v>
      </c>
    </row>
    <row r="28" spans="1:26" s="24" customFormat="1" hidden="1" outlineLevel="1" x14ac:dyDescent="0.3">
      <c r="A28" s="44"/>
      <c r="B28" s="11" t="str">
        <f>CONCATENATE("          ", "5518", " - ", "FREIGHT-IN-STUDY GUIDES")</f>
        <v xml:space="preserve">          5518 - FREIGHT-IN-STUDY GUIDES</v>
      </c>
      <c r="C28" s="11"/>
      <c r="D28" s="3">
        <v>0</v>
      </c>
      <c r="E28" s="3"/>
      <c r="F28" s="19">
        <f t="shared" si="4"/>
        <v>0</v>
      </c>
      <c r="G28" s="3"/>
      <c r="H28" s="3"/>
      <c r="I28" s="3"/>
      <c r="J28" s="19">
        <f t="shared" si="5"/>
        <v>0</v>
      </c>
      <c r="K28" s="3"/>
      <c r="L28" s="3">
        <f t="shared" si="6"/>
        <v>0</v>
      </c>
      <c r="M28" s="3"/>
      <c r="N28" s="19">
        <f t="shared" si="7"/>
        <v>0</v>
      </c>
      <c r="O28" s="11"/>
      <c r="P28" s="3">
        <v>0</v>
      </c>
      <c r="Q28" s="3"/>
      <c r="R28" s="19">
        <f t="shared" si="8"/>
        <v>0</v>
      </c>
      <c r="S28" s="3"/>
      <c r="T28" s="3"/>
      <c r="U28" s="3"/>
      <c r="V28" s="19">
        <f t="shared" si="9"/>
        <v>0</v>
      </c>
      <c r="W28" s="3"/>
      <c r="X28" s="3">
        <f t="shared" si="10"/>
        <v>0</v>
      </c>
      <c r="Y28" s="3"/>
      <c r="Z28" s="19">
        <f t="shared" si="11"/>
        <v>0</v>
      </c>
    </row>
    <row r="29" spans="1:26" x14ac:dyDescent="0.3">
      <c r="A29" s="9"/>
      <c r="B29" s="10"/>
      <c r="C29" s="10"/>
      <c r="D29" s="2"/>
      <c r="E29" s="2"/>
      <c r="F29" s="6"/>
      <c r="G29" s="2"/>
      <c r="H29" s="2"/>
      <c r="I29" s="2"/>
      <c r="J29" s="6"/>
      <c r="K29" s="2"/>
      <c r="L29" s="2"/>
      <c r="M29" s="2"/>
      <c r="N29" s="6"/>
      <c r="O29" s="10"/>
      <c r="P29" s="2"/>
      <c r="Q29" s="2"/>
      <c r="R29" s="6"/>
      <c r="S29" s="2"/>
      <c r="T29" s="2"/>
      <c r="U29" s="2"/>
      <c r="V29" s="6"/>
      <c r="W29" s="2"/>
      <c r="X29" s="2"/>
      <c r="Y29" s="2"/>
      <c r="Z29" s="6"/>
    </row>
    <row r="30" spans="1:26" s="23" customFormat="1" x14ac:dyDescent="0.3">
      <c r="A30" s="10"/>
      <c r="B30" s="26" t="s">
        <v>108</v>
      </c>
      <c r="C30" s="26"/>
      <c r="D30" s="21">
        <f>D12-D18</f>
        <v>17413.069999999992</v>
      </c>
      <c r="E30" s="13"/>
      <c r="F30" s="22">
        <f>IF(D$12=0,0,D30/D$12)</f>
        <v>0.28033680207074563</v>
      </c>
      <c r="G30" s="13"/>
      <c r="H30" s="21">
        <f>H12-H18</f>
        <v>23707</v>
      </c>
      <c r="I30" s="13"/>
      <c r="J30" s="22">
        <f>IF(H$12=0,0,H30/H$12)</f>
        <v>0.27708041140719963</v>
      </c>
      <c r="K30" s="16"/>
      <c r="L30" s="21">
        <f>+D30-H30</f>
        <v>-6293.9300000000076</v>
      </c>
      <c r="M30" s="16"/>
      <c r="N30" s="22">
        <f>IF(H30=0,0,L30/H30)</f>
        <v>-0.26548825241489887</v>
      </c>
      <c r="O30" s="25"/>
      <c r="P30" s="21">
        <f>P12-P18</f>
        <v>17413.069999999992</v>
      </c>
      <c r="Q30" s="13"/>
      <c r="R30" s="22">
        <f>IF(P$12=0,0,P30/P$12)</f>
        <v>0.28033680207074563</v>
      </c>
      <c r="S30" s="13"/>
      <c r="T30" s="21">
        <f>T12-T18</f>
        <v>23707</v>
      </c>
      <c r="U30" s="13"/>
      <c r="V30" s="22">
        <f>IF(T$12=0,0,T30/T$12)</f>
        <v>0.27708041140719963</v>
      </c>
      <c r="W30" s="16"/>
      <c r="X30" s="21">
        <f>+P30-T30</f>
        <v>-6293.9300000000076</v>
      </c>
      <c r="Y30" s="16"/>
      <c r="Z30" s="22">
        <f>IF(T30=0,0,X30/T30)</f>
        <v>-0.26548825241489887</v>
      </c>
    </row>
    <row r="31" spans="1:26" x14ac:dyDescent="0.3">
      <c r="A31" s="9"/>
      <c r="B31" s="10"/>
      <c r="C31" s="9"/>
      <c r="D31" s="1"/>
      <c r="E31" s="1"/>
      <c r="F31" s="5"/>
      <c r="G31" s="1"/>
      <c r="H31" s="1"/>
      <c r="I31" s="1"/>
      <c r="J31" s="5"/>
      <c r="K31" s="1"/>
      <c r="L31" s="1"/>
      <c r="M31" s="1"/>
      <c r="N31" s="5"/>
      <c r="O31" s="36"/>
      <c r="P31" s="1"/>
      <c r="Q31" s="1"/>
      <c r="R31" s="5"/>
      <c r="S31" s="1"/>
      <c r="T31" s="1"/>
      <c r="U31" s="1"/>
      <c r="V31" s="5"/>
      <c r="W31" s="1"/>
      <c r="X31" s="1"/>
      <c r="Y31" s="1"/>
      <c r="Z31" s="5"/>
    </row>
    <row r="32" spans="1:26" s="23" customFormat="1" x14ac:dyDescent="0.3">
      <c r="A32" s="10"/>
      <c r="B32" s="25" t="s">
        <v>295</v>
      </c>
      <c r="C32" s="10"/>
      <c r="D32" s="20">
        <f>SUM(OSRRefD22x_0)</f>
        <v>49140.74</v>
      </c>
      <c r="E32" s="20"/>
      <c r="F32" s="32">
        <f t="shared" ref="F32:F43" si="12">IF(D$12=0,0,D32/D$12)</f>
        <v>0.79112746362301301</v>
      </c>
      <c r="G32" s="20"/>
      <c r="H32" s="20">
        <f>SUM(OSRRefH22x_0)</f>
        <v>54704.413568737196</v>
      </c>
      <c r="I32" s="20"/>
      <c r="J32" s="32">
        <f t="shared" ref="J32:J43" si="13">IF(H$12=0,0,H32/H$12)</f>
        <v>0.63936902254251049</v>
      </c>
      <c r="K32" s="4"/>
      <c r="L32" s="20">
        <f t="shared" ref="L32:L43" si="14">+D32-H32</f>
        <v>-5563.6735687371984</v>
      </c>
      <c r="M32" s="4"/>
      <c r="N32" s="32">
        <f t="shared" ref="N32:N43" si="15">IF(H32=0,0,L32/H32)</f>
        <v>-0.10170429049104658</v>
      </c>
      <c r="O32" s="10"/>
      <c r="P32" s="20">
        <f>SUM(OSRRefP22x_0)</f>
        <v>49140.74</v>
      </c>
      <c r="Q32" s="20"/>
      <c r="R32" s="32">
        <f t="shared" ref="R32:R43" si="16">IF(P$12=0,0,P32/P$12)</f>
        <v>0.79112746362301301</v>
      </c>
      <c r="S32" s="20"/>
      <c r="T32" s="20">
        <f>SUM(OSRRefT22x_0)</f>
        <v>54704.413568737196</v>
      </c>
      <c r="U32" s="20"/>
      <c r="V32" s="32">
        <f t="shared" ref="V32:V43" si="17">IF(T$12=0,0,T32/T$12)</f>
        <v>0.63936902254251049</v>
      </c>
      <c r="W32" s="4"/>
      <c r="X32" s="20">
        <f t="shared" ref="X32:X43" si="18">+P32-T32</f>
        <v>-5563.6735687371984</v>
      </c>
      <c r="Y32" s="4"/>
      <c r="Z32" s="32">
        <f t="shared" ref="Z32:Z43" si="19">IF(T32=0,0,X32/T32)</f>
        <v>-0.10170429049104658</v>
      </c>
    </row>
    <row r="33" spans="1:26" s="27" customFormat="1" outlineLevel="1" collapsed="1" x14ac:dyDescent="0.3">
      <c r="A33" s="28"/>
      <c r="B33" s="14" t="str">
        <f>CONCATENATE("     ","*Benefits                                         ")</f>
        <v xml:space="preserve">     *Benefits                                         </v>
      </c>
      <c r="C33" s="14"/>
      <c r="D33" s="1">
        <f>SUM(OSRRefD22_0x_0)</f>
        <v>11803.07</v>
      </c>
      <c r="E33" s="1"/>
      <c r="F33" s="5">
        <f t="shared" si="12"/>
        <v>0.19002019163864597</v>
      </c>
      <c r="G33" s="1"/>
      <c r="H33" s="1">
        <f>SUM(OSRRefH22_0x_0)</f>
        <v>15762.559137169899</v>
      </c>
      <c r="I33" s="1"/>
      <c r="J33" s="5">
        <f t="shared" si="13"/>
        <v>0.18422813390801659</v>
      </c>
      <c r="K33" s="1"/>
      <c r="L33" s="1">
        <f t="shared" si="14"/>
        <v>-3959.4891371698995</v>
      </c>
      <c r="M33" s="1"/>
      <c r="N33" s="5">
        <f t="shared" si="15"/>
        <v>-0.25119583074762114</v>
      </c>
      <c r="O33" s="14"/>
      <c r="P33" s="1">
        <f>SUM(OSRRefP22_0x_0)</f>
        <v>11803.07</v>
      </c>
      <c r="Q33" s="1"/>
      <c r="R33" s="5">
        <f t="shared" si="16"/>
        <v>0.19002019163864597</v>
      </c>
      <c r="S33" s="1"/>
      <c r="T33" s="1">
        <f>SUM(OSRRefT22_0x_0)</f>
        <v>15762.559137169899</v>
      </c>
      <c r="U33" s="1"/>
      <c r="V33" s="5">
        <f t="shared" si="17"/>
        <v>0.18422813390801659</v>
      </c>
      <c r="W33" s="1"/>
      <c r="X33" s="1">
        <f t="shared" si="18"/>
        <v>-3959.4891371698995</v>
      </c>
      <c r="Y33" s="1"/>
      <c r="Z33" s="5">
        <f t="shared" si="19"/>
        <v>-0.25119583074762114</v>
      </c>
    </row>
    <row r="34" spans="1:26" s="24" customFormat="1" hidden="1" outlineLevel="2" x14ac:dyDescent="0.3">
      <c r="A34" s="29"/>
      <c r="B34" s="11" t="str">
        <f>CONCATENATE("          ", "6111", " - ", "F.I.C.A.")</f>
        <v xml:space="preserve">          6111 - F.I.C.A.</v>
      </c>
      <c r="C34" s="11"/>
      <c r="D34" s="8">
        <v>2103.61</v>
      </c>
      <c r="E34" s="3"/>
      <c r="F34" s="7">
        <f t="shared" si="12"/>
        <v>3.3866475021581001E-2</v>
      </c>
      <c r="G34" s="3"/>
      <c r="H34" s="8">
        <v>2584.0653474747101</v>
      </c>
      <c r="I34" s="3"/>
      <c r="J34" s="7">
        <f t="shared" si="13"/>
        <v>3.0201792279975572E-2</v>
      </c>
      <c r="K34" s="3"/>
      <c r="L34" s="8">
        <f t="shared" si="14"/>
        <v>-480.45534747470992</v>
      </c>
      <c r="M34" s="3"/>
      <c r="N34" s="7">
        <f t="shared" si="15"/>
        <v>-0.18593002996005389</v>
      </c>
      <c r="O34" s="11"/>
      <c r="P34" s="8">
        <v>2103.61</v>
      </c>
      <c r="Q34" s="3"/>
      <c r="R34" s="7">
        <f t="shared" si="16"/>
        <v>3.3866475021581001E-2</v>
      </c>
      <c r="S34" s="3"/>
      <c r="T34" s="8">
        <v>2584.0653474747101</v>
      </c>
      <c r="U34" s="3"/>
      <c r="V34" s="7">
        <f t="shared" si="17"/>
        <v>3.0201792279975572E-2</v>
      </c>
      <c r="W34" s="3"/>
      <c r="X34" s="8">
        <f t="shared" si="18"/>
        <v>-480.45534747470992</v>
      </c>
      <c r="Y34" s="3"/>
      <c r="Z34" s="7">
        <f t="shared" si="19"/>
        <v>-0.18593002996005389</v>
      </c>
    </row>
    <row r="35" spans="1:26" s="24" customFormat="1" hidden="1" outlineLevel="2" x14ac:dyDescent="0.3">
      <c r="A35" s="29"/>
      <c r="B35" s="11" t="str">
        <f>CONCATENATE("          ", "6112", " - ", "COMPENSATION INSURANCE")</f>
        <v xml:space="preserve">          6112 - COMPENSATION INSURANCE</v>
      </c>
      <c r="C35" s="11"/>
      <c r="D35" s="8">
        <v>382.51</v>
      </c>
      <c r="E35" s="3"/>
      <c r="F35" s="7">
        <f t="shared" si="12"/>
        <v>6.1581117034549887E-3</v>
      </c>
      <c r="G35" s="3"/>
      <c r="H35" s="8">
        <v>589.29609434999998</v>
      </c>
      <c r="I35" s="3"/>
      <c r="J35" s="7">
        <f t="shared" si="13"/>
        <v>6.8875186342917246E-3</v>
      </c>
      <c r="K35" s="3"/>
      <c r="L35" s="8">
        <f t="shared" si="14"/>
        <v>-206.78609434999998</v>
      </c>
      <c r="M35" s="3"/>
      <c r="N35" s="7">
        <f t="shared" si="15"/>
        <v>-0.35090355482176971</v>
      </c>
      <c r="O35" s="11"/>
      <c r="P35" s="8">
        <v>382.51</v>
      </c>
      <c r="Q35" s="3"/>
      <c r="R35" s="7">
        <f t="shared" si="16"/>
        <v>6.1581117034549887E-3</v>
      </c>
      <c r="S35" s="3"/>
      <c r="T35" s="8">
        <v>589.29609434999998</v>
      </c>
      <c r="U35" s="3"/>
      <c r="V35" s="7">
        <f t="shared" si="17"/>
        <v>6.8875186342917246E-3</v>
      </c>
      <c r="W35" s="3"/>
      <c r="X35" s="8">
        <f t="shared" si="18"/>
        <v>-206.78609434999998</v>
      </c>
      <c r="Y35" s="3"/>
      <c r="Z35" s="7">
        <f t="shared" si="19"/>
        <v>-0.35090355482176971</v>
      </c>
    </row>
    <row r="36" spans="1:26" s="24" customFormat="1" hidden="1" outlineLevel="2" x14ac:dyDescent="0.3">
      <c r="A36" s="29"/>
      <c r="B36" s="11" t="str">
        <f>CONCATENATE("          ", "6113", " - ", "GROUP INSURANCE")</f>
        <v xml:space="preserve">          6113 - GROUP INSURANCE</v>
      </c>
      <c r="C36" s="11"/>
      <c r="D36" s="8">
        <v>4593.8599999999997</v>
      </c>
      <c r="E36" s="3"/>
      <c r="F36" s="7">
        <f t="shared" si="12"/>
        <v>7.3957551515081266E-2</v>
      </c>
      <c r="G36" s="3"/>
      <c r="H36" s="8">
        <v>5620</v>
      </c>
      <c r="I36" s="3"/>
      <c r="J36" s="7">
        <f t="shared" si="13"/>
        <v>6.5684899485740994E-2</v>
      </c>
      <c r="K36" s="3"/>
      <c r="L36" s="8">
        <f t="shared" si="14"/>
        <v>-1026.1400000000003</v>
      </c>
      <c r="M36" s="3"/>
      <c r="N36" s="7">
        <f t="shared" si="15"/>
        <v>-0.18258718861209972</v>
      </c>
      <c r="O36" s="11"/>
      <c r="P36" s="8">
        <v>4593.8599999999997</v>
      </c>
      <c r="Q36" s="3"/>
      <c r="R36" s="7">
        <f t="shared" si="16"/>
        <v>7.3957551515081266E-2</v>
      </c>
      <c r="S36" s="3"/>
      <c r="T36" s="8">
        <v>5620</v>
      </c>
      <c r="U36" s="3"/>
      <c r="V36" s="7">
        <f t="shared" si="17"/>
        <v>6.5684899485740994E-2</v>
      </c>
      <c r="W36" s="3"/>
      <c r="X36" s="8">
        <f t="shared" si="18"/>
        <v>-1026.1400000000003</v>
      </c>
      <c r="Y36" s="3"/>
      <c r="Z36" s="7">
        <f t="shared" si="19"/>
        <v>-0.18258718861209972</v>
      </c>
    </row>
    <row r="37" spans="1:26" s="24" customFormat="1" hidden="1" outlineLevel="2" x14ac:dyDescent="0.3">
      <c r="A37" s="29"/>
      <c r="B37" s="11" t="str">
        <f>CONCATENATE("          ", "6114", " - ", "STATE UNEMPLOYMENT INSURANCE")</f>
        <v xml:space="preserve">          6114 - STATE UNEMPLOYMENT INSURANCE</v>
      </c>
      <c r="C37" s="11"/>
      <c r="D37" s="8">
        <v>74.709999999999994</v>
      </c>
      <c r="E37" s="3"/>
      <c r="F37" s="7">
        <f t="shared" si="12"/>
        <v>1.2027725428488724E-3</v>
      </c>
      <c r="G37" s="3"/>
      <c r="H37" s="8">
        <v>79.328320393269195</v>
      </c>
      <c r="I37" s="3"/>
      <c r="J37" s="7">
        <f t="shared" si="13"/>
        <v>9.2716597000080871E-4</v>
      </c>
      <c r="K37" s="3"/>
      <c r="L37" s="8">
        <f t="shared" si="14"/>
        <v>-4.618320393269201</v>
      </c>
      <c r="M37" s="3"/>
      <c r="N37" s="7">
        <f t="shared" si="15"/>
        <v>-5.8217801289299119E-2</v>
      </c>
      <c r="O37" s="11"/>
      <c r="P37" s="8">
        <v>74.709999999999994</v>
      </c>
      <c r="Q37" s="3"/>
      <c r="R37" s="7">
        <f t="shared" si="16"/>
        <v>1.2027725428488724E-3</v>
      </c>
      <c r="S37" s="3"/>
      <c r="T37" s="8">
        <v>79.328320393269195</v>
      </c>
      <c r="U37" s="3"/>
      <c r="V37" s="7">
        <f t="shared" si="17"/>
        <v>9.2716597000080871E-4</v>
      </c>
      <c r="W37" s="3"/>
      <c r="X37" s="8">
        <f t="shared" si="18"/>
        <v>-4.618320393269201</v>
      </c>
      <c r="Y37" s="3"/>
      <c r="Z37" s="7">
        <f t="shared" si="19"/>
        <v>-5.8217801289299119E-2</v>
      </c>
    </row>
    <row r="38" spans="1:26" s="24" customFormat="1" hidden="1" outlineLevel="2" x14ac:dyDescent="0.3">
      <c r="A38" s="29"/>
      <c r="B38" s="11" t="str">
        <f>CONCATENATE("          ", "6115", " - ", "P.E.R.S.")</f>
        <v xml:space="preserve">          6115 - P.E.R.S.</v>
      </c>
      <c r="C38" s="11"/>
      <c r="D38" s="8">
        <v>1607.1</v>
      </c>
      <c r="E38" s="3"/>
      <c r="F38" s="7">
        <f t="shared" si="12"/>
        <v>2.5873052517901524E-2</v>
      </c>
      <c r="G38" s="3"/>
      <c r="H38" s="8">
        <v>2080.8534770576898</v>
      </c>
      <c r="I38" s="3"/>
      <c r="J38" s="7">
        <f t="shared" si="13"/>
        <v>2.4320400620122602E-2</v>
      </c>
      <c r="K38" s="3"/>
      <c r="L38" s="8">
        <f t="shared" si="14"/>
        <v>-473.75347705768991</v>
      </c>
      <c r="M38" s="3"/>
      <c r="N38" s="7">
        <f t="shared" si="15"/>
        <v>-0.22767267483320044</v>
      </c>
      <c r="O38" s="11"/>
      <c r="P38" s="8">
        <v>1607.1</v>
      </c>
      <c r="Q38" s="3"/>
      <c r="R38" s="7">
        <f t="shared" si="16"/>
        <v>2.5873052517901524E-2</v>
      </c>
      <c r="S38" s="3"/>
      <c r="T38" s="8">
        <v>2080.8534770576898</v>
      </c>
      <c r="U38" s="3"/>
      <c r="V38" s="7">
        <f t="shared" si="17"/>
        <v>2.4320400620122602E-2</v>
      </c>
      <c r="W38" s="3"/>
      <c r="X38" s="8">
        <f t="shared" si="18"/>
        <v>-473.75347705768991</v>
      </c>
      <c r="Y38" s="3"/>
      <c r="Z38" s="7">
        <f t="shared" si="19"/>
        <v>-0.22767267483320044</v>
      </c>
    </row>
    <row r="39" spans="1:26" s="24" customFormat="1" hidden="1" outlineLevel="2" x14ac:dyDescent="0.3">
      <c r="A39" s="29"/>
      <c r="B39" s="11" t="str">
        <f>CONCATENATE("          ", "6116", " - ", "EDUCATIONAL BENEFITS")</f>
        <v xml:space="preserve">          6116 - EDUCATIONAL BENEFITS</v>
      </c>
      <c r="C39" s="11"/>
      <c r="D39" s="8"/>
      <c r="E39" s="3"/>
      <c r="F39" s="7">
        <f t="shared" si="12"/>
        <v>0</v>
      </c>
      <c r="G39" s="3"/>
      <c r="H39" s="8">
        <v>0</v>
      </c>
      <c r="I39" s="3"/>
      <c r="J39" s="7">
        <f t="shared" si="13"/>
        <v>0</v>
      </c>
      <c r="K39" s="3"/>
      <c r="L39" s="8">
        <f t="shared" si="14"/>
        <v>0</v>
      </c>
      <c r="M39" s="3"/>
      <c r="N39" s="7">
        <f t="shared" si="15"/>
        <v>0</v>
      </c>
      <c r="O39" s="11"/>
      <c r="P39" s="8"/>
      <c r="Q39" s="3"/>
      <c r="R39" s="7">
        <f t="shared" si="16"/>
        <v>0</v>
      </c>
      <c r="S39" s="3"/>
      <c r="T39" s="8">
        <v>0</v>
      </c>
      <c r="U39" s="3"/>
      <c r="V39" s="7">
        <f t="shared" si="17"/>
        <v>0</v>
      </c>
      <c r="W39" s="3"/>
      <c r="X39" s="8">
        <f t="shared" si="18"/>
        <v>0</v>
      </c>
      <c r="Y39" s="3"/>
      <c r="Z39" s="7">
        <f t="shared" si="19"/>
        <v>0</v>
      </c>
    </row>
    <row r="40" spans="1:26" s="24" customFormat="1" hidden="1" outlineLevel="2" x14ac:dyDescent="0.3">
      <c r="A40" s="29"/>
      <c r="B40" s="11" t="str">
        <f>CONCATENATE("          ", "6117", " - ", "RETIREMENT STAFF HOURLY")</f>
        <v xml:space="preserve">          6117 - RETIREMENT STAFF HOURLY</v>
      </c>
      <c r="C40" s="11"/>
      <c r="D40" s="8">
        <v>253.61</v>
      </c>
      <c r="E40" s="3"/>
      <c r="F40" s="7">
        <f t="shared" si="12"/>
        <v>4.0829225617976519E-3</v>
      </c>
      <c r="G40" s="3"/>
      <c r="H40" s="8"/>
      <c r="I40" s="3"/>
      <c r="J40" s="7">
        <f t="shared" si="13"/>
        <v>0</v>
      </c>
      <c r="K40" s="3"/>
      <c r="L40" s="8">
        <f t="shared" si="14"/>
        <v>253.61</v>
      </c>
      <c r="M40" s="3"/>
      <c r="N40" s="7">
        <f t="shared" si="15"/>
        <v>0</v>
      </c>
      <c r="O40" s="11"/>
      <c r="P40" s="8">
        <v>253.61</v>
      </c>
      <c r="Q40" s="3"/>
      <c r="R40" s="7">
        <f t="shared" si="16"/>
        <v>4.0829225617976519E-3</v>
      </c>
      <c r="S40" s="3"/>
      <c r="T40" s="8"/>
      <c r="U40" s="3"/>
      <c r="V40" s="7">
        <f t="shared" si="17"/>
        <v>0</v>
      </c>
      <c r="W40" s="3"/>
      <c r="X40" s="8">
        <f t="shared" si="18"/>
        <v>253.61</v>
      </c>
      <c r="Y40" s="3"/>
      <c r="Z40" s="7">
        <f t="shared" si="19"/>
        <v>0</v>
      </c>
    </row>
    <row r="41" spans="1:26" s="24" customFormat="1" hidden="1" outlineLevel="2" x14ac:dyDescent="0.3">
      <c r="A41" s="29"/>
      <c r="B41" s="11" t="str">
        <f>CONCATENATE("          ", "6118", " - ", "VACATION")</f>
        <v xml:space="preserve">          6118 - VACATION</v>
      </c>
      <c r="C41" s="11"/>
      <c r="D41" s="8">
        <v>1357.34</v>
      </c>
      <c r="E41" s="3"/>
      <c r="F41" s="7">
        <f t="shared" si="12"/>
        <v>2.1852111943655314E-2</v>
      </c>
      <c r="G41" s="3"/>
      <c r="H41" s="8">
        <v>2111.4919273750002</v>
      </c>
      <c r="I41" s="3"/>
      <c r="J41" s="7">
        <f t="shared" si="13"/>
        <v>2.4678493774836375E-2</v>
      </c>
      <c r="K41" s="3"/>
      <c r="L41" s="8">
        <f t="shared" si="14"/>
        <v>-754.15192737500024</v>
      </c>
      <c r="M41" s="3"/>
      <c r="N41" s="7">
        <f t="shared" si="15"/>
        <v>-0.35716543245919935</v>
      </c>
      <c r="O41" s="11"/>
      <c r="P41" s="8">
        <v>1357.34</v>
      </c>
      <c r="Q41" s="3"/>
      <c r="R41" s="7">
        <f t="shared" si="16"/>
        <v>2.1852111943655314E-2</v>
      </c>
      <c r="S41" s="3"/>
      <c r="T41" s="8">
        <v>2111.4919273750002</v>
      </c>
      <c r="U41" s="3"/>
      <c r="V41" s="7">
        <f t="shared" si="17"/>
        <v>2.4678493774836375E-2</v>
      </c>
      <c r="W41" s="3"/>
      <c r="X41" s="8">
        <f t="shared" si="18"/>
        <v>-754.15192737500024</v>
      </c>
      <c r="Y41" s="3"/>
      <c r="Z41" s="7">
        <f t="shared" si="19"/>
        <v>-0.35716543245919935</v>
      </c>
    </row>
    <row r="42" spans="1:26" s="24" customFormat="1" hidden="1" outlineLevel="2" x14ac:dyDescent="0.3">
      <c r="A42" s="29"/>
      <c r="B42" s="11" t="str">
        <f>CONCATENATE("          ", "6119", " - ", "SICK LEAVE")</f>
        <v xml:space="preserve">          6119 - SICK LEAVE</v>
      </c>
      <c r="C42" s="11"/>
      <c r="D42" s="8">
        <v>1071.9000000000001</v>
      </c>
      <c r="E42" s="3"/>
      <c r="F42" s="7">
        <f t="shared" si="12"/>
        <v>1.7256751287373931E-2</v>
      </c>
      <c r="G42" s="3"/>
      <c r="H42" s="8">
        <v>1647.52397051923</v>
      </c>
      <c r="I42" s="3"/>
      <c r="J42" s="7">
        <f t="shared" si="13"/>
        <v>1.9255773381477676E-2</v>
      </c>
      <c r="K42" s="3"/>
      <c r="L42" s="8">
        <f t="shared" si="14"/>
        <v>-575.62397051922994</v>
      </c>
      <c r="M42" s="3"/>
      <c r="N42" s="7">
        <f t="shared" si="15"/>
        <v>-0.34938731139542545</v>
      </c>
      <c r="O42" s="11"/>
      <c r="P42" s="8">
        <v>1071.9000000000001</v>
      </c>
      <c r="Q42" s="3"/>
      <c r="R42" s="7">
        <f t="shared" si="16"/>
        <v>1.7256751287373931E-2</v>
      </c>
      <c r="S42" s="3"/>
      <c r="T42" s="8">
        <v>1647.52397051923</v>
      </c>
      <c r="U42" s="3"/>
      <c r="V42" s="7">
        <f t="shared" si="17"/>
        <v>1.9255773381477676E-2</v>
      </c>
      <c r="W42" s="3"/>
      <c r="X42" s="8">
        <f t="shared" si="18"/>
        <v>-575.62397051922994</v>
      </c>
      <c r="Y42" s="3"/>
      <c r="Z42" s="7">
        <f t="shared" si="19"/>
        <v>-0.34938731139542545</v>
      </c>
    </row>
    <row r="43" spans="1:26" s="24" customFormat="1" hidden="1" outlineLevel="2" x14ac:dyDescent="0.3">
      <c r="A43" s="29"/>
      <c r="B43" s="11" t="str">
        <f>CONCATENATE("          ", "6156", " - ", "EMPLOYEE MEALS")</f>
        <v xml:space="preserve">          6156 - EMPLOYEE MEALS</v>
      </c>
      <c r="C43" s="11"/>
      <c r="D43" s="8">
        <v>358.43</v>
      </c>
      <c r="E43" s="3"/>
      <c r="F43" s="7">
        <f t="shared" si="12"/>
        <v>5.7704425449514301E-3</v>
      </c>
      <c r="G43" s="3"/>
      <c r="H43" s="8">
        <v>1050</v>
      </c>
      <c r="I43" s="3"/>
      <c r="J43" s="7">
        <f t="shared" si="13"/>
        <v>1.2272089761570827E-2</v>
      </c>
      <c r="K43" s="3"/>
      <c r="L43" s="8">
        <f t="shared" si="14"/>
        <v>-691.56999999999994</v>
      </c>
      <c r="M43" s="3"/>
      <c r="N43" s="7">
        <f t="shared" si="15"/>
        <v>-0.65863809523809513</v>
      </c>
      <c r="O43" s="11"/>
      <c r="P43" s="8">
        <v>358.43</v>
      </c>
      <c r="Q43" s="3"/>
      <c r="R43" s="7">
        <f t="shared" si="16"/>
        <v>5.7704425449514301E-3</v>
      </c>
      <c r="S43" s="3"/>
      <c r="T43" s="8">
        <v>1050</v>
      </c>
      <c r="U43" s="3"/>
      <c r="V43" s="7">
        <f t="shared" si="17"/>
        <v>1.2272089761570827E-2</v>
      </c>
      <c r="W43" s="3"/>
      <c r="X43" s="8">
        <f t="shared" si="18"/>
        <v>-691.56999999999994</v>
      </c>
      <c r="Y43" s="3"/>
      <c r="Z43" s="7">
        <f t="shared" si="19"/>
        <v>-0.65863809523809513</v>
      </c>
    </row>
    <row r="44" spans="1:26" s="27" customFormat="1" outlineLevel="1" collapsed="1" x14ac:dyDescent="0.3">
      <c r="A44" s="28"/>
      <c r="B44" s="14" t="str">
        <f>CONCATENATE("     ","*Payroll                                          ")</f>
        <v xml:space="preserve">     *Payroll                                          </v>
      </c>
      <c r="C44" s="14"/>
      <c r="D44" s="1">
        <f>SUM(OSRRefD22_1x_0)</f>
        <v>32421.75</v>
      </c>
      <c r="E44" s="1"/>
      <c r="F44" s="5">
        <f t="shared" ref="F44:F54" si="20">IF(D$12=0,0,D44/D$12)</f>
        <v>0.52196480646647614</v>
      </c>
      <c r="G44" s="1"/>
      <c r="H44" s="1">
        <f>SUM(OSRRefH22_1x_0)</f>
        <v>34661.854431567299</v>
      </c>
      <c r="I44" s="1"/>
      <c r="J44" s="5">
        <f t="shared" ref="J44:J54" si="21">IF(H$12=0,0,H44/H$12)</f>
        <v>0.40511751322542428</v>
      </c>
      <c r="K44" s="1"/>
      <c r="L44" s="1">
        <f t="shared" ref="L44:L54" si="22">+D44-H44</f>
        <v>-2240.1044315672989</v>
      </c>
      <c r="M44" s="1"/>
      <c r="N44" s="5">
        <f t="shared" ref="N44:N54" si="23">IF(H44=0,0,L44/H44)</f>
        <v>-6.4627368278576222E-2</v>
      </c>
      <c r="O44" s="14"/>
      <c r="P44" s="1">
        <f>SUM(OSRRefP22_1x_0)</f>
        <v>32421.75</v>
      </c>
      <c r="Q44" s="1"/>
      <c r="R44" s="5">
        <f t="shared" ref="R44:R54" si="24">IF(P$12=0,0,P44/P$12)</f>
        <v>0.52196480646647614</v>
      </c>
      <c r="S44" s="1"/>
      <c r="T44" s="1">
        <f>SUM(OSRRefT22_1x_0)</f>
        <v>34661.854431567299</v>
      </c>
      <c r="U44" s="1"/>
      <c r="V44" s="5">
        <f t="shared" ref="V44:V54" si="25">IF(T$12=0,0,T44/T$12)</f>
        <v>0.40511751322542428</v>
      </c>
      <c r="W44" s="1"/>
      <c r="X44" s="1">
        <f t="shared" ref="X44:X54" si="26">+P44-T44</f>
        <v>-2240.1044315672989</v>
      </c>
      <c r="Y44" s="1"/>
      <c r="Z44" s="5">
        <f t="shared" ref="Z44:Z54" si="27">IF(T44=0,0,X44/T44)</f>
        <v>-6.4627368278576222E-2</v>
      </c>
    </row>
    <row r="45" spans="1:26" s="24" customFormat="1" hidden="1" outlineLevel="2" x14ac:dyDescent="0.3">
      <c r="A45" s="29"/>
      <c r="B45" s="11" t="str">
        <f>CONCATENATE("          ", "6001", " - ", "ADMINISTRATIVE SALARIES")</f>
        <v xml:space="preserve">          6001 - ADMINISTRATIVE SALARIES</v>
      </c>
      <c r="C45" s="11"/>
      <c r="D45" s="8"/>
      <c r="E45" s="3"/>
      <c r="F45" s="7">
        <f t="shared" si="20"/>
        <v>0</v>
      </c>
      <c r="G45" s="3"/>
      <c r="H45" s="8">
        <v>0</v>
      </c>
      <c r="I45" s="3"/>
      <c r="J45" s="7">
        <f t="shared" si="21"/>
        <v>0</v>
      </c>
      <c r="K45" s="3"/>
      <c r="L45" s="8">
        <f t="shared" si="22"/>
        <v>0</v>
      </c>
      <c r="M45" s="3"/>
      <c r="N45" s="7">
        <f t="shared" si="23"/>
        <v>0</v>
      </c>
      <c r="O45" s="11"/>
      <c r="P45" s="8"/>
      <c r="Q45" s="3"/>
      <c r="R45" s="7">
        <f t="shared" si="24"/>
        <v>0</v>
      </c>
      <c r="S45" s="3"/>
      <c r="T45" s="8">
        <v>0</v>
      </c>
      <c r="U45" s="3"/>
      <c r="V45" s="7">
        <f t="shared" si="25"/>
        <v>0</v>
      </c>
      <c r="W45" s="3"/>
      <c r="X45" s="8">
        <f t="shared" si="26"/>
        <v>0</v>
      </c>
      <c r="Y45" s="3"/>
      <c r="Z45" s="7">
        <f t="shared" si="27"/>
        <v>0</v>
      </c>
    </row>
    <row r="46" spans="1:26" s="24" customFormat="1" hidden="1" outlineLevel="2" x14ac:dyDescent="0.3">
      <c r="A46" s="29"/>
      <c r="B46" s="11" t="str">
        <f>CONCATENATE("          ", "6002", " - ", "STAFF SALARIES")</f>
        <v xml:space="preserve">          6002 - STAFF SALARIES</v>
      </c>
      <c r="C46" s="11"/>
      <c r="D46" s="8">
        <v>19061.23</v>
      </c>
      <c r="E46" s="3"/>
      <c r="F46" s="7">
        <f t="shared" si="20"/>
        <v>0.30687088846107902</v>
      </c>
      <c r="G46" s="3"/>
      <c r="H46" s="8">
        <v>21617.1259715673</v>
      </c>
      <c r="I46" s="3"/>
      <c r="J46" s="7">
        <f t="shared" si="21"/>
        <v>0.25265458124786466</v>
      </c>
      <c r="K46" s="3"/>
      <c r="L46" s="8">
        <f t="shared" si="22"/>
        <v>-2555.8959715673009</v>
      </c>
      <c r="M46" s="3"/>
      <c r="N46" s="7">
        <f t="shared" si="23"/>
        <v>-0.11823477250995505</v>
      </c>
      <c r="O46" s="11"/>
      <c r="P46" s="8">
        <v>19061.23</v>
      </c>
      <c r="Q46" s="3"/>
      <c r="R46" s="7">
        <f t="shared" si="24"/>
        <v>0.30687088846107902</v>
      </c>
      <c r="S46" s="3"/>
      <c r="T46" s="8">
        <v>21617.1259715673</v>
      </c>
      <c r="U46" s="3"/>
      <c r="V46" s="7">
        <f t="shared" si="25"/>
        <v>0.25265458124786466</v>
      </c>
      <c r="W46" s="3"/>
      <c r="X46" s="8">
        <f t="shared" si="26"/>
        <v>-2555.8959715673009</v>
      </c>
      <c r="Y46" s="3"/>
      <c r="Z46" s="7">
        <f t="shared" si="27"/>
        <v>-0.11823477250995505</v>
      </c>
    </row>
    <row r="47" spans="1:26" s="24" customFormat="1" hidden="1" outlineLevel="2" x14ac:dyDescent="0.3">
      <c r="A47" s="29"/>
      <c r="B47" s="11" t="str">
        <f>CONCATENATE("          ", "6003", " - ", "STAFF HOURLY-9 MONTH")</f>
        <v xml:space="preserve">          6003 - STAFF HOURLY-9 MONTH</v>
      </c>
      <c r="C47" s="11"/>
      <c r="D47" s="8"/>
      <c r="E47" s="3"/>
      <c r="F47" s="7">
        <f t="shared" si="20"/>
        <v>0</v>
      </c>
      <c r="G47" s="3"/>
      <c r="H47" s="8">
        <v>0</v>
      </c>
      <c r="I47" s="3"/>
      <c r="J47" s="7">
        <f t="shared" si="21"/>
        <v>0</v>
      </c>
      <c r="K47" s="3"/>
      <c r="L47" s="8">
        <f t="shared" si="22"/>
        <v>0</v>
      </c>
      <c r="M47" s="3"/>
      <c r="N47" s="7">
        <f t="shared" si="23"/>
        <v>0</v>
      </c>
      <c r="O47" s="11"/>
      <c r="P47" s="8"/>
      <c r="Q47" s="3"/>
      <c r="R47" s="7">
        <f t="shared" si="24"/>
        <v>0</v>
      </c>
      <c r="S47" s="3"/>
      <c r="T47" s="8">
        <v>0</v>
      </c>
      <c r="U47" s="3"/>
      <c r="V47" s="7">
        <f t="shared" si="25"/>
        <v>0</v>
      </c>
      <c r="W47" s="3"/>
      <c r="X47" s="8">
        <f t="shared" si="26"/>
        <v>0</v>
      </c>
      <c r="Y47" s="3"/>
      <c r="Z47" s="7">
        <f t="shared" si="27"/>
        <v>0</v>
      </c>
    </row>
    <row r="48" spans="1:26" s="24" customFormat="1" hidden="1" outlineLevel="2" x14ac:dyDescent="0.3">
      <c r="A48" s="29"/>
      <c r="B48" s="11" t="str">
        <f>CONCATENATE("          ", "6004", " - ", "STAFF HOURLY")</f>
        <v xml:space="preserve">          6004 - STAFF HOURLY</v>
      </c>
      <c r="C48" s="11"/>
      <c r="D48" s="8">
        <v>6184.05</v>
      </c>
      <c r="E48" s="3"/>
      <c r="F48" s="7">
        <f t="shared" si="20"/>
        <v>9.9558366264282827E-2</v>
      </c>
      <c r="G48" s="3"/>
      <c r="H48" s="8">
        <v>7410.7284600000003</v>
      </c>
      <c r="I48" s="3"/>
      <c r="J48" s="7">
        <f t="shared" si="21"/>
        <v>8.6614404628331004E-2</v>
      </c>
      <c r="K48" s="3"/>
      <c r="L48" s="8">
        <f t="shared" si="22"/>
        <v>-1226.6784600000001</v>
      </c>
      <c r="M48" s="3"/>
      <c r="N48" s="7">
        <f t="shared" si="23"/>
        <v>-0.16552737920719876</v>
      </c>
      <c r="O48" s="11"/>
      <c r="P48" s="8">
        <v>6184.05</v>
      </c>
      <c r="Q48" s="3"/>
      <c r="R48" s="7">
        <f t="shared" si="24"/>
        <v>9.9558366264282827E-2</v>
      </c>
      <c r="S48" s="3"/>
      <c r="T48" s="8">
        <v>7410.7284600000003</v>
      </c>
      <c r="U48" s="3"/>
      <c r="V48" s="7">
        <f t="shared" si="25"/>
        <v>8.6614404628331004E-2</v>
      </c>
      <c r="W48" s="3"/>
      <c r="X48" s="8">
        <f t="shared" si="26"/>
        <v>-1226.6784600000001</v>
      </c>
      <c r="Y48" s="3"/>
      <c r="Z48" s="7">
        <f t="shared" si="27"/>
        <v>-0.16552737920719876</v>
      </c>
    </row>
    <row r="49" spans="1:26" s="24" customFormat="1" hidden="1" outlineLevel="2" x14ac:dyDescent="0.3">
      <c r="A49" s="29"/>
      <c r="B49" s="11" t="str">
        <f>CONCATENATE("          ", "6005", " - ", "TEMPORARY WAGES-HOURLY")</f>
        <v xml:space="preserve">          6005 - TEMPORARY WAGES-HOURLY</v>
      </c>
      <c r="C49" s="11"/>
      <c r="D49" s="8">
        <v>3877.79</v>
      </c>
      <c r="E49" s="3"/>
      <c r="F49" s="7">
        <f t="shared" si="20"/>
        <v>6.2429384807039606E-2</v>
      </c>
      <c r="G49" s="3"/>
      <c r="H49" s="8">
        <v>4010</v>
      </c>
      <c r="I49" s="3"/>
      <c r="J49" s="7">
        <f t="shared" si="21"/>
        <v>4.6867695184665735E-2</v>
      </c>
      <c r="K49" s="3"/>
      <c r="L49" s="8">
        <f t="shared" si="22"/>
        <v>-132.21000000000004</v>
      </c>
      <c r="M49" s="3"/>
      <c r="N49" s="7">
        <f t="shared" si="23"/>
        <v>-3.2970074812967591E-2</v>
      </c>
      <c r="O49" s="11"/>
      <c r="P49" s="8">
        <v>3877.79</v>
      </c>
      <c r="Q49" s="3"/>
      <c r="R49" s="7">
        <f t="shared" si="24"/>
        <v>6.2429384807039606E-2</v>
      </c>
      <c r="S49" s="3"/>
      <c r="T49" s="8">
        <v>4010</v>
      </c>
      <c r="U49" s="3"/>
      <c r="V49" s="7">
        <f t="shared" si="25"/>
        <v>4.6867695184665735E-2</v>
      </c>
      <c r="W49" s="3"/>
      <c r="X49" s="8">
        <f t="shared" si="26"/>
        <v>-132.21000000000004</v>
      </c>
      <c r="Y49" s="3"/>
      <c r="Z49" s="7">
        <f t="shared" si="27"/>
        <v>-3.2970074812967591E-2</v>
      </c>
    </row>
    <row r="50" spans="1:26" s="24" customFormat="1" hidden="1" outlineLevel="2" x14ac:dyDescent="0.3">
      <c r="A50" s="29"/>
      <c r="B50" s="11" t="str">
        <f>CONCATENATE("          ", "6006", " - ", "TEMPORARY PART TIME")</f>
        <v xml:space="preserve">          6006 - TEMPORARY PART TIME</v>
      </c>
      <c r="C50" s="11"/>
      <c r="D50" s="8"/>
      <c r="E50" s="3"/>
      <c r="F50" s="7">
        <f t="shared" si="20"/>
        <v>0</v>
      </c>
      <c r="G50" s="3"/>
      <c r="H50" s="8">
        <v>0</v>
      </c>
      <c r="I50" s="3"/>
      <c r="J50" s="7">
        <f t="shared" si="21"/>
        <v>0</v>
      </c>
      <c r="K50" s="3"/>
      <c r="L50" s="8">
        <f t="shared" si="22"/>
        <v>0</v>
      </c>
      <c r="M50" s="3"/>
      <c r="N50" s="7">
        <f t="shared" si="23"/>
        <v>0</v>
      </c>
      <c r="O50" s="11"/>
      <c r="P50" s="8"/>
      <c r="Q50" s="3"/>
      <c r="R50" s="7">
        <f t="shared" si="24"/>
        <v>0</v>
      </c>
      <c r="S50" s="3"/>
      <c r="T50" s="8">
        <v>0</v>
      </c>
      <c r="U50" s="3"/>
      <c r="V50" s="7">
        <f t="shared" si="25"/>
        <v>0</v>
      </c>
      <c r="W50" s="3"/>
      <c r="X50" s="8">
        <f t="shared" si="26"/>
        <v>0</v>
      </c>
      <c r="Y50" s="3"/>
      <c r="Z50" s="7">
        <f t="shared" si="27"/>
        <v>0</v>
      </c>
    </row>
    <row r="51" spans="1:26" s="24" customFormat="1" hidden="1" outlineLevel="2" x14ac:dyDescent="0.3">
      <c r="A51" s="29"/>
      <c r="B51" s="11" t="str">
        <f>CONCATENATE("          ", "6007", " - ", "STUDENT HOURLY")</f>
        <v xml:space="preserve">          6007 - STUDENT HOURLY</v>
      </c>
      <c r="C51" s="11"/>
      <c r="D51" s="8">
        <v>3298.68</v>
      </c>
      <c r="E51" s="3"/>
      <c r="F51" s="7">
        <f t="shared" si="20"/>
        <v>5.3106166934074668E-2</v>
      </c>
      <c r="G51" s="3"/>
      <c r="H51" s="8">
        <v>1624</v>
      </c>
      <c r="I51" s="3"/>
      <c r="J51" s="7">
        <f t="shared" si="21"/>
        <v>1.898083216456288E-2</v>
      </c>
      <c r="K51" s="3"/>
      <c r="L51" s="8">
        <f t="shared" si="22"/>
        <v>1674.6799999999998</v>
      </c>
      <c r="M51" s="3"/>
      <c r="N51" s="7">
        <f t="shared" si="23"/>
        <v>1.031206896551724</v>
      </c>
      <c r="O51" s="11"/>
      <c r="P51" s="8">
        <v>3298.68</v>
      </c>
      <c r="Q51" s="3"/>
      <c r="R51" s="7">
        <f t="shared" si="24"/>
        <v>5.3106166934074668E-2</v>
      </c>
      <c r="S51" s="3"/>
      <c r="T51" s="8">
        <v>1624</v>
      </c>
      <c r="U51" s="3"/>
      <c r="V51" s="7">
        <f t="shared" si="25"/>
        <v>1.898083216456288E-2</v>
      </c>
      <c r="W51" s="3"/>
      <c r="X51" s="8">
        <f t="shared" si="26"/>
        <v>1674.6799999999998</v>
      </c>
      <c r="Y51" s="3"/>
      <c r="Z51" s="7">
        <f t="shared" si="27"/>
        <v>1.031206896551724</v>
      </c>
    </row>
    <row r="52" spans="1:26" s="24" customFormat="1" hidden="1" outlineLevel="2" x14ac:dyDescent="0.3">
      <c r="A52" s="29"/>
      <c r="B52" s="11" t="str">
        <f>CONCATENATE("          ", "6008", " - ", "STUDENT HOURLY-FICA EXEMPT")</f>
        <v xml:space="preserve">          6008 - STUDENT HOURLY-FICA EXEMPT</v>
      </c>
      <c r="C52" s="11"/>
      <c r="D52" s="8"/>
      <c r="E52" s="3"/>
      <c r="F52" s="7">
        <f t="shared" si="20"/>
        <v>0</v>
      </c>
      <c r="G52" s="3"/>
      <c r="H52" s="8">
        <v>0</v>
      </c>
      <c r="I52" s="3"/>
      <c r="J52" s="7">
        <f t="shared" si="21"/>
        <v>0</v>
      </c>
      <c r="K52" s="3"/>
      <c r="L52" s="8">
        <f t="shared" si="22"/>
        <v>0</v>
      </c>
      <c r="M52" s="3"/>
      <c r="N52" s="7">
        <f t="shared" si="23"/>
        <v>0</v>
      </c>
      <c r="O52" s="11"/>
      <c r="P52" s="8"/>
      <c r="Q52" s="3"/>
      <c r="R52" s="7">
        <f t="shared" si="24"/>
        <v>0</v>
      </c>
      <c r="S52" s="3"/>
      <c r="T52" s="8">
        <v>0</v>
      </c>
      <c r="U52" s="3"/>
      <c r="V52" s="7">
        <f t="shared" si="25"/>
        <v>0</v>
      </c>
      <c r="W52" s="3"/>
      <c r="X52" s="8">
        <f t="shared" si="26"/>
        <v>0</v>
      </c>
      <c r="Y52" s="3"/>
      <c r="Z52" s="7">
        <f t="shared" si="27"/>
        <v>0</v>
      </c>
    </row>
    <row r="53" spans="1:26" s="24" customFormat="1" hidden="1" outlineLevel="2" x14ac:dyDescent="0.3">
      <c r="A53" s="29"/>
      <c r="B53" s="11" t="str">
        <f>CONCATENATE("          ", "6009", " - ", "TEMPORARY-SEASONAL")</f>
        <v xml:space="preserve">          6009 - TEMPORARY-SEASONAL</v>
      </c>
      <c r="C53" s="11"/>
      <c r="D53" s="8"/>
      <c r="E53" s="3"/>
      <c r="F53" s="7">
        <f t="shared" si="20"/>
        <v>0</v>
      </c>
      <c r="G53" s="3"/>
      <c r="H53" s="8">
        <v>0</v>
      </c>
      <c r="I53" s="3"/>
      <c r="J53" s="7">
        <f t="shared" si="21"/>
        <v>0</v>
      </c>
      <c r="K53" s="3"/>
      <c r="L53" s="8">
        <f t="shared" si="22"/>
        <v>0</v>
      </c>
      <c r="M53" s="3"/>
      <c r="N53" s="7">
        <f t="shared" si="23"/>
        <v>0</v>
      </c>
      <c r="O53" s="11"/>
      <c r="P53" s="8"/>
      <c r="Q53" s="3"/>
      <c r="R53" s="7">
        <f t="shared" si="24"/>
        <v>0</v>
      </c>
      <c r="S53" s="3"/>
      <c r="T53" s="8">
        <v>0</v>
      </c>
      <c r="U53" s="3"/>
      <c r="V53" s="7">
        <f t="shared" si="25"/>
        <v>0</v>
      </c>
      <c r="W53" s="3"/>
      <c r="X53" s="8">
        <f t="shared" si="26"/>
        <v>0</v>
      </c>
      <c r="Y53" s="3"/>
      <c r="Z53" s="7">
        <f t="shared" si="27"/>
        <v>0</v>
      </c>
    </row>
    <row r="54" spans="1:26" s="24" customFormat="1" hidden="1" outlineLevel="2" x14ac:dyDescent="0.3">
      <c r="A54" s="29"/>
      <c r="B54" s="11" t="str">
        <f>CONCATENATE("          ", "6010", " - ", "GRATUITY")</f>
        <v xml:space="preserve">          6010 - GRATUITY</v>
      </c>
      <c r="C54" s="11"/>
      <c r="D54" s="8"/>
      <c r="E54" s="3"/>
      <c r="F54" s="7">
        <f t="shared" si="20"/>
        <v>0</v>
      </c>
      <c r="G54" s="3"/>
      <c r="H54" s="8">
        <v>0</v>
      </c>
      <c r="I54" s="3"/>
      <c r="J54" s="7">
        <f t="shared" si="21"/>
        <v>0</v>
      </c>
      <c r="K54" s="3"/>
      <c r="L54" s="8">
        <f t="shared" si="22"/>
        <v>0</v>
      </c>
      <c r="M54" s="3"/>
      <c r="N54" s="7">
        <f t="shared" si="23"/>
        <v>0</v>
      </c>
      <c r="O54" s="11"/>
      <c r="P54" s="8"/>
      <c r="Q54" s="3"/>
      <c r="R54" s="7">
        <f t="shared" si="24"/>
        <v>0</v>
      </c>
      <c r="S54" s="3"/>
      <c r="T54" s="8">
        <v>0</v>
      </c>
      <c r="U54" s="3"/>
      <c r="V54" s="7">
        <f t="shared" si="25"/>
        <v>0</v>
      </c>
      <c r="W54" s="3"/>
      <c r="X54" s="8">
        <f t="shared" si="26"/>
        <v>0</v>
      </c>
      <c r="Y54" s="3"/>
      <c r="Z54" s="7">
        <f t="shared" si="27"/>
        <v>0</v>
      </c>
    </row>
    <row r="55" spans="1:26" s="27" customFormat="1" outlineLevel="1" collapsed="1" x14ac:dyDescent="0.3">
      <c r="A55" s="28"/>
      <c r="B55" s="14" t="str">
        <f>CONCATENATE("     ","Advertising/Promo                                 ")</f>
        <v xml:space="preserve">     Advertising/Promo                                 </v>
      </c>
      <c r="C55" s="14"/>
      <c r="D55" s="1">
        <f>SUM(OSRRefD22_2x_0)</f>
        <v>0</v>
      </c>
      <c r="E55" s="1"/>
      <c r="F55" s="5">
        <f t="shared" ref="F55:F70" si="28">IF(D$12=0,0,D55/D$12)</f>
        <v>0</v>
      </c>
      <c r="G55" s="1"/>
      <c r="H55" s="1">
        <f>SUM(OSRRefH22_2x_0)</f>
        <v>1400</v>
      </c>
      <c r="I55" s="1"/>
      <c r="J55" s="5">
        <f t="shared" ref="J55:J70" si="29">IF(H$12=0,0,H55/H$12)</f>
        <v>1.6362786348761104E-2</v>
      </c>
      <c r="K55" s="1"/>
      <c r="L55" s="1">
        <f t="shared" ref="L55:L70" si="30">+D55-H55</f>
        <v>-1400</v>
      </c>
      <c r="M55" s="1"/>
      <c r="N55" s="5">
        <f t="shared" ref="N55:N70" si="31">IF(H55=0,0,L55/H55)</f>
        <v>-1</v>
      </c>
      <c r="O55" s="14"/>
      <c r="P55" s="1">
        <f>SUM(OSRRefP22_2x_0)</f>
        <v>0</v>
      </c>
      <c r="Q55" s="1"/>
      <c r="R55" s="5">
        <f t="shared" ref="R55:R70" si="32">IF(P$12=0,0,P55/P$12)</f>
        <v>0</v>
      </c>
      <c r="S55" s="1"/>
      <c r="T55" s="1">
        <f>SUM(OSRRefT22_2x_0)</f>
        <v>1400</v>
      </c>
      <c r="U55" s="1"/>
      <c r="V55" s="5">
        <f t="shared" ref="V55:V70" si="33">IF(T$12=0,0,T55/T$12)</f>
        <v>1.6362786348761104E-2</v>
      </c>
      <c r="W55" s="1"/>
      <c r="X55" s="1">
        <f t="shared" ref="X55:X70" si="34">+P55-T55</f>
        <v>-1400</v>
      </c>
      <c r="Y55" s="1"/>
      <c r="Z55" s="5">
        <f t="shared" ref="Z55:Z70" si="35">IF(T55=0,0,X55/T55)</f>
        <v>-1</v>
      </c>
    </row>
    <row r="56" spans="1:26" s="24" customFormat="1" hidden="1" outlineLevel="2" x14ac:dyDescent="0.3">
      <c r="A56" s="29"/>
      <c r="B56" s="11" t="str">
        <f>CONCATENATE("          ", "6362", " - ", "ADVERTISING EXPENSE")</f>
        <v xml:space="preserve">          6362 - ADVERTISING EXPENSE</v>
      </c>
      <c r="C56" s="11"/>
      <c r="D56" s="8"/>
      <c r="E56" s="3"/>
      <c r="F56" s="7">
        <f t="shared" si="28"/>
        <v>0</v>
      </c>
      <c r="G56" s="3"/>
      <c r="H56" s="8">
        <v>1400</v>
      </c>
      <c r="I56" s="3"/>
      <c r="J56" s="7">
        <f t="shared" si="29"/>
        <v>1.6362786348761104E-2</v>
      </c>
      <c r="K56" s="3"/>
      <c r="L56" s="8">
        <f t="shared" si="30"/>
        <v>-1400</v>
      </c>
      <c r="M56" s="3"/>
      <c r="N56" s="7">
        <f t="shared" si="31"/>
        <v>-1</v>
      </c>
      <c r="O56" s="11"/>
      <c r="P56" s="8"/>
      <c r="Q56" s="3"/>
      <c r="R56" s="7">
        <f t="shared" si="32"/>
        <v>0</v>
      </c>
      <c r="S56" s="3"/>
      <c r="T56" s="8">
        <v>1400</v>
      </c>
      <c r="U56" s="3"/>
      <c r="V56" s="7">
        <f t="shared" si="33"/>
        <v>1.6362786348761104E-2</v>
      </c>
      <c r="W56" s="3"/>
      <c r="X56" s="8">
        <f t="shared" si="34"/>
        <v>-1400</v>
      </c>
      <c r="Y56" s="3"/>
      <c r="Z56" s="7">
        <f t="shared" si="35"/>
        <v>-1</v>
      </c>
    </row>
    <row r="57" spans="1:26" s="27" customFormat="1" outlineLevel="1" collapsed="1" x14ac:dyDescent="0.3">
      <c r="A57" s="28"/>
      <c r="B57" s="14" t="str">
        <f>CONCATENATE("     ","Employees' Appreciation                           ")</f>
        <v xml:space="preserve">     Employees' Appreciation                           </v>
      </c>
      <c r="C57" s="14"/>
      <c r="D57" s="1">
        <f>SUM(OSRRefD22_3x_0)</f>
        <v>0</v>
      </c>
      <c r="E57" s="1"/>
      <c r="F57" s="5">
        <f t="shared" si="28"/>
        <v>0</v>
      </c>
      <c r="G57" s="1"/>
      <c r="H57" s="1">
        <f>SUM(OSRRefH22_3x_0)</f>
        <v>50</v>
      </c>
      <c r="I57" s="1"/>
      <c r="J57" s="5">
        <f t="shared" si="29"/>
        <v>5.8438522674146792E-4</v>
      </c>
      <c r="K57" s="1"/>
      <c r="L57" s="1">
        <f t="shared" si="30"/>
        <v>-50</v>
      </c>
      <c r="M57" s="1"/>
      <c r="N57" s="5">
        <f t="shared" si="31"/>
        <v>-1</v>
      </c>
      <c r="O57" s="14"/>
      <c r="P57" s="1">
        <f>SUM(OSRRefP22_3x_0)</f>
        <v>0</v>
      </c>
      <c r="Q57" s="1"/>
      <c r="R57" s="5">
        <f t="shared" si="32"/>
        <v>0</v>
      </c>
      <c r="S57" s="1"/>
      <c r="T57" s="1">
        <f>SUM(OSRRefT22_3x_0)</f>
        <v>50</v>
      </c>
      <c r="U57" s="1"/>
      <c r="V57" s="5">
        <f t="shared" si="33"/>
        <v>5.8438522674146792E-4</v>
      </c>
      <c r="W57" s="1"/>
      <c r="X57" s="1">
        <f t="shared" si="34"/>
        <v>-50</v>
      </c>
      <c r="Y57" s="1"/>
      <c r="Z57" s="5">
        <f t="shared" si="35"/>
        <v>-1</v>
      </c>
    </row>
    <row r="58" spans="1:26" s="24" customFormat="1" hidden="1" outlineLevel="2" x14ac:dyDescent="0.3">
      <c r="A58" s="29"/>
      <c r="B58" s="11" t="str">
        <f>CONCATENATE("          ", "6277", " - ", "EMPLOYEE APPRECIATION")</f>
        <v xml:space="preserve">          6277 - EMPLOYEE APPRECIATION</v>
      </c>
      <c r="C58" s="11"/>
      <c r="D58" s="8"/>
      <c r="E58" s="3"/>
      <c r="F58" s="7">
        <f t="shared" si="28"/>
        <v>0</v>
      </c>
      <c r="G58" s="3"/>
      <c r="H58" s="8">
        <v>50</v>
      </c>
      <c r="I58" s="3"/>
      <c r="J58" s="7">
        <f t="shared" si="29"/>
        <v>5.8438522674146792E-4</v>
      </c>
      <c r="K58" s="3"/>
      <c r="L58" s="8">
        <f t="shared" si="30"/>
        <v>-50</v>
      </c>
      <c r="M58" s="3"/>
      <c r="N58" s="7">
        <f t="shared" si="31"/>
        <v>-1</v>
      </c>
      <c r="O58" s="11"/>
      <c r="P58" s="8"/>
      <c r="Q58" s="3"/>
      <c r="R58" s="7">
        <f t="shared" si="32"/>
        <v>0</v>
      </c>
      <c r="S58" s="3"/>
      <c r="T58" s="8">
        <v>50</v>
      </c>
      <c r="U58" s="3"/>
      <c r="V58" s="7">
        <f t="shared" si="33"/>
        <v>5.8438522674146792E-4</v>
      </c>
      <c r="W58" s="3"/>
      <c r="X58" s="8">
        <f t="shared" si="34"/>
        <v>-50</v>
      </c>
      <c r="Y58" s="3"/>
      <c r="Z58" s="7">
        <f t="shared" si="35"/>
        <v>-1</v>
      </c>
    </row>
    <row r="59" spans="1:26" s="27" customFormat="1" outlineLevel="1" collapsed="1" x14ac:dyDescent="0.3">
      <c r="A59" s="28"/>
      <c r="B59" s="14" t="str">
        <f>CONCATENATE("     ","Equipment Rental                                  ")</f>
        <v xml:space="preserve">     Equipment Rental                                  </v>
      </c>
      <c r="C59" s="14"/>
      <c r="D59" s="1">
        <f>SUM(OSRRefD22_4x_0)</f>
        <v>91.26</v>
      </c>
      <c r="E59" s="1"/>
      <c r="F59" s="5">
        <f t="shared" si="28"/>
        <v>1.4692145932323397E-3</v>
      </c>
      <c r="G59" s="1"/>
      <c r="H59" s="1">
        <f>SUM(OSRRefH22_4x_0)</f>
        <v>100</v>
      </c>
      <c r="I59" s="1"/>
      <c r="J59" s="5">
        <f t="shared" si="29"/>
        <v>1.1687704534829358E-3</v>
      </c>
      <c r="K59" s="1"/>
      <c r="L59" s="1">
        <f t="shared" si="30"/>
        <v>-8.7399999999999949</v>
      </c>
      <c r="M59" s="1"/>
      <c r="N59" s="5">
        <f t="shared" si="31"/>
        <v>-8.739999999999995E-2</v>
      </c>
      <c r="O59" s="14"/>
      <c r="P59" s="1">
        <f>SUM(OSRRefP22_4x_0)</f>
        <v>91.26</v>
      </c>
      <c r="Q59" s="1"/>
      <c r="R59" s="5">
        <f t="shared" si="32"/>
        <v>1.4692145932323397E-3</v>
      </c>
      <c r="S59" s="1"/>
      <c r="T59" s="1">
        <f>SUM(OSRRefT22_4x_0)</f>
        <v>100</v>
      </c>
      <c r="U59" s="1"/>
      <c r="V59" s="5">
        <f t="shared" si="33"/>
        <v>1.1687704534829358E-3</v>
      </c>
      <c r="W59" s="1"/>
      <c r="X59" s="1">
        <f t="shared" si="34"/>
        <v>-8.7399999999999949</v>
      </c>
      <c r="Y59" s="1"/>
      <c r="Z59" s="5">
        <f t="shared" si="35"/>
        <v>-8.739999999999995E-2</v>
      </c>
    </row>
    <row r="60" spans="1:26" s="24" customFormat="1" hidden="1" outlineLevel="2" x14ac:dyDescent="0.3">
      <c r="A60" s="29"/>
      <c r="B60" s="11" t="str">
        <f>CONCATENATE("          ", "6351", " - ", "EQUIPMENT RENTAL")</f>
        <v xml:space="preserve">          6351 - EQUIPMENT RENTAL</v>
      </c>
      <c r="C60" s="11"/>
      <c r="D60" s="8">
        <v>91.26</v>
      </c>
      <c r="E60" s="3"/>
      <c r="F60" s="7">
        <f t="shared" si="28"/>
        <v>1.4692145932323397E-3</v>
      </c>
      <c r="G60" s="3"/>
      <c r="H60" s="8">
        <v>100</v>
      </c>
      <c r="I60" s="3"/>
      <c r="J60" s="7">
        <f t="shared" si="29"/>
        <v>1.1687704534829358E-3</v>
      </c>
      <c r="K60" s="3"/>
      <c r="L60" s="8">
        <f t="shared" si="30"/>
        <v>-8.7399999999999949</v>
      </c>
      <c r="M60" s="3"/>
      <c r="N60" s="7">
        <f t="shared" si="31"/>
        <v>-8.739999999999995E-2</v>
      </c>
      <c r="O60" s="11"/>
      <c r="P60" s="8">
        <v>91.26</v>
      </c>
      <c r="Q60" s="3"/>
      <c r="R60" s="7">
        <f t="shared" si="32"/>
        <v>1.4692145932323397E-3</v>
      </c>
      <c r="S60" s="3"/>
      <c r="T60" s="8">
        <v>100</v>
      </c>
      <c r="U60" s="3"/>
      <c r="V60" s="7">
        <f t="shared" si="33"/>
        <v>1.1687704534829358E-3</v>
      </c>
      <c r="W60" s="3"/>
      <c r="X60" s="8">
        <f t="shared" si="34"/>
        <v>-8.7399999999999949</v>
      </c>
      <c r="Y60" s="3"/>
      <c r="Z60" s="7">
        <f t="shared" si="35"/>
        <v>-8.739999999999995E-2</v>
      </c>
    </row>
    <row r="61" spans="1:26" s="27" customFormat="1" outlineLevel="1" collapsed="1" x14ac:dyDescent="0.3">
      <c r="A61" s="28"/>
      <c r="B61" s="14" t="str">
        <f>CONCATENATE("     ","Freight out/Postage                               ")</f>
        <v xml:space="preserve">     Freight out/Postage                               </v>
      </c>
      <c r="C61" s="14"/>
      <c r="D61" s="1">
        <f>SUM(OSRRefD22_5x_0)</f>
        <v>132.66999999999999</v>
      </c>
      <c r="E61" s="1"/>
      <c r="F61" s="5">
        <f t="shared" si="28"/>
        <v>2.1358831918051116E-3</v>
      </c>
      <c r="G61" s="1"/>
      <c r="H61" s="1">
        <f>SUM(OSRRefH22_5x_0)</f>
        <v>300</v>
      </c>
      <c r="I61" s="1"/>
      <c r="J61" s="5">
        <f t="shared" si="29"/>
        <v>3.5063113604488078E-3</v>
      </c>
      <c r="K61" s="1"/>
      <c r="L61" s="1">
        <f t="shared" si="30"/>
        <v>-167.33</v>
      </c>
      <c r="M61" s="1"/>
      <c r="N61" s="5">
        <f t="shared" si="31"/>
        <v>-0.55776666666666674</v>
      </c>
      <c r="O61" s="14"/>
      <c r="P61" s="1">
        <f>SUM(OSRRefP22_5x_0)</f>
        <v>132.66999999999999</v>
      </c>
      <c r="Q61" s="1"/>
      <c r="R61" s="5">
        <f t="shared" si="32"/>
        <v>2.1358831918051116E-3</v>
      </c>
      <c r="S61" s="1"/>
      <c r="T61" s="1">
        <f>SUM(OSRRefT22_5x_0)</f>
        <v>300</v>
      </c>
      <c r="U61" s="1"/>
      <c r="V61" s="5">
        <f t="shared" si="33"/>
        <v>3.5063113604488078E-3</v>
      </c>
      <c r="W61" s="1"/>
      <c r="X61" s="1">
        <f t="shared" si="34"/>
        <v>-167.33</v>
      </c>
      <c r="Y61" s="1"/>
      <c r="Z61" s="5">
        <f t="shared" si="35"/>
        <v>-0.55776666666666674</v>
      </c>
    </row>
    <row r="62" spans="1:26" s="24" customFormat="1" hidden="1" outlineLevel="2" x14ac:dyDescent="0.3">
      <c r="A62" s="29"/>
      <c r="B62" s="11" t="str">
        <f>CONCATENATE("          ", "6305", " - ", "FREIGHT OUT")</f>
        <v xml:space="preserve">          6305 - FREIGHT OUT</v>
      </c>
      <c r="C62" s="11"/>
      <c r="D62" s="8">
        <v>132.66999999999999</v>
      </c>
      <c r="E62" s="3"/>
      <c r="F62" s="7">
        <f t="shared" si="28"/>
        <v>2.1358831918051116E-3</v>
      </c>
      <c r="G62" s="3"/>
      <c r="H62" s="8">
        <v>300</v>
      </c>
      <c r="I62" s="3"/>
      <c r="J62" s="7">
        <f t="shared" si="29"/>
        <v>3.5063113604488078E-3</v>
      </c>
      <c r="K62" s="3"/>
      <c r="L62" s="8">
        <f t="shared" si="30"/>
        <v>-167.33</v>
      </c>
      <c r="M62" s="3"/>
      <c r="N62" s="7">
        <f t="shared" si="31"/>
        <v>-0.55776666666666674</v>
      </c>
      <c r="O62" s="11"/>
      <c r="P62" s="8">
        <v>132.66999999999999</v>
      </c>
      <c r="Q62" s="3"/>
      <c r="R62" s="7">
        <f t="shared" si="32"/>
        <v>2.1358831918051116E-3</v>
      </c>
      <c r="S62" s="3"/>
      <c r="T62" s="8">
        <v>300</v>
      </c>
      <c r="U62" s="3"/>
      <c r="V62" s="7">
        <f t="shared" si="33"/>
        <v>3.5063113604488078E-3</v>
      </c>
      <c r="W62" s="3"/>
      <c r="X62" s="8">
        <f t="shared" si="34"/>
        <v>-167.33</v>
      </c>
      <c r="Y62" s="3"/>
      <c r="Z62" s="7">
        <f t="shared" si="35"/>
        <v>-0.55776666666666674</v>
      </c>
    </row>
    <row r="63" spans="1:26" s="27" customFormat="1" outlineLevel="1" collapsed="1" x14ac:dyDescent="0.3">
      <c r="A63" s="28"/>
      <c r="B63" s="14" t="str">
        <f>CONCATENATE("     ","General                                           ")</f>
        <v xml:space="preserve">     General                                           </v>
      </c>
      <c r="C63" s="14"/>
      <c r="D63" s="1">
        <f>SUM(OSRRefD22_6x_0)</f>
        <v>0</v>
      </c>
      <c r="E63" s="1"/>
      <c r="F63" s="5">
        <f t="shared" si="28"/>
        <v>0</v>
      </c>
      <c r="G63" s="1"/>
      <c r="H63" s="1">
        <f>SUM(OSRRefH22_6x_0)</f>
        <v>0</v>
      </c>
      <c r="I63" s="1"/>
      <c r="J63" s="5">
        <f t="shared" si="29"/>
        <v>0</v>
      </c>
      <c r="K63" s="1"/>
      <c r="L63" s="1">
        <f t="shared" si="30"/>
        <v>0</v>
      </c>
      <c r="M63" s="1"/>
      <c r="N63" s="5">
        <f t="shared" si="31"/>
        <v>0</v>
      </c>
      <c r="O63" s="14"/>
      <c r="P63" s="1">
        <f>SUM(OSRRefP22_6x_0)</f>
        <v>0</v>
      </c>
      <c r="Q63" s="1"/>
      <c r="R63" s="5">
        <f t="shared" si="32"/>
        <v>0</v>
      </c>
      <c r="S63" s="1"/>
      <c r="T63" s="1">
        <f>SUM(OSRRefT22_6x_0)</f>
        <v>0</v>
      </c>
      <c r="U63" s="1"/>
      <c r="V63" s="5">
        <f t="shared" si="33"/>
        <v>0</v>
      </c>
      <c r="W63" s="1"/>
      <c r="X63" s="1">
        <f t="shared" si="34"/>
        <v>0</v>
      </c>
      <c r="Y63" s="1"/>
      <c r="Z63" s="5">
        <f t="shared" si="35"/>
        <v>0</v>
      </c>
    </row>
    <row r="64" spans="1:26" s="24" customFormat="1" hidden="1" outlineLevel="2" x14ac:dyDescent="0.3">
      <c r="A64" s="29"/>
      <c r="B64" s="11" t="str">
        <f>CONCATENATE("          ", "6279", " - ", "GENERAL EXPENSE")</f>
        <v xml:space="preserve">          6279 - GENERAL EXPENSE</v>
      </c>
      <c r="C64" s="11"/>
      <c r="D64" s="8"/>
      <c r="E64" s="3"/>
      <c r="F64" s="7">
        <f t="shared" si="28"/>
        <v>0</v>
      </c>
      <c r="G64" s="3"/>
      <c r="H64" s="8">
        <v>0</v>
      </c>
      <c r="I64" s="3"/>
      <c r="J64" s="7">
        <f t="shared" si="29"/>
        <v>0</v>
      </c>
      <c r="K64" s="3"/>
      <c r="L64" s="8">
        <f t="shared" si="30"/>
        <v>0</v>
      </c>
      <c r="M64" s="3"/>
      <c r="N64" s="7">
        <f t="shared" si="31"/>
        <v>0</v>
      </c>
      <c r="O64" s="11"/>
      <c r="P64" s="8"/>
      <c r="Q64" s="3"/>
      <c r="R64" s="7">
        <f t="shared" si="32"/>
        <v>0</v>
      </c>
      <c r="S64" s="3"/>
      <c r="T64" s="8">
        <v>0</v>
      </c>
      <c r="U64" s="3"/>
      <c r="V64" s="7">
        <f t="shared" si="33"/>
        <v>0</v>
      </c>
      <c r="W64" s="3"/>
      <c r="X64" s="8">
        <f t="shared" si="34"/>
        <v>0</v>
      </c>
      <c r="Y64" s="3"/>
      <c r="Z64" s="7">
        <f t="shared" si="35"/>
        <v>0</v>
      </c>
    </row>
    <row r="65" spans="1:26" s="27" customFormat="1" outlineLevel="1" collapsed="1" x14ac:dyDescent="0.3">
      <c r="A65" s="28"/>
      <c r="B65" s="14" t="str">
        <f>CONCATENATE("     ","Inventory Adjustment                              ")</f>
        <v xml:space="preserve">     Inventory Adjustment                              </v>
      </c>
      <c r="C65" s="14"/>
      <c r="D65" s="1">
        <f>SUM(OSRRefD22_7x_0)</f>
        <v>1000</v>
      </c>
      <c r="E65" s="1"/>
      <c r="F65" s="5">
        <f t="shared" si="28"/>
        <v>1.6099217545828836E-2</v>
      </c>
      <c r="G65" s="1"/>
      <c r="H65" s="1">
        <f>SUM(OSRRefH22_7x_0)</f>
        <v>1000</v>
      </c>
      <c r="I65" s="1"/>
      <c r="J65" s="5">
        <f t="shared" si="29"/>
        <v>1.168770453482936E-2</v>
      </c>
      <c r="K65" s="1"/>
      <c r="L65" s="1">
        <f t="shared" si="30"/>
        <v>0</v>
      </c>
      <c r="M65" s="1"/>
      <c r="N65" s="5">
        <f t="shared" si="31"/>
        <v>0</v>
      </c>
      <c r="O65" s="14"/>
      <c r="P65" s="1">
        <f>SUM(OSRRefP22_7x_0)</f>
        <v>1000</v>
      </c>
      <c r="Q65" s="1"/>
      <c r="R65" s="5">
        <f t="shared" si="32"/>
        <v>1.6099217545828836E-2</v>
      </c>
      <c r="S65" s="1"/>
      <c r="T65" s="1">
        <f>SUM(OSRRefT22_7x_0)</f>
        <v>1000</v>
      </c>
      <c r="U65" s="1"/>
      <c r="V65" s="5">
        <f t="shared" si="33"/>
        <v>1.168770453482936E-2</v>
      </c>
      <c r="W65" s="1"/>
      <c r="X65" s="1">
        <f t="shared" si="34"/>
        <v>0</v>
      </c>
      <c r="Y65" s="1"/>
      <c r="Z65" s="5">
        <f t="shared" si="35"/>
        <v>0</v>
      </c>
    </row>
    <row r="66" spans="1:26" s="24" customFormat="1" hidden="1" outlineLevel="2" x14ac:dyDescent="0.3">
      <c r="A66" s="29"/>
      <c r="B66" s="11" t="str">
        <f>CONCATENATE("          ", "6408", " - ", "INVENTORY ADJUSTMENT")</f>
        <v xml:space="preserve">          6408 - INVENTORY ADJUSTMENT</v>
      </c>
      <c r="C66" s="11"/>
      <c r="D66" s="8">
        <v>1000</v>
      </c>
      <c r="E66" s="3"/>
      <c r="F66" s="7">
        <f t="shared" si="28"/>
        <v>1.6099217545828836E-2</v>
      </c>
      <c r="G66" s="3"/>
      <c r="H66" s="8">
        <v>1000</v>
      </c>
      <c r="I66" s="3"/>
      <c r="J66" s="7">
        <f t="shared" si="29"/>
        <v>1.168770453482936E-2</v>
      </c>
      <c r="K66" s="3"/>
      <c r="L66" s="8">
        <f t="shared" si="30"/>
        <v>0</v>
      </c>
      <c r="M66" s="3"/>
      <c r="N66" s="7">
        <f t="shared" si="31"/>
        <v>0</v>
      </c>
      <c r="O66" s="11"/>
      <c r="P66" s="8">
        <v>1000</v>
      </c>
      <c r="Q66" s="3"/>
      <c r="R66" s="7">
        <f t="shared" si="32"/>
        <v>1.6099217545828836E-2</v>
      </c>
      <c r="S66" s="3"/>
      <c r="T66" s="8">
        <v>1000</v>
      </c>
      <c r="U66" s="3"/>
      <c r="V66" s="7">
        <f t="shared" si="33"/>
        <v>1.168770453482936E-2</v>
      </c>
      <c r="W66" s="3"/>
      <c r="X66" s="8">
        <f t="shared" si="34"/>
        <v>0</v>
      </c>
      <c r="Y66" s="3"/>
      <c r="Z66" s="7">
        <f t="shared" si="35"/>
        <v>0</v>
      </c>
    </row>
    <row r="67" spans="1:26" s="27" customFormat="1" outlineLevel="1" collapsed="1" x14ac:dyDescent="0.3">
      <c r="A67" s="28"/>
      <c r="B67" s="14" t="str">
        <f>CONCATENATE("     ","Repair and Maintenance                            ")</f>
        <v xml:space="preserve">     Repair and Maintenance                            </v>
      </c>
      <c r="C67" s="14"/>
      <c r="D67" s="1">
        <f>SUM(OSRRefD22_8x_0)</f>
        <v>2900.53</v>
      </c>
      <c r="E67" s="1"/>
      <c r="F67" s="5">
        <f t="shared" si="28"/>
        <v>4.6696263468202923E-2</v>
      </c>
      <c r="G67" s="1"/>
      <c r="H67" s="1">
        <f>SUM(OSRRefH22_8x_0)</f>
        <v>80</v>
      </c>
      <c r="I67" s="1"/>
      <c r="J67" s="5">
        <f t="shared" si="29"/>
        <v>9.3501636278634881E-4</v>
      </c>
      <c r="K67" s="1"/>
      <c r="L67" s="1">
        <f t="shared" si="30"/>
        <v>2820.53</v>
      </c>
      <c r="M67" s="1"/>
      <c r="N67" s="5">
        <f t="shared" si="31"/>
        <v>35.256625</v>
      </c>
      <c r="O67" s="14"/>
      <c r="P67" s="1">
        <f>SUM(OSRRefP22_8x_0)</f>
        <v>2900.53</v>
      </c>
      <c r="Q67" s="1"/>
      <c r="R67" s="5">
        <f t="shared" si="32"/>
        <v>4.6696263468202923E-2</v>
      </c>
      <c r="S67" s="1"/>
      <c r="T67" s="1">
        <f>SUM(OSRRefT22_8x_0)</f>
        <v>80</v>
      </c>
      <c r="U67" s="1"/>
      <c r="V67" s="5">
        <f t="shared" si="33"/>
        <v>9.3501636278634881E-4</v>
      </c>
      <c r="W67" s="1"/>
      <c r="X67" s="1">
        <f t="shared" si="34"/>
        <v>2820.53</v>
      </c>
      <c r="Y67" s="1"/>
      <c r="Z67" s="5">
        <f t="shared" si="35"/>
        <v>35.256625</v>
      </c>
    </row>
    <row r="68" spans="1:26" s="24" customFormat="1" hidden="1" outlineLevel="2" x14ac:dyDescent="0.3">
      <c r="A68" s="29"/>
      <c r="B68" s="11" t="str">
        <f>CONCATENATE("          ", "6371", " - ", "COMPUTER SOFTWARE MAINTENANCE")</f>
        <v xml:space="preserve">          6371 - COMPUTER SOFTWARE MAINTENANCE</v>
      </c>
      <c r="C68" s="11"/>
      <c r="D68" s="8">
        <v>2887.5</v>
      </c>
      <c r="E68" s="3"/>
      <c r="F68" s="7">
        <f t="shared" si="28"/>
        <v>4.6486490663580772E-2</v>
      </c>
      <c r="G68" s="3"/>
      <c r="H68" s="8"/>
      <c r="I68" s="3"/>
      <c r="J68" s="7">
        <f t="shared" si="29"/>
        <v>0</v>
      </c>
      <c r="K68" s="3"/>
      <c r="L68" s="8">
        <f t="shared" si="30"/>
        <v>2887.5</v>
      </c>
      <c r="M68" s="3"/>
      <c r="N68" s="7">
        <f t="shared" si="31"/>
        <v>0</v>
      </c>
      <c r="O68" s="11"/>
      <c r="P68" s="8">
        <v>2887.5</v>
      </c>
      <c r="Q68" s="3"/>
      <c r="R68" s="7">
        <f t="shared" si="32"/>
        <v>4.6486490663580772E-2</v>
      </c>
      <c r="S68" s="3"/>
      <c r="T68" s="8"/>
      <c r="U68" s="3"/>
      <c r="V68" s="7">
        <f t="shared" si="33"/>
        <v>0</v>
      </c>
      <c r="W68" s="3"/>
      <c r="X68" s="8">
        <f t="shared" si="34"/>
        <v>2887.5</v>
      </c>
      <c r="Y68" s="3"/>
      <c r="Z68" s="7">
        <f t="shared" si="35"/>
        <v>0</v>
      </c>
    </row>
    <row r="69" spans="1:26" s="24" customFormat="1" hidden="1" outlineLevel="2" x14ac:dyDescent="0.3">
      <c r="A69" s="29"/>
      <c r="B69" s="11" t="str">
        <f>CONCATENATE("          ", "6373", " - ", "MAINTENANCE CONTRACTS")</f>
        <v xml:space="preserve">          6373 - MAINTENANCE CONTRACTS</v>
      </c>
      <c r="C69" s="11"/>
      <c r="D69" s="8">
        <v>13.03</v>
      </c>
      <c r="E69" s="3"/>
      <c r="F69" s="7">
        <f t="shared" si="28"/>
        <v>2.0977280462214975E-4</v>
      </c>
      <c r="G69" s="3"/>
      <c r="H69" s="8">
        <v>40</v>
      </c>
      <c r="I69" s="3"/>
      <c r="J69" s="7">
        <f t="shared" si="29"/>
        <v>4.675081813931744E-4</v>
      </c>
      <c r="K69" s="3"/>
      <c r="L69" s="8">
        <f t="shared" si="30"/>
        <v>-26.97</v>
      </c>
      <c r="M69" s="3"/>
      <c r="N69" s="7">
        <f t="shared" si="31"/>
        <v>-0.67425000000000002</v>
      </c>
      <c r="O69" s="11"/>
      <c r="P69" s="8">
        <v>13.03</v>
      </c>
      <c r="Q69" s="3"/>
      <c r="R69" s="7">
        <f t="shared" si="32"/>
        <v>2.0977280462214975E-4</v>
      </c>
      <c r="S69" s="3"/>
      <c r="T69" s="8">
        <v>40</v>
      </c>
      <c r="U69" s="3"/>
      <c r="V69" s="7">
        <f t="shared" si="33"/>
        <v>4.675081813931744E-4</v>
      </c>
      <c r="W69" s="3"/>
      <c r="X69" s="8">
        <f t="shared" si="34"/>
        <v>-26.97</v>
      </c>
      <c r="Y69" s="3"/>
      <c r="Z69" s="7">
        <f t="shared" si="35"/>
        <v>-0.67425000000000002</v>
      </c>
    </row>
    <row r="70" spans="1:26" s="24" customFormat="1" hidden="1" outlineLevel="2" x14ac:dyDescent="0.3">
      <c r="A70" s="29"/>
      <c r="B70" s="11" t="str">
        <f>CONCATENATE("          ", "6375", " - ", "OUTSIDE REPAIRS &amp; MAINTENANCE")</f>
        <v xml:space="preserve">          6375 - OUTSIDE REPAIRS &amp; MAINTENANCE</v>
      </c>
      <c r="C70" s="11"/>
      <c r="D70" s="8"/>
      <c r="E70" s="3"/>
      <c r="F70" s="7">
        <f t="shared" si="28"/>
        <v>0</v>
      </c>
      <c r="G70" s="3"/>
      <c r="H70" s="8">
        <v>40</v>
      </c>
      <c r="I70" s="3"/>
      <c r="J70" s="7">
        <f t="shared" si="29"/>
        <v>4.675081813931744E-4</v>
      </c>
      <c r="K70" s="3"/>
      <c r="L70" s="8">
        <f t="shared" si="30"/>
        <v>-40</v>
      </c>
      <c r="M70" s="3"/>
      <c r="N70" s="7">
        <f t="shared" si="31"/>
        <v>-1</v>
      </c>
      <c r="O70" s="11"/>
      <c r="P70" s="8"/>
      <c r="Q70" s="3"/>
      <c r="R70" s="7">
        <f t="shared" si="32"/>
        <v>0</v>
      </c>
      <c r="S70" s="3"/>
      <c r="T70" s="8">
        <v>40</v>
      </c>
      <c r="U70" s="3"/>
      <c r="V70" s="7">
        <f t="shared" si="33"/>
        <v>4.675081813931744E-4</v>
      </c>
      <c r="W70" s="3"/>
      <c r="X70" s="8">
        <f t="shared" si="34"/>
        <v>-40</v>
      </c>
      <c r="Y70" s="3"/>
      <c r="Z70" s="7">
        <f t="shared" si="35"/>
        <v>-1</v>
      </c>
    </row>
    <row r="71" spans="1:26" s="27" customFormat="1" outlineLevel="1" collapsed="1" x14ac:dyDescent="0.3">
      <c r="A71" s="28"/>
      <c r="B71" s="14" t="str">
        <f>CONCATENATE("     ","Subscriptions &amp; Dues                              ")</f>
        <v xml:space="preserve">     Subscriptions &amp; Dues                              </v>
      </c>
      <c r="C71" s="14"/>
      <c r="D71" s="1">
        <f>SUM(OSRRefD22_9x_0)</f>
        <v>68.319999999999993</v>
      </c>
      <c r="E71" s="1"/>
      <c r="F71" s="5">
        <f t="shared" ref="F71:F75" si="36">IF(D$12=0,0,D71/D$12)</f>
        <v>1.0998985427310261E-3</v>
      </c>
      <c r="G71" s="1"/>
      <c r="H71" s="1">
        <f>SUM(OSRRefH22_9x_0)</f>
        <v>300</v>
      </c>
      <c r="I71" s="1"/>
      <c r="J71" s="5">
        <f t="shared" ref="J71:J75" si="37">IF(H$12=0,0,H71/H$12)</f>
        <v>3.5063113604488078E-3</v>
      </c>
      <c r="K71" s="1"/>
      <c r="L71" s="1">
        <f t="shared" ref="L71:L75" si="38">+D71-H71</f>
        <v>-231.68</v>
      </c>
      <c r="M71" s="1"/>
      <c r="N71" s="5">
        <f t="shared" ref="N71:N75" si="39">IF(H71=0,0,L71/H71)</f>
        <v>-0.77226666666666666</v>
      </c>
      <c r="O71" s="14"/>
      <c r="P71" s="1">
        <f>SUM(OSRRefP22_9x_0)</f>
        <v>68.319999999999993</v>
      </c>
      <c r="Q71" s="1"/>
      <c r="R71" s="5">
        <f t="shared" ref="R71:R75" si="40">IF(P$12=0,0,P71/P$12)</f>
        <v>1.0998985427310261E-3</v>
      </c>
      <c r="S71" s="1"/>
      <c r="T71" s="1">
        <f>SUM(OSRRefT22_9x_0)</f>
        <v>300</v>
      </c>
      <c r="U71" s="1"/>
      <c r="V71" s="5">
        <f t="shared" ref="V71:V75" si="41">IF(T$12=0,0,T71/T$12)</f>
        <v>3.5063113604488078E-3</v>
      </c>
      <c r="W71" s="1"/>
      <c r="X71" s="1">
        <f t="shared" ref="X71:X75" si="42">+P71-T71</f>
        <v>-231.68</v>
      </c>
      <c r="Y71" s="1"/>
      <c r="Z71" s="5">
        <f t="shared" ref="Z71:Z75" si="43">IF(T71=0,0,X71/T71)</f>
        <v>-0.77226666666666666</v>
      </c>
    </row>
    <row r="72" spans="1:26" s="24" customFormat="1" hidden="1" outlineLevel="2" x14ac:dyDescent="0.3">
      <c r="A72" s="29"/>
      <c r="B72" s="11" t="str">
        <f>CONCATENATE("          ", "6258", " - ", "MEMBERSHIP DUES")</f>
        <v xml:space="preserve">          6258 - MEMBERSHIP DUES</v>
      </c>
      <c r="C72" s="11"/>
      <c r="D72" s="8">
        <v>68.319999999999993</v>
      </c>
      <c r="E72" s="3"/>
      <c r="F72" s="7">
        <f t="shared" si="36"/>
        <v>1.0998985427310261E-3</v>
      </c>
      <c r="G72" s="3"/>
      <c r="H72" s="8">
        <v>300</v>
      </c>
      <c r="I72" s="3"/>
      <c r="J72" s="7">
        <f t="shared" si="37"/>
        <v>3.5063113604488078E-3</v>
      </c>
      <c r="K72" s="3"/>
      <c r="L72" s="8">
        <f t="shared" si="38"/>
        <v>-231.68</v>
      </c>
      <c r="M72" s="3"/>
      <c r="N72" s="7">
        <f t="shared" si="39"/>
        <v>-0.77226666666666666</v>
      </c>
      <c r="O72" s="11"/>
      <c r="P72" s="8">
        <v>68.319999999999993</v>
      </c>
      <c r="Q72" s="3"/>
      <c r="R72" s="7">
        <f t="shared" si="40"/>
        <v>1.0998985427310261E-3</v>
      </c>
      <c r="S72" s="3"/>
      <c r="T72" s="8">
        <v>300</v>
      </c>
      <c r="U72" s="3"/>
      <c r="V72" s="7">
        <f t="shared" si="41"/>
        <v>3.5063113604488078E-3</v>
      </c>
      <c r="W72" s="3"/>
      <c r="X72" s="8">
        <f t="shared" si="42"/>
        <v>-231.68</v>
      </c>
      <c r="Y72" s="3"/>
      <c r="Z72" s="7">
        <f t="shared" si="43"/>
        <v>-0.77226666666666666</v>
      </c>
    </row>
    <row r="73" spans="1:26" s="27" customFormat="1" outlineLevel="1" collapsed="1" x14ac:dyDescent="0.3">
      <c r="A73" s="28"/>
      <c r="B73" s="14" t="str">
        <f>CONCATENATE("     ","Supplies                                          ")</f>
        <v xml:space="preserve">     Supplies                                          </v>
      </c>
      <c r="C73" s="14"/>
      <c r="D73" s="1">
        <f>SUM(OSRRefD22_10x_0)</f>
        <v>115.74</v>
      </c>
      <c r="E73" s="1"/>
      <c r="F73" s="5">
        <f t="shared" si="36"/>
        <v>1.8633234387542296E-3</v>
      </c>
      <c r="G73" s="1"/>
      <c r="H73" s="1">
        <f>SUM(OSRRefH22_10x_0)</f>
        <v>700</v>
      </c>
      <c r="I73" s="1"/>
      <c r="J73" s="5">
        <f t="shared" si="37"/>
        <v>8.181393174380552E-3</v>
      </c>
      <c r="K73" s="1"/>
      <c r="L73" s="1">
        <f t="shared" si="38"/>
        <v>-584.26</v>
      </c>
      <c r="M73" s="1"/>
      <c r="N73" s="5">
        <f t="shared" si="39"/>
        <v>-0.83465714285714288</v>
      </c>
      <c r="O73" s="14"/>
      <c r="P73" s="1">
        <f>SUM(OSRRefP22_10x_0)</f>
        <v>115.74</v>
      </c>
      <c r="Q73" s="1"/>
      <c r="R73" s="5">
        <f t="shared" si="40"/>
        <v>1.8633234387542296E-3</v>
      </c>
      <c r="S73" s="1"/>
      <c r="T73" s="1">
        <f>SUM(OSRRefT22_10x_0)</f>
        <v>700</v>
      </c>
      <c r="U73" s="1"/>
      <c r="V73" s="5">
        <f t="shared" si="41"/>
        <v>8.181393174380552E-3</v>
      </c>
      <c r="W73" s="1"/>
      <c r="X73" s="1">
        <f t="shared" si="42"/>
        <v>-584.26</v>
      </c>
      <c r="Y73" s="1"/>
      <c r="Z73" s="5">
        <f t="shared" si="43"/>
        <v>-0.83465714285714288</v>
      </c>
    </row>
    <row r="74" spans="1:26" s="24" customFormat="1" hidden="1" outlineLevel="2" x14ac:dyDescent="0.3">
      <c r="A74" s="29"/>
      <c r="B74" s="11" t="str">
        <f>CONCATENATE("          ", "6241", " - ", "OFFICE EXPENSE")</f>
        <v xml:space="preserve">          6241 - OFFICE EXPENSE</v>
      </c>
      <c r="C74" s="11"/>
      <c r="D74" s="8">
        <v>115.74</v>
      </c>
      <c r="E74" s="3"/>
      <c r="F74" s="7">
        <f t="shared" si="36"/>
        <v>1.8633234387542296E-3</v>
      </c>
      <c r="G74" s="3"/>
      <c r="H74" s="8">
        <v>300</v>
      </c>
      <c r="I74" s="3"/>
      <c r="J74" s="7">
        <f t="shared" si="37"/>
        <v>3.5063113604488078E-3</v>
      </c>
      <c r="K74" s="3"/>
      <c r="L74" s="8">
        <f t="shared" si="38"/>
        <v>-184.26</v>
      </c>
      <c r="M74" s="3"/>
      <c r="N74" s="7">
        <f t="shared" si="39"/>
        <v>-0.61419999999999997</v>
      </c>
      <c r="O74" s="11"/>
      <c r="P74" s="8">
        <v>115.74</v>
      </c>
      <c r="Q74" s="3"/>
      <c r="R74" s="7">
        <f t="shared" si="40"/>
        <v>1.8633234387542296E-3</v>
      </c>
      <c r="S74" s="3"/>
      <c r="T74" s="8">
        <v>300</v>
      </c>
      <c r="U74" s="3"/>
      <c r="V74" s="7">
        <f t="shared" si="41"/>
        <v>3.5063113604488078E-3</v>
      </c>
      <c r="W74" s="3"/>
      <c r="X74" s="8">
        <f t="shared" si="42"/>
        <v>-184.26</v>
      </c>
      <c r="Y74" s="3"/>
      <c r="Z74" s="7">
        <f t="shared" si="43"/>
        <v>-0.61419999999999997</v>
      </c>
    </row>
    <row r="75" spans="1:26" s="24" customFormat="1" hidden="1" outlineLevel="2" x14ac:dyDescent="0.3">
      <c r="A75" s="29"/>
      <c r="B75" s="11" t="str">
        <f>CONCATENATE("          ", "6247", " - ", "STORE SUPPLIES")</f>
        <v xml:space="preserve">          6247 - STORE SUPPLIES</v>
      </c>
      <c r="C75" s="11"/>
      <c r="D75" s="8"/>
      <c r="E75" s="3"/>
      <c r="F75" s="7">
        <f t="shared" si="36"/>
        <v>0</v>
      </c>
      <c r="G75" s="3"/>
      <c r="H75" s="8">
        <v>400</v>
      </c>
      <c r="I75" s="3"/>
      <c r="J75" s="7">
        <f t="shared" si="37"/>
        <v>4.6750818139317434E-3</v>
      </c>
      <c r="K75" s="3"/>
      <c r="L75" s="8">
        <f t="shared" si="38"/>
        <v>-400</v>
      </c>
      <c r="M75" s="3"/>
      <c r="N75" s="7">
        <f t="shared" si="39"/>
        <v>-1</v>
      </c>
      <c r="O75" s="11"/>
      <c r="P75" s="8"/>
      <c r="Q75" s="3"/>
      <c r="R75" s="7">
        <f t="shared" si="40"/>
        <v>0</v>
      </c>
      <c r="S75" s="3"/>
      <c r="T75" s="8">
        <v>400</v>
      </c>
      <c r="U75" s="3"/>
      <c r="V75" s="7">
        <f t="shared" si="41"/>
        <v>4.6750818139317434E-3</v>
      </c>
      <c r="W75" s="3"/>
      <c r="X75" s="8">
        <f t="shared" si="42"/>
        <v>-400</v>
      </c>
      <c r="Y75" s="3"/>
      <c r="Z75" s="7">
        <f t="shared" si="43"/>
        <v>-1</v>
      </c>
    </row>
    <row r="76" spans="1:26" s="27" customFormat="1" outlineLevel="1" collapsed="1" x14ac:dyDescent="0.3">
      <c r="A76" s="28"/>
      <c r="B76" s="14" t="str">
        <f>CONCATENATE("     ","Telephone/Data Lines                              ")</f>
        <v xml:space="preserve">     Telephone/Data Lines                              </v>
      </c>
      <c r="C76" s="14"/>
      <c r="D76" s="1">
        <f>SUM(OSRRefD22_11x_0)</f>
        <v>607.4</v>
      </c>
      <c r="E76" s="1"/>
      <c r="F76" s="5">
        <f t="shared" ref="F76:F78" si="44">IF(D$12=0,0,D76/D$12)</f>
        <v>9.7786647373364361E-3</v>
      </c>
      <c r="G76" s="1"/>
      <c r="H76" s="1">
        <f>SUM(OSRRefH22_11x_0)</f>
        <v>350</v>
      </c>
      <c r="I76" s="1"/>
      <c r="J76" s="5">
        <f t="shared" ref="J76:J78" si="45">IF(H$12=0,0,H76/H$12)</f>
        <v>4.090696587190276E-3</v>
      </c>
      <c r="K76" s="1"/>
      <c r="L76" s="1">
        <f t="shared" ref="L76:L78" si="46">+D76-H76</f>
        <v>257.39999999999998</v>
      </c>
      <c r="M76" s="1"/>
      <c r="N76" s="5">
        <f t="shared" ref="N76:N78" si="47">IF(H76=0,0,L76/H76)</f>
        <v>0.73542857142857132</v>
      </c>
      <c r="O76" s="14"/>
      <c r="P76" s="1">
        <f>SUM(OSRRefP22_11x_0)</f>
        <v>607.4</v>
      </c>
      <c r="Q76" s="1"/>
      <c r="R76" s="5">
        <f t="shared" ref="R76:R78" si="48">IF(P$12=0,0,P76/P$12)</f>
        <v>9.7786647373364361E-3</v>
      </c>
      <c r="S76" s="1"/>
      <c r="T76" s="1">
        <f>SUM(OSRRefT22_11x_0)</f>
        <v>350</v>
      </c>
      <c r="U76" s="1"/>
      <c r="V76" s="5">
        <f t="shared" ref="V76:V78" si="49">IF(T$12=0,0,T76/T$12)</f>
        <v>4.090696587190276E-3</v>
      </c>
      <c r="W76" s="1"/>
      <c r="X76" s="1">
        <f t="shared" ref="X76:X78" si="50">+P76-T76</f>
        <v>257.39999999999998</v>
      </c>
      <c r="Y76" s="1"/>
      <c r="Z76" s="5">
        <f t="shared" ref="Z76:Z78" si="51">IF(T76=0,0,X76/T76)</f>
        <v>0.73542857142857132</v>
      </c>
    </row>
    <row r="77" spans="1:26" s="24" customFormat="1" hidden="1" outlineLevel="2" x14ac:dyDescent="0.3">
      <c r="A77" s="29"/>
      <c r="B77" s="11" t="str">
        <f>CONCATENATE("          ", "6303", " - ", "DATA PHONE LINES")</f>
        <v xml:space="preserve">          6303 - DATA PHONE LINES</v>
      </c>
      <c r="C77" s="11"/>
      <c r="D77" s="8">
        <v>295</v>
      </c>
      <c r="E77" s="3"/>
      <c r="F77" s="7">
        <f t="shared" si="44"/>
        <v>4.7492691760195075E-3</v>
      </c>
      <c r="G77" s="3"/>
      <c r="H77" s="8">
        <v>0</v>
      </c>
      <c r="I77" s="3"/>
      <c r="J77" s="7">
        <f t="shared" si="45"/>
        <v>0</v>
      </c>
      <c r="K77" s="3"/>
      <c r="L77" s="8">
        <f t="shared" si="46"/>
        <v>295</v>
      </c>
      <c r="M77" s="3"/>
      <c r="N77" s="7">
        <f t="shared" si="47"/>
        <v>0</v>
      </c>
      <c r="O77" s="11"/>
      <c r="P77" s="8">
        <v>295</v>
      </c>
      <c r="Q77" s="3"/>
      <c r="R77" s="7">
        <f t="shared" si="48"/>
        <v>4.7492691760195075E-3</v>
      </c>
      <c r="S77" s="3"/>
      <c r="T77" s="8">
        <v>0</v>
      </c>
      <c r="U77" s="3"/>
      <c r="V77" s="7">
        <f t="shared" si="49"/>
        <v>0</v>
      </c>
      <c r="W77" s="3"/>
      <c r="X77" s="8">
        <f t="shared" si="50"/>
        <v>295</v>
      </c>
      <c r="Y77" s="3"/>
      <c r="Z77" s="7">
        <f t="shared" si="51"/>
        <v>0</v>
      </c>
    </row>
    <row r="78" spans="1:26" s="24" customFormat="1" hidden="1" outlineLevel="2" x14ac:dyDescent="0.3">
      <c r="A78" s="29"/>
      <c r="B78" s="11" t="str">
        <f>CONCATENATE("          ", "6309", " - ", "TELEPHONE")</f>
        <v xml:space="preserve">          6309 - TELEPHONE</v>
      </c>
      <c r="C78" s="11"/>
      <c r="D78" s="8">
        <v>312.39999999999998</v>
      </c>
      <c r="E78" s="3"/>
      <c r="F78" s="7">
        <f t="shared" si="44"/>
        <v>5.0293955613169286E-3</v>
      </c>
      <c r="G78" s="3"/>
      <c r="H78" s="8">
        <v>350</v>
      </c>
      <c r="I78" s="3"/>
      <c r="J78" s="7">
        <f t="shared" si="45"/>
        <v>4.090696587190276E-3</v>
      </c>
      <c r="K78" s="3"/>
      <c r="L78" s="8">
        <f t="shared" si="46"/>
        <v>-37.600000000000023</v>
      </c>
      <c r="M78" s="3"/>
      <c r="N78" s="7">
        <f t="shared" si="47"/>
        <v>-0.1074285714285715</v>
      </c>
      <c r="O78" s="11"/>
      <c r="P78" s="8">
        <v>312.39999999999998</v>
      </c>
      <c r="Q78" s="3"/>
      <c r="R78" s="7">
        <f t="shared" si="48"/>
        <v>5.0293955613169286E-3</v>
      </c>
      <c r="S78" s="3"/>
      <c r="T78" s="8">
        <v>350</v>
      </c>
      <c r="U78" s="3"/>
      <c r="V78" s="7">
        <f t="shared" si="49"/>
        <v>4.090696587190276E-3</v>
      </c>
      <c r="W78" s="3"/>
      <c r="X78" s="8">
        <f t="shared" si="50"/>
        <v>-37.600000000000023</v>
      </c>
      <c r="Y78" s="3"/>
      <c r="Z78" s="7">
        <f t="shared" si="51"/>
        <v>-0.1074285714285715</v>
      </c>
    </row>
    <row r="79" spans="1:26" s="62" customFormat="1" x14ac:dyDescent="0.3">
      <c r="A79" s="36"/>
      <c r="B79" s="36"/>
      <c r="C79" s="36"/>
      <c r="D79" s="1"/>
      <c r="E79" s="1"/>
      <c r="F79" s="5"/>
      <c r="G79" s="1"/>
      <c r="H79" s="1"/>
      <c r="I79" s="1"/>
      <c r="J79" s="5"/>
      <c r="K79" s="1"/>
      <c r="L79" s="1"/>
      <c r="M79" s="1"/>
      <c r="N79" s="5"/>
      <c r="O79" s="36"/>
      <c r="P79" s="1"/>
      <c r="Q79" s="1"/>
      <c r="R79" s="5"/>
      <c r="S79" s="1"/>
      <c r="T79" s="1"/>
      <c r="U79" s="1"/>
      <c r="V79" s="5"/>
      <c r="W79" s="1"/>
      <c r="X79" s="1"/>
      <c r="Y79" s="1"/>
      <c r="Z79" s="5"/>
    </row>
    <row r="80" spans="1:26" s="23" customFormat="1" collapsed="1" x14ac:dyDescent="0.3">
      <c r="A80" s="10"/>
      <c r="B80" s="25" t="s">
        <v>293</v>
      </c>
      <c r="C80" s="10"/>
      <c r="D80" s="4">
        <f>SUM(OSRRefD25x_0)</f>
        <v>631.93999999999994</v>
      </c>
      <c r="E80" s="4"/>
      <c r="F80" s="12">
        <f t="shared" ref="F80:F83" si="52">IF(D$12=0,0,D80/D$12)</f>
        <v>1.0173739535911075E-2</v>
      </c>
      <c r="G80" s="4"/>
      <c r="H80" s="4">
        <f>SUM(OSRRefH25x_0)</f>
        <v>2376</v>
      </c>
      <c r="I80" s="4"/>
      <c r="J80" s="12">
        <f t="shared" ref="J80:J83" si="53">IF(H$12=0,0,H80/H$12)</f>
        <v>2.7769985974754559E-2</v>
      </c>
      <c r="K80" s="4"/>
      <c r="L80" s="4">
        <f t="shared" ref="L80:L83" si="54">+D80-H80</f>
        <v>-1744.06</v>
      </c>
      <c r="M80" s="4"/>
      <c r="N80" s="12">
        <f t="shared" ref="N80:N83" si="55">IF(H80=0,0,L80/H80)</f>
        <v>-0.73403198653198654</v>
      </c>
      <c r="O80" s="10"/>
      <c r="P80" s="4">
        <f>SUM(OSRRefP25x_0)</f>
        <v>631.93999999999994</v>
      </c>
      <c r="Q80" s="4"/>
      <c r="R80" s="12">
        <f t="shared" ref="R80:R83" si="56">IF(P$12=0,0,P80/P$12)</f>
        <v>1.0173739535911075E-2</v>
      </c>
      <c r="S80" s="4"/>
      <c r="T80" s="4">
        <f>SUM(OSRRefT25x_0)</f>
        <v>2376</v>
      </c>
      <c r="U80" s="4"/>
      <c r="V80" s="12">
        <f t="shared" ref="V80:V83" si="57">IF(T$12=0,0,T80/T$12)</f>
        <v>2.7769985974754559E-2</v>
      </c>
      <c r="W80" s="4"/>
      <c r="X80" s="4">
        <f t="shared" ref="X80:X83" si="58">+P80-T80</f>
        <v>-1744.06</v>
      </c>
      <c r="Y80" s="4"/>
      <c r="Z80" s="12">
        <f t="shared" ref="Z80:Z83" si="59">IF(T80=0,0,X80/T80)</f>
        <v>-0.73403198653198654</v>
      </c>
    </row>
    <row r="81" spans="1:26" s="24" customFormat="1" hidden="1" outlineLevel="1" x14ac:dyDescent="0.3">
      <c r="A81" s="44"/>
      <c r="B81" s="11" t="str">
        <f>CONCATENATE("          ", "9150", " - ", "MISC. INCOME")</f>
        <v xml:space="preserve">          9150 - MISC. INCOME</v>
      </c>
      <c r="C81" s="11"/>
      <c r="D81" s="3">
        <f>--565.02</f>
        <v>565.02</v>
      </c>
      <c r="E81" s="3"/>
      <c r="F81" s="19">
        <f t="shared" si="52"/>
        <v>9.0963798977442088E-3</v>
      </c>
      <c r="G81" s="3"/>
      <c r="H81" s="3">
        <v>2376</v>
      </c>
      <c r="I81" s="3"/>
      <c r="J81" s="19">
        <f t="shared" si="53"/>
        <v>2.7769985974754559E-2</v>
      </c>
      <c r="K81" s="3"/>
      <c r="L81" s="3">
        <f t="shared" si="54"/>
        <v>-1810.98</v>
      </c>
      <c r="M81" s="3"/>
      <c r="N81" s="19">
        <f t="shared" si="55"/>
        <v>-0.76219696969696971</v>
      </c>
      <c r="O81" s="11"/>
      <c r="P81" s="3">
        <f>--565.02</f>
        <v>565.02</v>
      </c>
      <c r="Q81" s="3"/>
      <c r="R81" s="19">
        <f t="shared" si="56"/>
        <v>9.0963798977442088E-3</v>
      </c>
      <c r="S81" s="3"/>
      <c r="T81" s="3">
        <v>2376</v>
      </c>
      <c r="U81" s="3"/>
      <c r="V81" s="19">
        <f t="shared" si="57"/>
        <v>2.7769985974754559E-2</v>
      </c>
      <c r="W81" s="3"/>
      <c r="X81" s="3">
        <f t="shared" si="58"/>
        <v>-1810.98</v>
      </c>
      <c r="Y81" s="3"/>
      <c r="Z81" s="19">
        <f t="shared" si="59"/>
        <v>-0.76219696969696971</v>
      </c>
    </row>
    <row r="82" spans="1:26" s="24" customFormat="1" hidden="1" outlineLevel="1" x14ac:dyDescent="0.3">
      <c r="A82" s="44"/>
      <c r="B82" s="11" t="str">
        <f>CONCATENATE("          ", "9152", " - ", "MISC. INCOME")</f>
        <v xml:space="preserve">          9152 - MISC. INCOME</v>
      </c>
      <c r="C82" s="11"/>
      <c r="D82" s="3">
        <f>--66.92</f>
        <v>66.92</v>
      </c>
      <c r="E82" s="3"/>
      <c r="F82" s="19">
        <f t="shared" si="52"/>
        <v>1.0773596381668659E-3</v>
      </c>
      <c r="G82" s="3"/>
      <c r="H82" s="3"/>
      <c r="I82" s="3"/>
      <c r="J82" s="19">
        <f t="shared" si="53"/>
        <v>0</v>
      </c>
      <c r="K82" s="3"/>
      <c r="L82" s="3">
        <f t="shared" si="54"/>
        <v>66.92</v>
      </c>
      <c r="M82" s="3"/>
      <c r="N82" s="19">
        <f t="shared" si="55"/>
        <v>0</v>
      </c>
      <c r="O82" s="11"/>
      <c r="P82" s="3">
        <f>--66.92</f>
        <v>66.92</v>
      </c>
      <c r="Q82" s="3"/>
      <c r="R82" s="19">
        <f t="shared" si="56"/>
        <v>1.0773596381668659E-3</v>
      </c>
      <c r="S82" s="3"/>
      <c r="T82" s="3"/>
      <c r="U82" s="3"/>
      <c r="V82" s="19">
        <f t="shared" si="57"/>
        <v>0</v>
      </c>
      <c r="W82" s="3"/>
      <c r="X82" s="3">
        <f t="shared" si="58"/>
        <v>66.92</v>
      </c>
      <c r="Y82" s="3"/>
      <c r="Z82" s="19">
        <f t="shared" si="59"/>
        <v>0</v>
      </c>
    </row>
    <row r="83" spans="1:26" s="24" customFormat="1" hidden="1" outlineLevel="1" x14ac:dyDescent="0.3">
      <c r="A83" s="44"/>
      <c r="B83" s="11" t="str">
        <f>CONCATENATE("          ", "9160", " - ", "MISC. INCOME")</f>
        <v xml:space="preserve">          9160 - MISC. INCOME</v>
      </c>
      <c r="C83" s="11"/>
      <c r="D83" s="3">
        <f>0</f>
        <v>0</v>
      </c>
      <c r="E83" s="3"/>
      <c r="F83" s="19">
        <f t="shared" si="52"/>
        <v>0</v>
      </c>
      <c r="G83" s="3"/>
      <c r="H83" s="3">
        <v>0</v>
      </c>
      <c r="I83" s="3"/>
      <c r="J83" s="19">
        <f t="shared" si="53"/>
        <v>0</v>
      </c>
      <c r="K83" s="3"/>
      <c r="L83" s="3">
        <f t="shared" si="54"/>
        <v>0</v>
      </c>
      <c r="M83" s="3"/>
      <c r="N83" s="19">
        <f t="shared" si="55"/>
        <v>0</v>
      </c>
      <c r="O83" s="11"/>
      <c r="P83" s="3">
        <f>0</f>
        <v>0</v>
      </c>
      <c r="Q83" s="3"/>
      <c r="R83" s="19">
        <f t="shared" si="56"/>
        <v>0</v>
      </c>
      <c r="S83" s="3"/>
      <c r="T83" s="3">
        <v>0</v>
      </c>
      <c r="U83" s="3"/>
      <c r="V83" s="19">
        <f t="shared" si="57"/>
        <v>0</v>
      </c>
      <c r="W83" s="3"/>
      <c r="X83" s="3">
        <f t="shared" si="58"/>
        <v>0</v>
      </c>
      <c r="Y83" s="3"/>
      <c r="Z83" s="19">
        <f t="shared" si="59"/>
        <v>0</v>
      </c>
    </row>
    <row r="84" spans="1:26" x14ac:dyDescent="0.3">
      <c r="A84" s="9"/>
      <c r="B84" s="10"/>
      <c r="C84" s="10"/>
      <c r="D84" s="2"/>
      <c r="E84" s="2"/>
      <c r="F84" s="6"/>
      <c r="G84" s="2"/>
      <c r="H84" s="2"/>
      <c r="I84" s="2"/>
      <c r="J84" s="6"/>
      <c r="K84" s="2"/>
      <c r="L84" s="2"/>
      <c r="M84" s="2"/>
      <c r="N84" s="6"/>
      <c r="O84" s="10"/>
      <c r="P84" s="2"/>
      <c r="Q84" s="2"/>
      <c r="R84" s="6"/>
      <c r="S84" s="2"/>
      <c r="T84" s="2"/>
      <c r="U84" s="2"/>
      <c r="V84" s="6"/>
      <c r="W84" s="2"/>
      <c r="X84" s="2"/>
      <c r="Y84" s="2"/>
      <c r="Z84" s="6"/>
    </row>
    <row r="85" spans="1:26" s="23" customFormat="1" x14ac:dyDescent="0.3">
      <c r="A85" s="10"/>
      <c r="B85" s="26" t="s">
        <v>277</v>
      </c>
      <c r="C85" s="26"/>
      <c r="D85" s="21">
        <f>+D30-D32+D80</f>
        <v>-31095.730000000007</v>
      </c>
      <c r="E85" s="13"/>
      <c r="F85" s="22">
        <f>IF(D$12=0,0,D85/D$12)</f>
        <v>-0.50061692201635632</v>
      </c>
      <c r="G85" s="13"/>
      <c r="H85" s="21">
        <f>+H30-H32+H80</f>
        <v>-28621.413568737196</v>
      </c>
      <c r="I85" s="13"/>
      <c r="J85" s="22">
        <f>IF(H$12=0,0,H85/H$12)</f>
        <v>-0.3345186251605563</v>
      </c>
      <c r="K85" s="16"/>
      <c r="L85" s="21">
        <f>+D85-H85</f>
        <v>-2474.3164312628105</v>
      </c>
      <c r="M85" s="16"/>
      <c r="N85" s="22">
        <f>IF(H85=0,0,L85/H85)</f>
        <v>8.6449833280263788E-2</v>
      </c>
      <c r="O85" s="25"/>
      <c r="P85" s="21">
        <f>+P30-P32+P80</f>
        <v>-31095.730000000007</v>
      </c>
      <c r="Q85" s="13"/>
      <c r="R85" s="22">
        <f>IF(P$12=0,0,P85/P$12)</f>
        <v>-0.50061692201635632</v>
      </c>
      <c r="S85" s="13"/>
      <c r="T85" s="21">
        <f>+T30-T32+T80</f>
        <v>-28621.413568737196</v>
      </c>
      <c r="U85" s="13"/>
      <c r="V85" s="22">
        <f>IF(T$12=0,0,T85/T$12)</f>
        <v>-0.3345186251605563</v>
      </c>
      <c r="W85" s="16"/>
      <c r="X85" s="21">
        <f>+P85-T85</f>
        <v>-2474.3164312628105</v>
      </c>
      <c r="Y85" s="16"/>
      <c r="Z85" s="22">
        <f>IF(T85=0,0,X85/T85)</f>
        <v>8.6449833280263788E-2</v>
      </c>
    </row>
    <row r="86" spans="1:26" x14ac:dyDescent="0.3">
      <c r="A86" s="9"/>
      <c r="B86" s="10"/>
      <c r="C86" s="9"/>
      <c r="D86" s="2"/>
      <c r="E86" s="2"/>
      <c r="F86" s="6"/>
      <c r="G86" s="2"/>
      <c r="H86" s="2"/>
      <c r="I86" s="2"/>
      <c r="J86" s="6"/>
      <c r="K86" s="2"/>
      <c r="L86" s="2"/>
      <c r="M86" s="2"/>
      <c r="N86" s="6"/>
      <c r="P86" s="2"/>
      <c r="Q86" s="2"/>
      <c r="R86" s="6"/>
      <c r="S86" s="2"/>
      <c r="T86" s="2"/>
      <c r="U86" s="2"/>
      <c r="V86" s="6"/>
      <c r="W86" s="2"/>
      <c r="X86" s="2"/>
      <c r="Y86" s="2"/>
      <c r="Z86" s="6"/>
    </row>
    <row r="87" spans="1:26" s="23" customFormat="1" x14ac:dyDescent="0.3">
      <c r="A87" s="52"/>
      <c r="B87" s="10" t="s">
        <v>128</v>
      </c>
      <c r="C87" s="10"/>
      <c r="D87" s="4">
        <v>28696.79</v>
      </c>
      <c r="E87" s="4"/>
      <c r="F87" s="12">
        <f>IF(D$12=0,0,D87/D$12)</f>
        <v>0.46199586507696555</v>
      </c>
      <c r="G87" s="4"/>
      <c r="H87" s="4">
        <v>30985</v>
      </c>
      <c r="I87" s="4"/>
      <c r="J87" s="12">
        <f>IF(H$12=0,0,H87/H$12)</f>
        <v>0.36214352501168773</v>
      </c>
      <c r="K87" s="4"/>
      <c r="L87" s="4">
        <f>+D87-H87</f>
        <v>-2288.2099999999991</v>
      </c>
      <c r="M87" s="4"/>
      <c r="N87" s="12">
        <f>IF(H87=0,0,L87/H87)</f>
        <v>-7.3848959173793749E-2</v>
      </c>
      <c r="O87" s="10"/>
      <c r="P87" s="4">
        <v>28696.79</v>
      </c>
      <c r="Q87" s="4"/>
      <c r="R87" s="12">
        <f>IF(P$12=0,0,P87/P$12)</f>
        <v>0.46199586507696555</v>
      </c>
      <c r="S87" s="4"/>
      <c r="T87" s="4">
        <v>30985</v>
      </c>
      <c r="U87" s="4"/>
      <c r="V87" s="12">
        <f>IF(T$12=0,0,T87/T$12)</f>
        <v>0.36214352501168773</v>
      </c>
      <c r="W87" s="4"/>
      <c r="X87" s="4">
        <f>+P87-T87</f>
        <v>-2288.2099999999991</v>
      </c>
      <c r="Y87" s="4"/>
      <c r="Z87" s="12">
        <f>IF(T87=0,0,X87/T87)</f>
        <v>-7.3848959173793749E-2</v>
      </c>
    </row>
    <row r="88" spans="1:26" x14ac:dyDescent="0.3">
      <c r="A88" s="9"/>
      <c r="B88" s="10"/>
      <c r="C88" s="10"/>
      <c r="D88" s="2"/>
      <c r="E88" s="2"/>
      <c r="F88" s="6"/>
      <c r="G88" s="2"/>
      <c r="H88" s="2"/>
      <c r="I88" s="2"/>
      <c r="J88" s="6"/>
      <c r="K88" s="2"/>
      <c r="L88" s="2"/>
      <c r="M88" s="2"/>
      <c r="N88" s="6"/>
      <c r="O88" s="10"/>
      <c r="P88" s="2"/>
      <c r="Q88" s="2"/>
      <c r="R88" s="6"/>
      <c r="S88" s="2"/>
      <c r="T88" s="2"/>
      <c r="U88" s="2"/>
      <c r="V88" s="6"/>
      <c r="W88" s="2"/>
      <c r="X88" s="2"/>
      <c r="Y88" s="2"/>
      <c r="Z88" s="6"/>
    </row>
    <row r="89" spans="1:26" s="23" customFormat="1" ht="15" thickBot="1" x14ac:dyDescent="0.35">
      <c r="A89" s="10"/>
      <c r="B89" s="26" t="s">
        <v>126</v>
      </c>
      <c r="C89" s="26"/>
      <c r="D89" s="35">
        <f>+D85-D87</f>
        <v>-59792.520000000004</v>
      </c>
      <c r="E89" s="13"/>
      <c r="F89" s="30">
        <f>IF(D$12=0,0,D89/D$12)</f>
        <v>-0.96261278709332176</v>
      </c>
      <c r="G89" s="13"/>
      <c r="H89" s="35">
        <f>+H85-H87</f>
        <v>-59606.413568737196</v>
      </c>
      <c r="I89" s="13"/>
      <c r="J89" s="30">
        <f>IF(H$12=0,0,H89/H$12)</f>
        <v>-0.69666215017224398</v>
      </c>
      <c r="K89" s="16"/>
      <c r="L89" s="35">
        <f>D89-H89</f>
        <v>-186.10643126280775</v>
      </c>
      <c r="M89" s="16"/>
      <c r="N89" s="30">
        <f>IF(H89=0,0,L89/H89)</f>
        <v>3.1222551420275048E-3</v>
      </c>
      <c r="O89" s="25"/>
      <c r="P89" s="35">
        <f>+P85-P87</f>
        <v>-59792.520000000004</v>
      </c>
      <c r="Q89" s="13"/>
      <c r="R89" s="30">
        <f>IF(P$12=0,0,P89/P$12)</f>
        <v>-0.96261278709332176</v>
      </c>
      <c r="S89" s="13"/>
      <c r="T89" s="35">
        <f>+T85-T87</f>
        <v>-59606.413568737196</v>
      </c>
      <c r="U89" s="13"/>
      <c r="V89" s="30">
        <f>IF(T$12=0,0,T89/T$12)</f>
        <v>-0.69666215017224398</v>
      </c>
      <c r="W89" s="16"/>
      <c r="X89" s="35">
        <f>P89-T89</f>
        <v>-186.10643126280775</v>
      </c>
      <c r="Y89" s="16"/>
      <c r="Z89" s="30">
        <f>IF(T89=0,0,X89/T89)</f>
        <v>3.1222551420275048E-3</v>
      </c>
    </row>
    <row r="90" spans="1:26" ht="15" thickTop="1" x14ac:dyDescent="0.3">
      <c r="A90" s="9"/>
      <c r="B90" s="9"/>
      <c r="C90" s="9"/>
      <c r="D90" s="2"/>
      <c r="E90" s="2"/>
      <c r="F90" s="6"/>
      <c r="G90" s="2"/>
      <c r="H90" s="2"/>
      <c r="I90" s="2"/>
      <c r="J90" s="6"/>
      <c r="K90" s="2"/>
      <c r="L90" s="2"/>
      <c r="M90" s="2"/>
      <c r="N90" s="6"/>
      <c r="P90" s="2"/>
      <c r="Q90" s="2"/>
      <c r="R90" s="6"/>
      <c r="S90" s="2"/>
      <c r="T90" s="2"/>
      <c r="U90" s="2"/>
      <c r="V90" s="6"/>
      <c r="W90" s="2"/>
      <c r="X90" s="2"/>
      <c r="Y90" s="2"/>
      <c r="Z90" s="6"/>
    </row>
    <row r="91" spans="1:26" x14ac:dyDescent="0.3">
      <c r="A91" s="9"/>
      <c r="B91" s="9"/>
      <c r="C91" s="9"/>
      <c r="D91" s="2"/>
      <c r="E91" s="2"/>
      <c r="F91" s="6"/>
      <c r="G91" s="2"/>
      <c r="H91" s="2"/>
      <c r="I91" s="2"/>
      <c r="J91" s="6"/>
      <c r="K91" s="2"/>
      <c r="L91" s="2"/>
      <c r="M91" s="2"/>
      <c r="N91" s="6"/>
      <c r="P91" s="2"/>
      <c r="Q91" s="2"/>
      <c r="R91" s="6"/>
      <c r="S91" s="2"/>
      <c r="T91" s="2"/>
      <c r="U91" s="2"/>
      <c r="V91" s="6"/>
      <c r="W91" s="2"/>
      <c r="X91" s="2"/>
      <c r="Y91" s="2"/>
      <c r="Z91" s="6"/>
    </row>
    <row r="92" spans="1:26" s="23" customFormat="1" ht="15" thickBot="1" x14ac:dyDescent="0.35">
      <c r="A92" s="10"/>
      <c r="B92" s="26" t="s">
        <v>294</v>
      </c>
      <c r="C92" s="26"/>
      <c r="D92" s="33">
        <f>SUM(D89:D91)</f>
        <v>-59792.520000000004</v>
      </c>
      <c r="E92" s="13"/>
      <c r="F92" s="31">
        <f>IF(D$12=0,0,D92/D$12)</f>
        <v>-0.96261278709332176</v>
      </c>
      <c r="G92" s="13"/>
      <c r="H92" s="33">
        <f>SUM(H89:H91)</f>
        <v>-59606.413568737196</v>
      </c>
      <c r="I92" s="13"/>
      <c r="J92" s="31">
        <f>IF(H$12=0,0,H92/H$12)</f>
        <v>-0.69666215017224398</v>
      </c>
      <c r="K92" s="16"/>
      <c r="L92" s="33">
        <f>+D92-H92</f>
        <v>-186.10643126280775</v>
      </c>
      <c r="M92" s="16"/>
      <c r="N92" s="31">
        <f>IF(H92=0,0,L92/H92)</f>
        <v>3.1222551420275048E-3</v>
      </c>
      <c r="O92" s="25"/>
      <c r="P92" s="33">
        <f>SUM(P89:P91)</f>
        <v>-59792.520000000004</v>
      </c>
      <c r="Q92" s="13"/>
      <c r="R92" s="31">
        <f>IF(P$12=0,0,P92/P$12)</f>
        <v>-0.96261278709332176</v>
      </c>
      <c r="S92" s="13"/>
      <c r="T92" s="33">
        <f>SUM(T89:T91)</f>
        <v>-59606.413568737196</v>
      </c>
      <c r="U92" s="13"/>
      <c r="V92" s="31">
        <f>IF(T$12=0,0,T92/T$12)</f>
        <v>-0.69666215017224398</v>
      </c>
      <c r="W92" s="16"/>
      <c r="X92" s="33">
        <f>+P92-T92</f>
        <v>-186.10643126280775</v>
      </c>
      <c r="Y92" s="16"/>
      <c r="Z92" s="31">
        <f>IF(T92=0,0,X92/T92)</f>
        <v>3.1222551420275048E-3</v>
      </c>
    </row>
    <row r="93" spans="1:26" ht="15" thickTop="1" x14ac:dyDescent="0.3">
      <c r="A93" s="9"/>
      <c r="C93" s="9"/>
      <c r="D93" s="18"/>
      <c r="E93" s="18"/>
      <c r="G93" s="18"/>
      <c r="H93" s="18"/>
      <c r="I93" s="18"/>
      <c r="J93" s="43"/>
      <c r="K93" s="18"/>
      <c r="L93" s="18"/>
      <c r="M93" s="18"/>
      <c r="P93" s="18"/>
      <c r="Q93" s="18"/>
      <c r="R93" s="43"/>
      <c r="S93" s="18"/>
      <c r="T93" s="18"/>
      <c r="U93" s="18"/>
      <c r="V93" s="43"/>
      <c r="W93" s="18"/>
      <c r="X93" s="18"/>
    </row>
    <row r="94" spans="1:26" x14ac:dyDescent="0.3">
      <c r="A94" s="9"/>
      <c r="B94" s="54">
        <v>44462.645459375002</v>
      </c>
      <c r="D94" s="18"/>
      <c r="E94" s="18"/>
      <c r="G94" s="18"/>
      <c r="H94" s="18"/>
      <c r="I94" s="18"/>
      <c r="J94" s="43"/>
      <c r="K94" s="18"/>
      <c r="L94" s="18"/>
      <c r="M94" s="18"/>
      <c r="P94" s="18"/>
      <c r="Q94" s="18"/>
      <c r="R94" s="43"/>
      <c r="S94" s="18"/>
      <c r="T94" s="18"/>
      <c r="U94" s="18"/>
      <c r="V94" s="43"/>
      <c r="W94" s="18"/>
      <c r="X94" s="18"/>
    </row>
    <row r="95" spans="1:26" x14ac:dyDescent="0.3">
      <c r="A95" s="9"/>
      <c r="B95" s="59" t="s">
        <v>56</v>
      </c>
      <c r="D95" s="18"/>
      <c r="E95" s="18"/>
      <c r="G95" s="18"/>
      <c r="H95" s="18"/>
      <c r="I95" s="18"/>
      <c r="J95" s="43"/>
      <c r="K95" s="18"/>
      <c r="L95" s="18"/>
      <c r="M95" s="18"/>
      <c r="P95" s="18"/>
      <c r="Q95" s="18"/>
      <c r="R95" s="43"/>
      <c r="S95" s="18"/>
      <c r="T95" s="18"/>
      <c r="U95" s="18"/>
      <c r="V95" s="43"/>
      <c r="W95" s="18"/>
      <c r="X95" s="18"/>
    </row>
    <row r="96" spans="1:26" x14ac:dyDescent="0.3">
      <c r="A96" s="9"/>
      <c r="B96" s="55"/>
      <c r="D96" s="18"/>
      <c r="E96" s="18"/>
      <c r="G96" s="18"/>
      <c r="H96" s="18"/>
      <c r="I96" s="18"/>
      <c r="J96" s="43"/>
      <c r="K96" s="18"/>
      <c r="L96" s="18"/>
      <c r="M96" s="18"/>
      <c r="P96" s="18"/>
      <c r="Q96" s="18"/>
      <c r="R96" s="43"/>
      <c r="S96" s="18"/>
      <c r="T96" s="18"/>
      <c r="U96" s="18"/>
      <c r="V96" s="43"/>
      <c r="W96" s="18"/>
      <c r="X96" s="18"/>
    </row>
    <row r="97" spans="4:24" x14ac:dyDescent="0.3">
      <c r="D97" s="18"/>
      <c r="E97" s="18"/>
      <c r="G97" s="18"/>
      <c r="H97" s="18"/>
      <c r="I97" s="18"/>
      <c r="J97" s="43"/>
      <c r="K97" s="18"/>
      <c r="L97" s="18"/>
      <c r="M97" s="18"/>
      <c r="P97" s="18"/>
      <c r="Q97" s="18"/>
      <c r="R97" s="43"/>
      <c r="S97" s="18"/>
      <c r="T97" s="18"/>
      <c r="U97" s="18"/>
      <c r="V97" s="43"/>
      <c r="W97" s="18"/>
      <c r="X97" s="18"/>
    </row>
  </sheetData>
  <pageMargins left="0.25" right="0.25" top="0.75" bottom="0.75" header="0.3" footer="0.3"/>
  <pageSetup scale="55" fitToWidth="2" orientation="landscape"/>
  <drawing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>
    <tabColor rgb="FF92D050"/>
    <outlinePr summaryBelow="0" summaryRight="0"/>
  </sheetPr>
  <dimension ref="A2:Z97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50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7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50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7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7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7" customWidth="1" outlineLevel="1"/>
  </cols>
  <sheetData>
    <row r="2" spans="1:26" x14ac:dyDescent="0.3">
      <c r="D2" s="57" t="s">
        <v>23</v>
      </c>
    </row>
    <row r="3" spans="1:26" x14ac:dyDescent="0.3">
      <c r="D3" s="57" t="s">
        <v>237</v>
      </c>
      <c r="E3" s="17"/>
      <c r="F3" s="51"/>
      <c r="G3" s="17"/>
      <c r="H3" s="17"/>
      <c r="I3" s="17"/>
      <c r="J3" s="39"/>
      <c r="K3" s="17"/>
      <c r="L3" s="17"/>
      <c r="M3" s="17"/>
      <c r="N3" s="51"/>
      <c r="O3" s="61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3">
      <c r="D4" s="57" t="str">
        <f>CONCATENATE("Period ",RIGHT(202201,2),", ",2022)</f>
        <v>Period 01, 2022</v>
      </c>
      <c r="E4" s="17"/>
      <c r="F4" s="51"/>
      <c r="G4" s="17"/>
      <c r="H4" s="17"/>
      <c r="I4" s="17"/>
      <c r="J4" s="39"/>
      <c r="K4" s="17"/>
      <c r="L4" s="17"/>
      <c r="M4" s="17"/>
      <c r="N4" s="51"/>
      <c r="O4" s="61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3">
      <c r="A5" s="23"/>
      <c r="D5" s="64">
        <v>44408</v>
      </c>
      <c r="E5" s="17"/>
      <c r="F5" s="51"/>
      <c r="G5" s="17"/>
      <c r="H5" s="17"/>
      <c r="I5" s="17"/>
      <c r="J5" s="39"/>
      <c r="K5" s="17"/>
      <c r="L5" s="17"/>
      <c r="M5" s="17"/>
      <c r="N5" s="51"/>
      <c r="O5" s="61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3">
      <c r="A6" s="23"/>
      <c r="B6" s="47"/>
      <c r="C6" s="47"/>
      <c r="D6" s="23" t="str">
        <f>CONCATENATE("Department ","311", " - ", "Textbooks")</f>
        <v>Department 311 - Textbooks</v>
      </c>
      <c r="E6" s="17"/>
      <c r="F6" s="51"/>
      <c r="G6" s="17"/>
      <c r="H6" s="17"/>
      <c r="I6" s="17"/>
      <c r="J6" s="39"/>
      <c r="K6" s="17"/>
      <c r="L6" s="17"/>
      <c r="M6" s="17"/>
      <c r="N6" s="51"/>
      <c r="O6" s="60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3">
      <c r="B7" s="63"/>
    </row>
    <row r="8" spans="1:26" x14ac:dyDescent="0.3">
      <c r="B8" s="63"/>
    </row>
    <row r="9" spans="1:26" x14ac:dyDescent="0.3">
      <c r="B9" s="9"/>
      <c r="C9" s="9"/>
      <c r="D9" s="15" t="s">
        <v>292</v>
      </c>
      <c r="E9" s="15"/>
      <c r="F9" s="38"/>
      <c r="G9" s="15"/>
      <c r="H9" s="15"/>
      <c r="I9" s="15"/>
      <c r="J9" s="49"/>
      <c r="K9" s="15"/>
      <c r="L9" s="15"/>
      <c r="M9" s="15"/>
      <c r="N9" s="38"/>
      <c r="P9" s="15" t="s">
        <v>39</v>
      </c>
      <c r="Q9" s="15"/>
      <c r="R9" s="38"/>
      <c r="S9" s="15"/>
      <c r="T9" s="15"/>
      <c r="U9" s="15"/>
      <c r="V9" s="49"/>
      <c r="W9" s="15"/>
      <c r="X9" s="15"/>
      <c r="Y9" s="15"/>
      <c r="Z9" s="38"/>
    </row>
    <row r="10" spans="1:26" x14ac:dyDescent="0.3">
      <c r="A10" s="10"/>
      <c r="B10" s="53"/>
      <c r="C10" s="10"/>
      <c r="D10" s="42" t="s">
        <v>57</v>
      </c>
      <c r="E10" s="34"/>
      <c r="F10" s="40" t="s">
        <v>40</v>
      </c>
      <c r="G10" s="34"/>
      <c r="H10" s="45" t="s">
        <v>238</v>
      </c>
      <c r="I10" s="34"/>
      <c r="J10" s="48" t="s">
        <v>58</v>
      </c>
      <c r="K10" s="10"/>
      <c r="L10" s="42" t="s">
        <v>127</v>
      </c>
      <c r="M10" s="10"/>
      <c r="N10" s="40" t="s">
        <v>258</v>
      </c>
      <c r="O10" s="10"/>
      <c r="P10" s="56" t="s">
        <v>57</v>
      </c>
      <c r="Q10" s="34"/>
      <c r="R10" s="40" t="s">
        <v>40</v>
      </c>
      <c r="S10" s="34"/>
      <c r="T10" s="45" t="s">
        <v>238</v>
      </c>
      <c r="U10" s="34"/>
      <c r="V10" s="48" t="s">
        <v>58</v>
      </c>
      <c r="W10" s="10"/>
      <c r="X10" s="42" t="s">
        <v>127</v>
      </c>
      <c r="Y10" s="10"/>
      <c r="Z10" s="40" t="s">
        <v>258</v>
      </c>
    </row>
    <row r="11" spans="1:26" ht="15.6" x14ac:dyDescent="0.3">
      <c r="A11" s="9"/>
      <c r="B11" s="58"/>
      <c r="C11" s="9"/>
      <c r="D11" s="9"/>
      <c r="E11" s="9"/>
      <c r="F11" s="6"/>
      <c r="G11" s="9"/>
      <c r="H11" s="9"/>
      <c r="I11" s="9"/>
      <c r="J11" s="46"/>
      <c r="K11" s="9"/>
      <c r="L11" s="9"/>
      <c r="M11" s="9"/>
      <c r="N11" s="6"/>
      <c r="P11" s="9"/>
      <c r="Q11" s="9"/>
      <c r="R11" s="6"/>
      <c r="S11" s="9"/>
      <c r="T11" s="9"/>
      <c r="U11" s="9"/>
      <c r="V11" s="46"/>
      <c r="W11" s="9"/>
      <c r="X11" s="9"/>
      <c r="Y11" s="9"/>
      <c r="Z11" s="6"/>
    </row>
    <row r="12" spans="1:26" s="23" customFormat="1" collapsed="1" x14ac:dyDescent="0.3">
      <c r="A12" s="10"/>
      <c r="B12" s="25" t="s">
        <v>140</v>
      </c>
      <c r="C12" s="10"/>
      <c r="D12" s="4">
        <f>SUM(OSRRefD13x_0)</f>
        <v>56201.599999999999</v>
      </c>
      <c r="E12" s="4"/>
      <c r="F12" s="12"/>
      <c r="G12" s="4"/>
      <c r="H12" s="4">
        <f>SUM(OSRRefH13x_0)</f>
        <v>71333</v>
      </c>
      <c r="I12" s="4"/>
      <c r="J12" s="12"/>
      <c r="K12" s="4"/>
      <c r="L12" s="4">
        <f t="shared" ref="L12:L16" si="0">+D12-H12</f>
        <v>-15131.400000000001</v>
      </c>
      <c r="M12" s="4"/>
      <c r="N12" s="12">
        <f t="shared" ref="N12:N16" si="1">IF(H12=0,0,L12/H12)</f>
        <v>-0.21212342113748198</v>
      </c>
      <c r="O12" s="10"/>
      <c r="P12" s="4">
        <f>SUM(OSRRefP13x_0)</f>
        <v>56201.599999999999</v>
      </c>
      <c r="Q12" s="4"/>
      <c r="R12" s="12"/>
      <c r="S12" s="4"/>
      <c r="T12" s="4">
        <f>SUM(OSRRefT13x_0)</f>
        <v>71333</v>
      </c>
      <c r="U12" s="4"/>
      <c r="V12" s="12"/>
      <c r="W12" s="4"/>
      <c r="X12" s="4">
        <f t="shared" ref="X12:X16" si="2">+P12-T12</f>
        <v>-15131.400000000001</v>
      </c>
      <c r="Y12" s="4"/>
      <c r="Z12" s="12">
        <f t="shared" ref="Z12:Z16" si="3">IF(T12=0,0,X12/T12)</f>
        <v>-0.21212342113748198</v>
      </c>
    </row>
    <row r="13" spans="1:26" s="24" customFormat="1" hidden="1" outlineLevel="1" x14ac:dyDescent="0.3">
      <c r="A13" s="44"/>
      <c r="B13" s="11" t="str">
        <f>CONCATENATE("          ", "4000", " - ", "TAXABLE SALES")</f>
        <v xml:space="preserve">          4000 - TAXABLE SALES</v>
      </c>
      <c r="C13" s="11"/>
      <c r="D13" s="3">
        <f>--30924.86</f>
        <v>30924.86</v>
      </c>
      <c r="E13" s="3"/>
      <c r="F13" s="19"/>
      <c r="G13" s="3"/>
      <c r="H13" s="3">
        <v>71333</v>
      </c>
      <c r="I13" s="3"/>
      <c r="J13" s="19"/>
      <c r="K13" s="3"/>
      <c r="L13" s="3">
        <f t="shared" si="0"/>
        <v>-40408.14</v>
      </c>
      <c r="M13" s="3"/>
      <c r="N13" s="19">
        <f t="shared" si="1"/>
        <v>-0.56647189940139908</v>
      </c>
      <c r="O13" s="11"/>
      <c r="P13" s="3">
        <f>--30924.86</f>
        <v>30924.86</v>
      </c>
      <c r="Q13" s="3"/>
      <c r="R13" s="19"/>
      <c r="S13" s="3"/>
      <c r="T13" s="3">
        <v>71333</v>
      </c>
      <c r="U13" s="3"/>
      <c r="V13" s="19"/>
      <c r="W13" s="3"/>
      <c r="X13" s="3">
        <f t="shared" si="2"/>
        <v>-40408.14</v>
      </c>
      <c r="Y13" s="3"/>
      <c r="Z13" s="19">
        <f t="shared" si="3"/>
        <v>-0.56647189940139908</v>
      </c>
    </row>
    <row r="14" spans="1:26" s="24" customFormat="1" hidden="1" outlineLevel="1" x14ac:dyDescent="0.3">
      <c r="A14" s="44"/>
      <c r="B14" s="11" t="str">
        <f>CONCATENATE("          ", "4100", " - ", "NON-TAXABLE SALES")</f>
        <v xml:space="preserve">          4100 - NON-TAXABLE SALES</v>
      </c>
      <c r="C14" s="11"/>
      <c r="D14" s="3">
        <f>--27180.13</f>
        <v>27180.13</v>
      </c>
      <c r="E14" s="3"/>
      <c r="F14" s="19"/>
      <c r="G14" s="3"/>
      <c r="H14" s="3">
        <v>0</v>
      </c>
      <c r="I14" s="3"/>
      <c r="J14" s="19"/>
      <c r="K14" s="3"/>
      <c r="L14" s="3">
        <f t="shared" si="0"/>
        <v>27180.13</v>
      </c>
      <c r="M14" s="3"/>
      <c r="N14" s="19">
        <f t="shared" si="1"/>
        <v>0</v>
      </c>
      <c r="O14" s="11"/>
      <c r="P14" s="3">
        <f>--27180.13</f>
        <v>27180.13</v>
      </c>
      <c r="Q14" s="3"/>
      <c r="R14" s="19"/>
      <c r="S14" s="3"/>
      <c r="T14" s="3">
        <v>0</v>
      </c>
      <c r="U14" s="3"/>
      <c r="V14" s="19"/>
      <c r="W14" s="3"/>
      <c r="X14" s="3">
        <f t="shared" si="2"/>
        <v>27180.13</v>
      </c>
      <c r="Y14" s="3"/>
      <c r="Z14" s="19">
        <f t="shared" si="3"/>
        <v>0</v>
      </c>
    </row>
    <row r="15" spans="1:26" s="24" customFormat="1" hidden="1" outlineLevel="1" x14ac:dyDescent="0.3">
      <c r="A15" s="44"/>
      <c r="B15" s="11" t="str">
        <f>CONCATENATE("          ", "4200", " - ", "TAXABLE RETURNS")</f>
        <v xml:space="preserve">          4200 - TAXABLE RETURNS</v>
      </c>
      <c r="C15" s="11"/>
      <c r="D15" s="3">
        <f>-920.66</f>
        <v>-920.66</v>
      </c>
      <c r="E15" s="3"/>
      <c r="F15" s="19"/>
      <c r="G15" s="3"/>
      <c r="H15" s="3"/>
      <c r="I15" s="3"/>
      <c r="J15" s="19"/>
      <c r="K15" s="3"/>
      <c r="L15" s="3">
        <f t="shared" si="0"/>
        <v>-920.66</v>
      </c>
      <c r="M15" s="3"/>
      <c r="N15" s="19">
        <f t="shared" si="1"/>
        <v>0</v>
      </c>
      <c r="O15" s="11"/>
      <c r="P15" s="3">
        <f>-920.66</f>
        <v>-920.66</v>
      </c>
      <c r="Q15" s="3"/>
      <c r="R15" s="19"/>
      <c r="S15" s="3"/>
      <c r="T15" s="3"/>
      <c r="U15" s="3"/>
      <c r="V15" s="19"/>
      <c r="W15" s="3"/>
      <c r="X15" s="3">
        <f t="shared" si="2"/>
        <v>-920.66</v>
      </c>
      <c r="Y15" s="3"/>
      <c r="Z15" s="19">
        <f t="shared" si="3"/>
        <v>0</v>
      </c>
    </row>
    <row r="16" spans="1:26" s="24" customFormat="1" hidden="1" outlineLevel="1" x14ac:dyDescent="0.3">
      <c r="A16" s="44"/>
      <c r="B16" s="11" t="str">
        <f>CONCATENATE("          ", "4300", " - ", "NON-TAX RETURNS")</f>
        <v xml:space="preserve">          4300 - NON-TAX RETURNS</v>
      </c>
      <c r="C16" s="11"/>
      <c r="D16" s="3">
        <f>-982.73</f>
        <v>-982.73</v>
      </c>
      <c r="E16" s="3"/>
      <c r="F16" s="19"/>
      <c r="G16" s="3"/>
      <c r="H16" s="3"/>
      <c r="I16" s="3"/>
      <c r="J16" s="19"/>
      <c r="K16" s="3"/>
      <c r="L16" s="3">
        <f t="shared" si="0"/>
        <v>-982.73</v>
      </c>
      <c r="M16" s="3"/>
      <c r="N16" s="19">
        <f t="shared" si="1"/>
        <v>0</v>
      </c>
      <c r="O16" s="11"/>
      <c r="P16" s="3">
        <f>-982.73</f>
        <v>-982.73</v>
      </c>
      <c r="Q16" s="3"/>
      <c r="R16" s="19"/>
      <c r="S16" s="3"/>
      <c r="T16" s="3"/>
      <c r="U16" s="3"/>
      <c r="V16" s="19"/>
      <c r="W16" s="3"/>
      <c r="X16" s="3">
        <f t="shared" si="2"/>
        <v>-982.73</v>
      </c>
      <c r="Y16" s="3"/>
      <c r="Z16" s="19">
        <f t="shared" si="3"/>
        <v>0</v>
      </c>
    </row>
    <row r="17" spans="1:26" x14ac:dyDescent="0.3">
      <c r="A17" s="9"/>
      <c r="B17" s="10"/>
      <c r="C17" s="9"/>
      <c r="D17" s="2"/>
      <c r="E17" s="2"/>
      <c r="F17" s="6"/>
      <c r="G17" s="2"/>
      <c r="H17" s="2"/>
      <c r="I17" s="2"/>
      <c r="J17" s="6"/>
      <c r="K17" s="2"/>
      <c r="L17" s="2"/>
      <c r="M17" s="2"/>
      <c r="N17" s="6"/>
      <c r="P17" s="2"/>
      <c r="Q17" s="2"/>
      <c r="R17" s="6"/>
      <c r="S17" s="2"/>
      <c r="T17" s="2"/>
      <c r="U17" s="2"/>
      <c r="V17" s="6"/>
      <c r="W17" s="2"/>
      <c r="X17" s="2"/>
      <c r="Y17" s="2"/>
      <c r="Z17" s="6"/>
    </row>
    <row r="18" spans="1:26" s="23" customFormat="1" collapsed="1" x14ac:dyDescent="0.3">
      <c r="A18" s="10"/>
      <c r="B18" s="25" t="s">
        <v>257</v>
      </c>
      <c r="C18" s="10"/>
      <c r="D18" s="4">
        <f>SUM(OSRRefD16x_0)</f>
        <v>42691.720000000038</v>
      </c>
      <c r="E18" s="4"/>
      <c r="F18" s="12">
        <f t="shared" ref="F18:F28" si="4">IF(D$12=0,0,D18/D$12)</f>
        <v>0.7596175197859143</v>
      </c>
      <c r="G18" s="4"/>
      <c r="H18" s="4">
        <f>SUM(OSRRefH16x_0)</f>
        <v>51538</v>
      </c>
      <c r="I18" s="4"/>
      <c r="J18" s="12">
        <f t="shared" ref="J18:J28" si="5">IF(H$12=0,0,H18/H$12)</f>
        <v>0.72249870326496857</v>
      </c>
      <c r="K18" s="4"/>
      <c r="L18" s="4">
        <f t="shared" ref="L18:L28" si="6">+D18-H18</f>
        <v>-8846.2799999999625</v>
      </c>
      <c r="M18" s="4"/>
      <c r="N18" s="12">
        <f t="shared" ref="N18:N28" si="7">IF(H18=0,0,L18/H18)</f>
        <v>-0.17164577593232105</v>
      </c>
      <c r="O18" s="10"/>
      <c r="P18" s="4">
        <f>SUM(OSRRefP16x_0)</f>
        <v>42691.720000000038</v>
      </c>
      <c r="Q18" s="4"/>
      <c r="R18" s="12">
        <f t="shared" ref="R18:R28" si="8">IF(P$12=0,0,P18/P$12)</f>
        <v>0.7596175197859143</v>
      </c>
      <c r="S18" s="4"/>
      <c r="T18" s="4">
        <f>SUM(OSRRefT16x_0)</f>
        <v>51538</v>
      </c>
      <c r="U18" s="4"/>
      <c r="V18" s="12">
        <f t="shared" ref="V18:V28" si="9">IF(T$12=0,0,T18/T$12)</f>
        <v>0.72249870326496857</v>
      </c>
      <c r="W18" s="4"/>
      <c r="X18" s="4">
        <f t="shared" ref="X18:X28" si="10">+P18-T18</f>
        <v>-8846.2799999999625</v>
      </c>
      <c r="Y18" s="4"/>
      <c r="Z18" s="12">
        <f t="shared" ref="Z18:Z28" si="11">IF(T18=0,0,X18/T18)</f>
        <v>-0.17164577593232105</v>
      </c>
    </row>
    <row r="19" spans="1:26" s="24" customFormat="1" hidden="1" outlineLevel="1" x14ac:dyDescent="0.3">
      <c r="A19" s="44"/>
      <c r="B19" s="11" t="str">
        <f>CONCATENATE("          ", "5000", " - ", "PURCHASES @ COST")</f>
        <v xml:space="preserve">          5000 - PURCHASES @ COST</v>
      </c>
      <c r="C19" s="11"/>
      <c r="D19" s="3">
        <v>262208.01</v>
      </c>
      <c r="E19" s="3"/>
      <c r="F19" s="19">
        <f t="shared" si="4"/>
        <v>4.6654901283949215</v>
      </c>
      <c r="G19" s="3"/>
      <c r="H19" s="3">
        <v>51538</v>
      </c>
      <c r="I19" s="3"/>
      <c r="J19" s="19">
        <f t="shared" si="5"/>
        <v>0.72249870326496857</v>
      </c>
      <c r="K19" s="3"/>
      <c r="L19" s="3">
        <f t="shared" si="6"/>
        <v>210670.01</v>
      </c>
      <c r="M19" s="3"/>
      <c r="N19" s="19">
        <f t="shared" si="7"/>
        <v>4.0876636656447669</v>
      </c>
      <c r="O19" s="11"/>
      <c r="P19" s="3">
        <v>262208.01</v>
      </c>
      <c r="Q19" s="3"/>
      <c r="R19" s="19">
        <f t="shared" si="8"/>
        <v>4.6654901283949215</v>
      </c>
      <c r="S19" s="3"/>
      <c r="T19" s="3">
        <v>51538</v>
      </c>
      <c r="U19" s="3"/>
      <c r="V19" s="19">
        <f t="shared" si="9"/>
        <v>0.72249870326496857</v>
      </c>
      <c r="W19" s="3"/>
      <c r="X19" s="3">
        <f t="shared" si="10"/>
        <v>210670.01</v>
      </c>
      <c r="Y19" s="3"/>
      <c r="Z19" s="19">
        <f t="shared" si="11"/>
        <v>4.0876636656447669</v>
      </c>
    </row>
    <row r="20" spans="1:26" s="24" customFormat="1" hidden="1" outlineLevel="1" x14ac:dyDescent="0.3">
      <c r="A20" s="44"/>
      <c r="B20" s="11" t="str">
        <f>CONCATENATE("          ", "5001", " - ", "PURCHASES @ COST-NEW TEXT")</f>
        <v xml:space="preserve">          5001 - PURCHASES @ COST-NEW TEXT</v>
      </c>
      <c r="C20" s="11"/>
      <c r="D20" s="3">
        <v>0</v>
      </c>
      <c r="E20" s="3"/>
      <c r="F20" s="19">
        <f t="shared" si="4"/>
        <v>0</v>
      </c>
      <c r="G20" s="3"/>
      <c r="H20" s="3"/>
      <c r="I20" s="3"/>
      <c r="J20" s="19">
        <f t="shared" si="5"/>
        <v>0</v>
      </c>
      <c r="K20" s="3"/>
      <c r="L20" s="3">
        <f t="shared" si="6"/>
        <v>0</v>
      </c>
      <c r="M20" s="3"/>
      <c r="N20" s="19">
        <f t="shared" si="7"/>
        <v>0</v>
      </c>
      <c r="O20" s="11"/>
      <c r="P20" s="3">
        <v>0</v>
      </c>
      <c r="Q20" s="3"/>
      <c r="R20" s="19">
        <f t="shared" si="8"/>
        <v>0</v>
      </c>
      <c r="S20" s="3"/>
      <c r="T20" s="3"/>
      <c r="U20" s="3"/>
      <c r="V20" s="19">
        <f t="shared" si="9"/>
        <v>0</v>
      </c>
      <c r="W20" s="3"/>
      <c r="X20" s="3">
        <f t="shared" si="10"/>
        <v>0</v>
      </c>
      <c r="Y20" s="3"/>
      <c r="Z20" s="19">
        <f t="shared" si="11"/>
        <v>0</v>
      </c>
    </row>
    <row r="21" spans="1:26" s="24" customFormat="1" hidden="1" outlineLevel="1" x14ac:dyDescent="0.3">
      <c r="A21" s="44"/>
      <c r="B21" s="11" t="str">
        <f>CONCATENATE("          ", "5002", " - ", "PURCHASES @ COST-USED TEXT")</f>
        <v xml:space="preserve">          5002 - PURCHASES @ COST-USED TEXT</v>
      </c>
      <c r="C21" s="11"/>
      <c r="D21" s="3">
        <v>0</v>
      </c>
      <c r="E21" s="3"/>
      <c r="F21" s="19">
        <f t="shared" si="4"/>
        <v>0</v>
      </c>
      <c r="G21" s="3"/>
      <c r="H21" s="3"/>
      <c r="I21" s="3"/>
      <c r="J21" s="19">
        <f t="shared" si="5"/>
        <v>0</v>
      </c>
      <c r="K21" s="3"/>
      <c r="L21" s="3">
        <f t="shared" si="6"/>
        <v>0</v>
      </c>
      <c r="M21" s="3"/>
      <c r="N21" s="19">
        <f t="shared" si="7"/>
        <v>0</v>
      </c>
      <c r="O21" s="11"/>
      <c r="P21" s="3">
        <v>0</v>
      </c>
      <c r="Q21" s="3"/>
      <c r="R21" s="19">
        <f t="shared" si="8"/>
        <v>0</v>
      </c>
      <c r="S21" s="3"/>
      <c r="T21" s="3"/>
      <c r="U21" s="3"/>
      <c r="V21" s="19">
        <f t="shared" si="9"/>
        <v>0</v>
      </c>
      <c r="W21" s="3"/>
      <c r="X21" s="3">
        <f t="shared" si="10"/>
        <v>0</v>
      </c>
      <c r="Y21" s="3"/>
      <c r="Z21" s="19">
        <f t="shared" si="11"/>
        <v>0</v>
      </c>
    </row>
    <row r="22" spans="1:26" s="24" customFormat="1" hidden="1" outlineLevel="1" x14ac:dyDescent="0.3">
      <c r="A22" s="44"/>
      <c r="B22" s="11" t="str">
        <f>CONCATENATE("          ", "5004", " - ", "PURCHASES @ COST-DIGITAL TEXT")</f>
        <v xml:space="preserve">          5004 - PURCHASES @ COST-DIGITAL TEXT</v>
      </c>
      <c r="C22" s="11"/>
      <c r="D22" s="3">
        <v>0</v>
      </c>
      <c r="E22" s="3"/>
      <c r="F22" s="19">
        <f t="shared" si="4"/>
        <v>0</v>
      </c>
      <c r="G22" s="3"/>
      <c r="H22" s="3"/>
      <c r="I22" s="3"/>
      <c r="J22" s="19">
        <f t="shared" si="5"/>
        <v>0</v>
      </c>
      <c r="K22" s="3"/>
      <c r="L22" s="3">
        <f t="shared" si="6"/>
        <v>0</v>
      </c>
      <c r="M22" s="3"/>
      <c r="N22" s="19">
        <f t="shared" si="7"/>
        <v>0</v>
      </c>
      <c r="O22" s="11"/>
      <c r="P22" s="3">
        <v>0</v>
      </c>
      <c r="Q22" s="3"/>
      <c r="R22" s="19">
        <f t="shared" si="8"/>
        <v>0</v>
      </c>
      <c r="S22" s="3"/>
      <c r="T22" s="3"/>
      <c r="U22" s="3"/>
      <c r="V22" s="19">
        <f t="shared" si="9"/>
        <v>0</v>
      </c>
      <c r="W22" s="3"/>
      <c r="X22" s="3">
        <f t="shared" si="10"/>
        <v>0</v>
      </c>
      <c r="Y22" s="3"/>
      <c r="Z22" s="19">
        <f t="shared" si="11"/>
        <v>0</v>
      </c>
    </row>
    <row r="23" spans="1:26" s="24" customFormat="1" hidden="1" outlineLevel="1" x14ac:dyDescent="0.3">
      <c r="A23" s="44"/>
      <c r="B23" s="11" t="str">
        <f>CONCATENATE("          ", "5200", " - ", "PURCHASES OFFSET")</f>
        <v xml:space="preserve">          5200 - PURCHASES OFFSET</v>
      </c>
      <c r="C23" s="11"/>
      <c r="D23" s="3">
        <v>-264391.71999999997</v>
      </c>
      <c r="E23" s="3"/>
      <c r="F23" s="19">
        <f t="shared" si="4"/>
        <v>-4.7043450720264186</v>
      </c>
      <c r="G23" s="3"/>
      <c r="H23" s="3"/>
      <c r="I23" s="3"/>
      <c r="J23" s="19">
        <f t="shared" si="5"/>
        <v>0</v>
      </c>
      <c r="K23" s="3"/>
      <c r="L23" s="3">
        <f t="shared" si="6"/>
        <v>-264391.71999999997</v>
      </c>
      <c r="M23" s="3"/>
      <c r="N23" s="19">
        <f t="shared" si="7"/>
        <v>0</v>
      </c>
      <c r="O23" s="11"/>
      <c r="P23" s="3">
        <v>-264391.71999999997</v>
      </c>
      <c r="Q23" s="3"/>
      <c r="R23" s="19">
        <f t="shared" si="8"/>
        <v>-4.7043450720264186</v>
      </c>
      <c r="S23" s="3"/>
      <c r="T23" s="3"/>
      <c r="U23" s="3"/>
      <c r="V23" s="19">
        <f t="shared" si="9"/>
        <v>0</v>
      </c>
      <c r="W23" s="3"/>
      <c r="X23" s="3">
        <f t="shared" si="10"/>
        <v>-264391.71999999997</v>
      </c>
      <c r="Y23" s="3"/>
      <c r="Z23" s="19">
        <f t="shared" si="11"/>
        <v>0</v>
      </c>
    </row>
    <row r="24" spans="1:26" s="24" customFormat="1" hidden="1" outlineLevel="1" x14ac:dyDescent="0.3">
      <c r="A24" s="44"/>
      <c r="B24" s="11" t="str">
        <f>CONCATENATE("          ", "5300", " - ", "COG$ OFFSET")</f>
        <v xml:space="preserve">          5300 - COG$ OFFSET</v>
      </c>
      <c r="C24" s="11"/>
      <c r="D24" s="3">
        <v>42691.72</v>
      </c>
      <c r="E24" s="3"/>
      <c r="F24" s="19">
        <f t="shared" si="4"/>
        <v>0.75961751978591363</v>
      </c>
      <c r="G24" s="3"/>
      <c r="H24" s="3"/>
      <c r="I24" s="3"/>
      <c r="J24" s="19">
        <f t="shared" si="5"/>
        <v>0</v>
      </c>
      <c r="K24" s="3"/>
      <c r="L24" s="3">
        <f t="shared" si="6"/>
        <v>42691.72</v>
      </c>
      <c r="M24" s="3"/>
      <c r="N24" s="19">
        <f t="shared" si="7"/>
        <v>0</v>
      </c>
      <c r="O24" s="11"/>
      <c r="P24" s="3">
        <v>42691.72</v>
      </c>
      <c r="Q24" s="3"/>
      <c r="R24" s="19">
        <f t="shared" si="8"/>
        <v>0.75961751978591363</v>
      </c>
      <c r="S24" s="3"/>
      <c r="T24" s="3"/>
      <c r="U24" s="3"/>
      <c r="V24" s="19">
        <f t="shared" si="9"/>
        <v>0</v>
      </c>
      <c r="W24" s="3"/>
      <c r="X24" s="3">
        <f t="shared" si="10"/>
        <v>42691.72</v>
      </c>
      <c r="Y24" s="3"/>
      <c r="Z24" s="19">
        <f t="shared" si="11"/>
        <v>0</v>
      </c>
    </row>
    <row r="25" spans="1:26" s="24" customFormat="1" hidden="1" outlineLevel="1" x14ac:dyDescent="0.3">
      <c r="A25" s="44"/>
      <c r="B25" s="11" t="str">
        <f>CONCATENATE("          ", "5500", " - ", "FREIGHT-IN")</f>
        <v xml:space="preserve">          5500 - FREIGHT-IN</v>
      </c>
      <c r="C25" s="11"/>
      <c r="D25" s="3">
        <v>2183.71</v>
      </c>
      <c r="E25" s="3"/>
      <c r="F25" s="19">
        <f t="shared" si="4"/>
        <v>3.8854943631498037E-2</v>
      </c>
      <c r="G25" s="3"/>
      <c r="H25" s="3"/>
      <c r="I25" s="3"/>
      <c r="J25" s="19">
        <f t="shared" si="5"/>
        <v>0</v>
      </c>
      <c r="K25" s="3"/>
      <c r="L25" s="3">
        <f t="shared" si="6"/>
        <v>2183.71</v>
      </c>
      <c r="M25" s="3"/>
      <c r="N25" s="19">
        <f t="shared" si="7"/>
        <v>0</v>
      </c>
      <c r="O25" s="11"/>
      <c r="P25" s="3">
        <v>2183.71</v>
      </c>
      <c r="Q25" s="3"/>
      <c r="R25" s="19">
        <f t="shared" si="8"/>
        <v>3.8854943631498037E-2</v>
      </c>
      <c r="S25" s="3"/>
      <c r="T25" s="3"/>
      <c r="U25" s="3"/>
      <c r="V25" s="19">
        <f t="shared" si="9"/>
        <v>0</v>
      </c>
      <c r="W25" s="3"/>
      <c r="X25" s="3">
        <f t="shared" si="10"/>
        <v>2183.71</v>
      </c>
      <c r="Y25" s="3"/>
      <c r="Z25" s="19">
        <f t="shared" si="11"/>
        <v>0</v>
      </c>
    </row>
    <row r="26" spans="1:26" s="24" customFormat="1" hidden="1" outlineLevel="1" x14ac:dyDescent="0.3">
      <c r="A26" s="44"/>
      <c r="B26" s="11" t="str">
        <f>CONCATENATE("          ", "5501", " - ", "FREIGHT-IN-NEW TEXT")</f>
        <v xml:space="preserve">          5501 - FREIGHT-IN-NEW TEXT</v>
      </c>
      <c r="C26" s="11"/>
      <c r="D26" s="3">
        <v>0</v>
      </c>
      <c r="E26" s="3"/>
      <c r="F26" s="19">
        <f t="shared" si="4"/>
        <v>0</v>
      </c>
      <c r="G26" s="3"/>
      <c r="H26" s="3"/>
      <c r="I26" s="3"/>
      <c r="J26" s="19">
        <f t="shared" si="5"/>
        <v>0</v>
      </c>
      <c r="K26" s="3"/>
      <c r="L26" s="3">
        <f t="shared" si="6"/>
        <v>0</v>
      </c>
      <c r="M26" s="3"/>
      <c r="N26" s="19">
        <f t="shared" si="7"/>
        <v>0</v>
      </c>
      <c r="O26" s="11"/>
      <c r="P26" s="3">
        <v>0</v>
      </c>
      <c r="Q26" s="3"/>
      <c r="R26" s="19">
        <f t="shared" si="8"/>
        <v>0</v>
      </c>
      <c r="S26" s="3"/>
      <c r="T26" s="3"/>
      <c r="U26" s="3"/>
      <c r="V26" s="19">
        <f t="shared" si="9"/>
        <v>0</v>
      </c>
      <c r="W26" s="3"/>
      <c r="X26" s="3">
        <f t="shared" si="10"/>
        <v>0</v>
      </c>
      <c r="Y26" s="3"/>
      <c r="Z26" s="19">
        <f t="shared" si="11"/>
        <v>0</v>
      </c>
    </row>
    <row r="27" spans="1:26" s="24" customFormat="1" hidden="1" outlineLevel="1" x14ac:dyDescent="0.3">
      <c r="A27" s="44"/>
      <c r="B27" s="11" t="str">
        <f>CONCATENATE("          ", "5502", " - ", "FREIGHT-IN-USED TEXT")</f>
        <v xml:space="preserve">          5502 - FREIGHT-IN-USED TEXT</v>
      </c>
      <c r="C27" s="11"/>
      <c r="D27" s="3">
        <v>0</v>
      </c>
      <c r="E27" s="3"/>
      <c r="F27" s="19">
        <f t="shared" si="4"/>
        <v>0</v>
      </c>
      <c r="G27" s="3"/>
      <c r="H27" s="3"/>
      <c r="I27" s="3"/>
      <c r="J27" s="19">
        <f t="shared" si="5"/>
        <v>0</v>
      </c>
      <c r="K27" s="3"/>
      <c r="L27" s="3">
        <f t="shared" si="6"/>
        <v>0</v>
      </c>
      <c r="M27" s="3"/>
      <c r="N27" s="19">
        <f t="shared" si="7"/>
        <v>0</v>
      </c>
      <c r="O27" s="11"/>
      <c r="P27" s="3">
        <v>0</v>
      </c>
      <c r="Q27" s="3"/>
      <c r="R27" s="19">
        <f t="shared" si="8"/>
        <v>0</v>
      </c>
      <c r="S27" s="3"/>
      <c r="T27" s="3"/>
      <c r="U27" s="3"/>
      <c r="V27" s="19">
        <f t="shared" si="9"/>
        <v>0</v>
      </c>
      <c r="W27" s="3"/>
      <c r="X27" s="3">
        <f t="shared" si="10"/>
        <v>0</v>
      </c>
      <c r="Y27" s="3"/>
      <c r="Z27" s="19">
        <f t="shared" si="11"/>
        <v>0</v>
      </c>
    </row>
    <row r="28" spans="1:26" s="24" customFormat="1" hidden="1" outlineLevel="1" x14ac:dyDescent="0.3">
      <c r="A28" s="44"/>
      <c r="B28" s="11" t="str">
        <f>CONCATENATE("          ", "5518", " - ", "FREIGHT-IN-STUDY GUIDES")</f>
        <v xml:space="preserve">          5518 - FREIGHT-IN-STUDY GUIDES</v>
      </c>
      <c r="C28" s="11"/>
      <c r="D28" s="3">
        <v>0</v>
      </c>
      <c r="E28" s="3"/>
      <c r="F28" s="19">
        <f t="shared" si="4"/>
        <v>0</v>
      </c>
      <c r="G28" s="3"/>
      <c r="H28" s="3"/>
      <c r="I28" s="3"/>
      <c r="J28" s="19">
        <f t="shared" si="5"/>
        <v>0</v>
      </c>
      <c r="K28" s="3"/>
      <c r="L28" s="3">
        <f t="shared" si="6"/>
        <v>0</v>
      </c>
      <c r="M28" s="3"/>
      <c r="N28" s="19">
        <f t="shared" si="7"/>
        <v>0</v>
      </c>
      <c r="O28" s="11"/>
      <c r="P28" s="3">
        <v>0</v>
      </c>
      <c r="Q28" s="3"/>
      <c r="R28" s="19">
        <f t="shared" si="8"/>
        <v>0</v>
      </c>
      <c r="S28" s="3"/>
      <c r="T28" s="3"/>
      <c r="U28" s="3"/>
      <c r="V28" s="19">
        <f t="shared" si="9"/>
        <v>0</v>
      </c>
      <c r="W28" s="3"/>
      <c r="X28" s="3">
        <f t="shared" si="10"/>
        <v>0</v>
      </c>
      <c r="Y28" s="3"/>
      <c r="Z28" s="19">
        <f t="shared" si="11"/>
        <v>0</v>
      </c>
    </row>
    <row r="29" spans="1:26" x14ac:dyDescent="0.3">
      <c r="A29" s="9"/>
      <c r="B29" s="10"/>
      <c r="C29" s="10"/>
      <c r="D29" s="2"/>
      <c r="E29" s="2"/>
      <c r="F29" s="6"/>
      <c r="G29" s="2"/>
      <c r="H29" s="2"/>
      <c r="I29" s="2"/>
      <c r="J29" s="6"/>
      <c r="K29" s="2"/>
      <c r="L29" s="2"/>
      <c r="M29" s="2"/>
      <c r="N29" s="6"/>
      <c r="O29" s="10"/>
      <c r="P29" s="2"/>
      <c r="Q29" s="2"/>
      <c r="R29" s="6"/>
      <c r="S29" s="2"/>
      <c r="T29" s="2"/>
      <c r="U29" s="2"/>
      <c r="V29" s="6"/>
      <c r="W29" s="2"/>
      <c r="X29" s="2"/>
      <c r="Y29" s="2"/>
      <c r="Z29" s="6"/>
    </row>
    <row r="30" spans="1:26" s="23" customFormat="1" x14ac:dyDescent="0.3">
      <c r="A30" s="10"/>
      <c r="B30" s="26" t="s">
        <v>108</v>
      </c>
      <c r="C30" s="26"/>
      <c r="D30" s="21">
        <f>D12-D18</f>
        <v>13509.879999999961</v>
      </c>
      <c r="E30" s="13"/>
      <c r="F30" s="22">
        <f>IF(D$12=0,0,D30/D$12)</f>
        <v>0.24038248021408573</v>
      </c>
      <c r="G30" s="13"/>
      <c r="H30" s="21">
        <f>H12-H18</f>
        <v>19795</v>
      </c>
      <c r="I30" s="13"/>
      <c r="J30" s="22">
        <f>IF(H$12=0,0,H30/H$12)</f>
        <v>0.27750129673503149</v>
      </c>
      <c r="K30" s="16"/>
      <c r="L30" s="21">
        <f>+D30-H30</f>
        <v>-6285.120000000039</v>
      </c>
      <c r="M30" s="16"/>
      <c r="N30" s="22">
        <f>IF(H30=0,0,L30/H30)</f>
        <v>-0.31751048244506386</v>
      </c>
      <c r="O30" s="25"/>
      <c r="P30" s="21">
        <f>P12-P18</f>
        <v>13509.879999999961</v>
      </c>
      <c r="Q30" s="13"/>
      <c r="R30" s="22">
        <f>IF(P$12=0,0,P30/P$12)</f>
        <v>0.24038248021408573</v>
      </c>
      <c r="S30" s="13"/>
      <c r="T30" s="21">
        <f>T12-T18</f>
        <v>19795</v>
      </c>
      <c r="U30" s="13"/>
      <c r="V30" s="22">
        <f>IF(T$12=0,0,T30/T$12)</f>
        <v>0.27750129673503149</v>
      </c>
      <c r="W30" s="16"/>
      <c r="X30" s="21">
        <f>+P30-T30</f>
        <v>-6285.120000000039</v>
      </c>
      <c r="Y30" s="16"/>
      <c r="Z30" s="22">
        <f>IF(T30=0,0,X30/T30)</f>
        <v>-0.31751048244506386</v>
      </c>
    </row>
    <row r="31" spans="1:26" x14ac:dyDescent="0.3">
      <c r="A31" s="9"/>
      <c r="B31" s="10"/>
      <c r="C31" s="9"/>
      <c r="D31" s="1"/>
      <c r="E31" s="1"/>
      <c r="F31" s="5"/>
      <c r="G31" s="1"/>
      <c r="H31" s="1"/>
      <c r="I31" s="1"/>
      <c r="J31" s="5"/>
      <c r="K31" s="1"/>
      <c r="L31" s="1"/>
      <c r="M31" s="1"/>
      <c r="N31" s="5"/>
      <c r="O31" s="36"/>
      <c r="P31" s="1"/>
      <c r="Q31" s="1"/>
      <c r="R31" s="5"/>
      <c r="S31" s="1"/>
      <c r="T31" s="1"/>
      <c r="U31" s="1"/>
      <c r="V31" s="5"/>
      <c r="W31" s="1"/>
      <c r="X31" s="1"/>
      <c r="Y31" s="1"/>
      <c r="Z31" s="5"/>
    </row>
    <row r="32" spans="1:26" s="23" customFormat="1" x14ac:dyDescent="0.3">
      <c r="A32" s="10"/>
      <c r="B32" s="25" t="s">
        <v>295</v>
      </c>
      <c r="C32" s="10"/>
      <c r="D32" s="20">
        <f>SUM(OSRRefD22x_0)</f>
        <v>49140.74</v>
      </c>
      <c r="E32" s="20"/>
      <c r="F32" s="32">
        <f t="shared" ref="F32:F43" si="12">IF(D$12=0,0,D32/D$12)</f>
        <v>0.8743654984911462</v>
      </c>
      <c r="G32" s="20"/>
      <c r="H32" s="20">
        <f>SUM(OSRRefH22x_0)</f>
        <v>54704.413568737196</v>
      </c>
      <c r="I32" s="20"/>
      <c r="J32" s="32">
        <f t="shared" ref="J32:J43" si="13">IF(H$12=0,0,H32/H$12)</f>
        <v>0.76688788595372681</v>
      </c>
      <c r="K32" s="4"/>
      <c r="L32" s="20">
        <f t="shared" ref="L32:L43" si="14">+D32-H32</f>
        <v>-5563.6735687371984</v>
      </c>
      <c r="M32" s="4"/>
      <c r="N32" s="32">
        <f t="shared" ref="N32:N43" si="15">IF(H32=0,0,L32/H32)</f>
        <v>-0.10170429049104658</v>
      </c>
      <c r="O32" s="10"/>
      <c r="P32" s="20">
        <f>SUM(OSRRefP22x_0)</f>
        <v>49140.74</v>
      </c>
      <c r="Q32" s="20"/>
      <c r="R32" s="32">
        <f t="shared" ref="R32:R43" si="16">IF(P$12=0,0,P32/P$12)</f>
        <v>0.8743654984911462</v>
      </c>
      <c r="S32" s="20"/>
      <c r="T32" s="20">
        <f>SUM(OSRRefT22x_0)</f>
        <v>54704.413568737196</v>
      </c>
      <c r="U32" s="20"/>
      <c r="V32" s="32">
        <f t="shared" ref="V32:V43" si="17">IF(T$12=0,0,T32/T$12)</f>
        <v>0.76688788595372681</v>
      </c>
      <c r="W32" s="4"/>
      <c r="X32" s="20">
        <f t="shared" ref="X32:X43" si="18">+P32-T32</f>
        <v>-5563.6735687371984</v>
      </c>
      <c r="Y32" s="4"/>
      <c r="Z32" s="32">
        <f t="shared" ref="Z32:Z43" si="19">IF(T32=0,0,X32/T32)</f>
        <v>-0.10170429049104658</v>
      </c>
    </row>
    <row r="33" spans="1:26" s="27" customFormat="1" outlineLevel="1" collapsed="1" x14ac:dyDescent="0.3">
      <c r="A33" s="28"/>
      <c r="B33" s="14" t="str">
        <f>CONCATENATE("     ","*Benefits                                         ")</f>
        <v xml:space="preserve">     *Benefits                                         </v>
      </c>
      <c r="C33" s="14"/>
      <c r="D33" s="1">
        <f>SUM(OSRRefD22_0x_0)</f>
        <v>11803.07</v>
      </c>
      <c r="E33" s="1"/>
      <c r="F33" s="5">
        <f t="shared" si="12"/>
        <v>0.21001306012640208</v>
      </c>
      <c r="G33" s="1"/>
      <c r="H33" s="1">
        <f>SUM(OSRRefH22_0x_0)</f>
        <v>15762.559137169899</v>
      </c>
      <c r="I33" s="1"/>
      <c r="J33" s="5">
        <f t="shared" si="13"/>
        <v>0.22097148777101622</v>
      </c>
      <c r="K33" s="1"/>
      <c r="L33" s="1">
        <f t="shared" si="14"/>
        <v>-3959.4891371698995</v>
      </c>
      <c r="M33" s="1"/>
      <c r="N33" s="5">
        <f t="shared" si="15"/>
        <v>-0.25119583074762114</v>
      </c>
      <c r="O33" s="14"/>
      <c r="P33" s="1">
        <f>SUM(OSRRefP22_0x_0)</f>
        <v>11803.07</v>
      </c>
      <c r="Q33" s="1"/>
      <c r="R33" s="5">
        <f t="shared" si="16"/>
        <v>0.21001306012640208</v>
      </c>
      <c r="S33" s="1"/>
      <c r="T33" s="1">
        <f>SUM(OSRRefT22_0x_0)</f>
        <v>15762.559137169899</v>
      </c>
      <c r="U33" s="1"/>
      <c r="V33" s="5">
        <f t="shared" si="17"/>
        <v>0.22097148777101622</v>
      </c>
      <c r="W33" s="1"/>
      <c r="X33" s="1">
        <f t="shared" si="18"/>
        <v>-3959.4891371698995</v>
      </c>
      <c r="Y33" s="1"/>
      <c r="Z33" s="5">
        <f t="shared" si="19"/>
        <v>-0.25119583074762114</v>
      </c>
    </row>
    <row r="34" spans="1:26" s="24" customFormat="1" hidden="1" outlineLevel="2" x14ac:dyDescent="0.3">
      <c r="A34" s="29"/>
      <c r="B34" s="11" t="str">
        <f>CONCATENATE("          ", "6111", " - ", "F.I.C.A.")</f>
        <v xml:space="preserve">          6111 - F.I.C.A.</v>
      </c>
      <c r="C34" s="11"/>
      <c r="D34" s="8">
        <v>2103.61</v>
      </c>
      <c r="E34" s="3"/>
      <c r="F34" s="7">
        <f t="shared" si="12"/>
        <v>3.7429717303421969E-2</v>
      </c>
      <c r="G34" s="3"/>
      <c r="H34" s="8">
        <v>2584.0653474747101</v>
      </c>
      <c r="I34" s="3"/>
      <c r="J34" s="7">
        <f t="shared" si="13"/>
        <v>3.6225384429011957E-2</v>
      </c>
      <c r="K34" s="3"/>
      <c r="L34" s="8">
        <f t="shared" si="14"/>
        <v>-480.45534747470992</v>
      </c>
      <c r="M34" s="3"/>
      <c r="N34" s="7">
        <f t="shared" si="15"/>
        <v>-0.18593002996005389</v>
      </c>
      <c r="O34" s="11"/>
      <c r="P34" s="8">
        <v>2103.61</v>
      </c>
      <c r="Q34" s="3"/>
      <c r="R34" s="7">
        <f t="shared" si="16"/>
        <v>3.7429717303421969E-2</v>
      </c>
      <c r="S34" s="3"/>
      <c r="T34" s="8">
        <v>2584.0653474747101</v>
      </c>
      <c r="U34" s="3"/>
      <c r="V34" s="7">
        <f t="shared" si="17"/>
        <v>3.6225384429011957E-2</v>
      </c>
      <c r="W34" s="3"/>
      <c r="X34" s="8">
        <f t="shared" si="18"/>
        <v>-480.45534747470992</v>
      </c>
      <c r="Y34" s="3"/>
      <c r="Z34" s="7">
        <f t="shared" si="19"/>
        <v>-0.18593002996005389</v>
      </c>
    </row>
    <row r="35" spans="1:26" s="24" customFormat="1" hidden="1" outlineLevel="2" x14ac:dyDescent="0.3">
      <c r="A35" s="29"/>
      <c r="B35" s="11" t="str">
        <f>CONCATENATE("          ", "6112", " - ", "COMPENSATION INSURANCE")</f>
        <v xml:space="preserve">          6112 - COMPENSATION INSURANCE</v>
      </c>
      <c r="C35" s="11"/>
      <c r="D35" s="8">
        <v>382.51</v>
      </c>
      <c r="E35" s="3"/>
      <c r="F35" s="7">
        <f t="shared" si="12"/>
        <v>6.8060339919148206E-3</v>
      </c>
      <c r="G35" s="3"/>
      <c r="H35" s="8">
        <v>589.29609434999998</v>
      </c>
      <c r="I35" s="3"/>
      <c r="J35" s="7">
        <f t="shared" si="13"/>
        <v>8.2611988049009575E-3</v>
      </c>
      <c r="K35" s="3"/>
      <c r="L35" s="8">
        <f t="shared" si="14"/>
        <v>-206.78609434999998</v>
      </c>
      <c r="M35" s="3"/>
      <c r="N35" s="7">
        <f t="shared" si="15"/>
        <v>-0.35090355482176971</v>
      </c>
      <c r="O35" s="11"/>
      <c r="P35" s="8">
        <v>382.51</v>
      </c>
      <c r="Q35" s="3"/>
      <c r="R35" s="7">
        <f t="shared" si="16"/>
        <v>6.8060339919148206E-3</v>
      </c>
      <c r="S35" s="3"/>
      <c r="T35" s="8">
        <v>589.29609434999998</v>
      </c>
      <c r="U35" s="3"/>
      <c r="V35" s="7">
        <f t="shared" si="17"/>
        <v>8.2611988049009575E-3</v>
      </c>
      <c r="W35" s="3"/>
      <c r="X35" s="8">
        <f t="shared" si="18"/>
        <v>-206.78609434999998</v>
      </c>
      <c r="Y35" s="3"/>
      <c r="Z35" s="7">
        <f t="shared" si="19"/>
        <v>-0.35090355482176971</v>
      </c>
    </row>
    <row r="36" spans="1:26" s="24" customFormat="1" hidden="1" outlineLevel="2" x14ac:dyDescent="0.3">
      <c r="A36" s="29"/>
      <c r="B36" s="11" t="str">
        <f>CONCATENATE("          ", "6113", " - ", "GROUP INSURANCE")</f>
        <v xml:space="preserve">          6113 - GROUP INSURANCE</v>
      </c>
      <c r="C36" s="11"/>
      <c r="D36" s="8">
        <v>4593.8599999999997</v>
      </c>
      <c r="E36" s="3"/>
      <c r="F36" s="7">
        <f t="shared" si="12"/>
        <v>8.1738954051130214E-2</v>
      </c>
      <c r="G36" s="3"/>
      <c r="H36" s="8">
        <v>5620</v>
      </c>
      <c r="I36" s="3"/>
      <c r="J36" s="7">
        <f t="shared" si="13"/>
        <v>7.8785414885116284E-2</v>
      </c>
      <c r="K36" s="3"/>
      <c r="L36" s="8">
        <f t="shared" si="14"/>
        <v>-1026.1400000000003</v>
      </c>
      <c r="M36" s="3"/>
      <c r="N36" s="7">
        <f t="shared" si="15"/>
        <v>-0.18258718861209972</v>
      </c>
      <c r="O36" s="11"/>
      <c r="P36" s="8">
        <v>4593.8599999999997</v>
      </c>
      <c r="Q36" s="3"/>
      <c r="R36" s="7">
        <f t="shared" si="16"/>
        <v>8.1738954051130214E-2</v>
      </c>
      <c r="S36" s="3"/>
      <c r="T36" s="8">
        <v>5620</v>
      </c>
      <c r="U36" s="3"/>
      <c r="V36" s="7">
        <f t="shared" si="17"/>
        <v>7.8785414885116284E-2</v>
      </c>
      <c r="W36" s="3"/>
      <c r="X36" s="8">
        <f t="shared" si="18"/>
        <v>-1026.1400000000003</v>
      </c>
      <c r="Y36" s="3"/>
      <c r="Z36" s="7">
        <f t="shared" si="19"/>
        <v>-0.18258718861209972</v>
      </c>
    </row>
    <row r="37" spans="1:26" s="24" customFormat="1" hidden="1" outlineLevel="2" x14ac:dyDescent="0.3">
      <c r="A37" s="29"/>
      <c r="B37" s="11" t="str">
        <f>CONCATENATE("          ", "6114", " - ", "STATE UNEMPLOYMENT INSURANCE")</f>
        <v xml:space="preserve">          6114 - STATE UNEMPLOYMENT INSURANCE</v>
      </c>
      <c r="C37" s="11"/>
      <c r="D37" s="8">
        <v>74.709999999999994</v>
      </c>
      <c r="E37" s="3"/>
      <c r="F37" s="7">
        <f t="shared" si="12"/>
        <v>1.3293215851506006E-3</v>
      </c>
      <c r="G37" s="3"/>
      <c r="H37" s="8">
        <v>79.328320393269195</v>
      </c>
      <c r="I37" s="3"/>
      <c r="J37" s="7">
        <f t="shared" si="13"/>
        <v>1.1120844545058977E-3</v>
      </c>
      <c r="K37" s="3"/>
      <c r="L37" s="8">
        <f t="shared" si="14"/>
        <v>-4.618320393269201</v>
      </c>
      <c r="M37" s="3"/>
      <c r="N37" s="7">
        <f t="shared" si="15"/>
        <v>-5.8217801289299119E-2</v>
      </c>
      <c r="O37" s="11"/>
      <c r="P37" s="8">
        <v>74.709999999999994</v>
      </c>
      <c r="Q37" s="3"/>
      <c r="R37" s="7">
        <f t="shared" si="16"/>
        <v>1.3293215851506006E-3</v>
      </c>
      <c r="S37" s="3"/>
      <c r="T37" s="8">
        <v>79.328320393269195</v>
      </c>
      <c r="U37" s="3"/>
      <c r="V37" s="7">
        <f t="shared" si="17"/>
        <v>1.1120844545058977E-3</v>
      </c>
      <c r="W37" s="3"/>
      <c r="X37" s="8">
        <f t="shared" si="18"/>
        <v>-4.618320393269201</v>
      </c>
      <c r="Y37" s="3"/>
      <c r="Z37" s="7">
        <f t="shared" si="19"/>
        <v>-5.8217801289299119E-2</v>
      </c>
    </row>
    <row r="38" spans="1:26" s="24" customFormat="1" hidden="1" outlineLevel="2" x14ac:dyDescent="0.3">
      <c r="A38" s="29"/>
      <c r="B38" s="11" t="str">
        <f>CONCATENATE("          ", "6115", " - ", "P.E.R.S.")</f>
        <v xml:space="preserve">          6115 - P.E.R.S.</v>
      </c>
      <c r="C38" s="11"/>
      <c r="D38" s="8">
        <v>1607.1</v>
      </c>
      <c r="E38" s="3"/>
      <c r="F38" s="7">
        <f t="shared" si="12"/>
        <v>2.8595271309001878E-2</v>
      </c>
      <c r="G38" s="3"/>
      <c r="H38" s="8">
        <v>2080.8534770576898</v>
      </c>
      <c r="I38" s="3"/>
      <c r="J38" s="7">
        <f t="shared" si="13"/>
        <v>2.9170979449310835E-2</v>
      </c>
      <c r="K38" s="3"/>
      <c r="L38" s="8">
        <f t="shared" si="14"/>
        <v>-473.75347705768991</v>
      </c>
      <c r="M38" s="3"/>
      <c r="N38" s="7">
        <f t="shared" si="15"/>
        <v>-0.22767267483320044</v>
      </c>
      <c r="O38" s="11"/>
      <c r="P38" s="8">
        <v>1607.1</v>
      </c>
      <c r="Q38" s="3"/>
      <c r="R38" s="7">
        <f t="shared" si="16"/>
        <v>2.8595271309001878E-2</v>
      </c>
      <c r="S38" s="3"/>
      <c r="T38" s="8">
        <v>2080.8534770576898</v>
      </c>
      <c r="U38" s="3"/>
      <c r="V38" s="7">
        <f t="shared" si="17"/>
        <v>2.9170979449310835E-2</v>
      </c>
      <c r="W38" s="3"/>
      <c r="X38" s="8">
        <f t="shared" si="18"/>
        <v>-473.75347705768991</v>
      </c>
      <c r="Y38" s="3"/>
      <c r="Z38" s="7">
        <f t="shared" si="19"/>
        <v>-0.22767267483320044</v>
      </c>
    </row>
    <row r="39" spans="1:26" s="24" customFormat="1" hidden="1" outlineLevel="2" x14ac:dyDescent="0.3">
      <c r="A39" s="29"/>
      <c r="B39" s="11" t="str">
        <f>CONCATENATE("          ", "6116", " - ", "EDUCATIONAL BENEFITS")</f>
        <v xml:space="preserve">          6116 - EDUCATIONAL BENEFITS</v>
      </c>
      <c r="C39" s="11"/>
      <c r="D39" s="8"/>
      <c r="E39" s="3"/>
      <c r="F39" s="7">
        <f t="shared" si="12"/>
        <v>0</v>
      </c>
      <c r="G39" s="3"/>
      <c r="H39" s="8">
        <v>0</v>
      </c>
      <c r="I39" s="3"/>
      <c r="J39" s="7">
        <f t="shared" si="13"/>
        <v>0</v>
      </c>
      <c r="K39" s="3"/>
      <c r="L39" s="8">
        <f t="shared" si="14"/>
        <v>0</v>
      </c>
      <c r="M39" s="3"/>
      <c r="N39" s="7">
        <f t="shared" si="15"/>
        <v>0</v>
      </c>
      <c r="O39" s="11"/>
      <c r="P39" s="8"/>
      <c r="Q39" s="3"/>
      <c r="R39" s="7">
        <f t="shared" si="16"/>
        <v>0</v>
      </c>
      <c r="S39" s="3"/>
      <c r="T39" s="8">
        <v>0</v>
      </c>
      <c r="U39" s="3"/>
      <c r="V39" s="7">
        <f t="shared" si="17"/>
        <v>0</v>
      </c>
      <c r="W39" s="3"/>
      <c r="X39" s="8">
        <f t="shared" si="18"/>
        <v>0</v>
      </c>
      <c r="Y39" s="3"/>
      <c r="Z39" s="7">
        <f t="shared" si="19"/>
        <v>0</v>
      </c>
    </row>
    <row r="40" spans="1:26" s="24" customFormat="1" hidden="1" outlineLevel="2" x14ac:dyDescent="0.3">
      <c r="A40" s="29"/>
      <c r="B40" s="11" t="str">
        <f>CONCATENATE("          ", "6117", " - ", "RETIREMENT STAFF HOURLY")</f>
        <v xml:space="preserve">          6117 - RETIREMENT STAFF HOURLY</v>
      </c>
      <c r="C40" s="11"/>
      <c r="D40" s="8">
        <v>253.61</v>
      </c>
      <c r="E40" s="3"/>
      <c r="F40" s="7">
        <f t="shared" si="12"/>
        <v>4.5125049820645682E-3</v>
      </c>
      <c r="G40" s="3"/>
      <c r="H40" s="8"/>
      <c r="I40" s="3"/>
      <c r="J40" s="7">
        <f t="shared" si="13"/>
        <v>0</v>
      </c>
      <c r="K40" s="3"/>
      <c r="L40" s="8">
        <f t="shared" si="14"/>
        <v>253.61</v>
      </c>
      <c r="M40" s="3"/>
      <c r="N40" s="7">
        <f t="shared" si="15"/>
        <v>0</v>
      </c>
      <c r="O40" s="11"/>
      <c r="P40" s="8">
        <v>253.61</v>
      </c>
      <c r="Q40" s="3"/>
      <c r="R40" s="7">
        <f t="shared" si="16"/>
        <v>4.5125049820645682E-3</v>
      </c>
      <c r="S40" s="3"/>
      <c r="T40" s="8"/>
      <c r="U40" s="3"/>
      <c r="V40" s="7">
        <f t="shared" si="17"/>
        <v>0</v>
      </c>
      <c r="W40" s="3"/>
      <c r="X40" s="8">
        <f t="shared" si="18"/>
        <v>253.61</v>
      </c>
      <c r="Y40" s="3"/>
      <c r="Z40" s="7">
        <f t="shared" si="19"/>
        <v>0</v>
      </c>
    </row>
    <row r="41" spans="1:26" s="24" customFormat="1" hidden="1" outlineLevel="2" x14ac:dyDescent="0.3">
      <c r="A41" s="29"/>
      <c r="B41" s="11" t="str">
        <f>CONCATENATE("          ", "6118", " - ", "VACATION")</f>
        <v xml:space="preserve">          6118 - VACATION</v>
      </c>
      <c r="C41" s="11"/>
      <c r="D41" s="8">
        <v>1357.34</v>
      </c>
      <c r="E41" s="3"/>
      <c r="F41" s="7">
        <f t="shared" si="12"/>
        <v>2.4151269714741217E-2</v>
      </c>
      <c r="G41" s="3"/>
      <c r="H41" s="8">
        <v>2111.4919273750002</v>
      </c>
      <c r="I41" s="3"/>
      <c r="J41" s="7">
        <f t="shared" si="13"/>
        <v>2.9600492442137583E-2</v>
      </c>
      <c r="K41" s="3"/>
      <c r="L41" s="8">
        <f t="shared" si="14"/>
        <v>-754.15192737500024</v>
      </c>
      <c r="M41" s="3"/>
      <c r="N41" s="7">
        <f t="shared" si="15"/>
        <v>-0.35716543245919935</v>
      </c>
      <c r="O41" s="11"/>
      <c r="P41" s="8">
        <v>1357.34</v>
      </c>
      <c r="Q41" s="3"/>
      <c r="R41" s="7">
        <f t="shared" si="16"/>
        <v>2.4151269714741217E-2</v>
      </c>
      <c r="S41" s="3"/>
      <c r="T41" s="8">
        <v>2111.4919273750002</v>
      </c>
      <c r="U41" s="3"/>
      <c r="V41" s="7">
        <f t="shared" si="17"/>
        <v>2.9600492442137583E-2</v>
      </c>
      <c r="W41" s="3"/>
      <c r="X41" s="8">
        <f t="shared" si="18"/>
        <v>-754.15192737500024</v>
      </c>
      <c r="Y41" s="3"/>
      <c r="Z41" s="7">
        <f t="shared" si="19"/>
        <v>-0.35716543245919935</v>
      </c>
    </row>
    <row r="42" spans="1:26" s="24" customFormat="1" hidden="1" outlineLevel="2" x14ac:dyDescent="0.3">
      <c r="A42" s="29"/>
      <c r="B42" s="11" t="str">
        <f>CONCATENATE("          ", "6119", " - ", "SICK LEAVE")</f>
        <v xml:space="preserve">          6119 - SICK LEAVE</v>
      </c>
      <c r="C42" s="11"/>
      <c r="D42" s="8">
        <v>1071.9000000000001</v>
      </c>
      <c r="E42" s="3"/>
      <c r="F42" s="7">
        <f t="shared" si="12"/>
        <v>1.9072410749871892E-2</v>
      </c>
      <c r="G42" s="3"/>
      <c r="H42" s="8">
        <v>1647.52397051923</v>
      </c>
      <c r="I42" s="3"/>
      <c r="J42" s="7">
        <f t="shared" si="13"/>
        <v>2.3096238354187122E-2</v>
      </c>
      <c r="K42" s="3"/>
      <c r="L42" s="8">
        <f t="shared" si="14"/>
        <v>-575.62397051922994</v>
      </c>
      <c r="M42" s="3"/>
      <c r="N42" s="7">
        <f t="shared" si="15"/>
        <v>-0.34938731139542545</v>
      </c>
      <c r="O42" s="11"/>
      <c r="P42" s="8">
        <v>1071.9000000000001</v>
      </c>
      <c r="Q42" s="3"/>
      <c r="R42" s="7">
        <f t="shared" si="16"/>
        <v>1.9072410749871892E-2</v>
      </c>
      <c r="S42" s="3"/>
      <c r="T42" s="8">
        <v>1647.52397051923</v>
      </c>
      <c r="U42" s="3"/>
      <c r="V42" s="7">
        <f t="shared" si="17"/>
        <v>2.3096238354187122E-2</v>
      </c>
      <c r="W42" s="3"/>
      <c r="X42" s="8">
        <f t="shared" si="18"/>
        <v>-575.62397051922994</v>
      </c>
      <c r="Y42" s="3"/>
      <c r="Z42" s="7">
        <f t="shared" si="19"/>
        <v>-0.34938731139542545</v>
      </c>
    </row>
    <row r="43" spans="1:26" s="24" customFormat="1" hidden="1" outlineLevel="2" x14ac:dyDescent="0.3">
      <c r="A43" s="29"/>
      <c r="B43" s="11" t="str">
        <f>CONCATENATE("          ", "6156", " - ", "EMPLOYEE MEALS")</f>
        <v xml:space="preserve">          6156 - EMPLOYEE MEALS</v>
      </c>
      <c r="C43" s="11"/>
      <c r="D43" s="8">
        <v>358.43</v>
      </c>
      <c r="E43" s="3"/>
      <c r="F43" s="7">
        <f t="shared" si="12"/>
        <v>6.3775764391049367E-3</v>
      </c>
      <c r="G43" s="3"/>
      <c r="H43" s="8">
        <v>1050</v>
      </c>
      <c r="I43" s="3"/>
      <c r="J43" s="7">
        <f t="shared" si="13"/>
        <v>1.471969495184557E-2</v>
      </c>
      <c r="K43" s="3"/>
      <c r="L43" s="8">
        <f t="shared" si="14"/>
        <v>-691.56999999999994</v>
      </c>
      <c r="M43" s="3"/>
      <c r="N43" s="7">
        <f t="shared" si="15"/>
        <v>-0.65863809523809513</v>
      </c>
      <c r="O43" s="11"/>
      <c r="P43" s="8">
        <v>358.43</v>
      </c>
      <c r="Q43" s="3"/>
      <c r="R43" s="7">
        <f t="shared" si="16"/>
        <v>6.3775764391049367E-3</v>
      </c>
      <c r="S43" s="3"/>
      <c r="T43" s="8">
        <v>1050</v>
      </c>
      <c r="U43" s="3"/>
      <c r="V43" s="7">
        <f t="shared" si="17"/>
        <v>1.471969495184557E-2</v>
      </c>
      <c r="W43" s="3"/>
      <c r="X43" s="8">
        <f t="shared" si="18"/>
        <v>-691.56999999999994</v>
      </c>
      <c r="Y43" s="3"/>
      <c r="Z43" s="7">
        <f t="shared" si="19"/>
        <v>-0.65863809523809513</v>
      </c>
    </row>
    <row r="44" spans="1:26" s="27" customFormat="1" outlineLevel="1" collapsed="1" x14ac:dyDescent="0.3">
      <c r="A44" s="28"/>
      <c r="B44" s="14" t="str">
        <f>CONCATENATE("     ","*Payroll                                          ")</f>
        <v xml:space="preserve">     *Payroll                                          </v>
      </c>
      <c r="C44" s="14"/>
      <c r="D44" s="1">
        <f>SUM(OSRRefD22_1x_0)</f>
        <v>32421.75</v>
      </c>
      <c r="E44" s="1"/>
      <c r="F44" s="5">
        <f t="shared" ref="F44:F54" si="20">IF(D$12=0,0,D44/D$12)</f>
        <v>0.57688304247565902</v>
      </c>
      <c r="G44" s="1"/>
      <c r="H44" s="1">
        <f>SUM(OSRRefH22_1x_0)</f>
        <v>34661.854431567299</v>
      </c>
      <c r="I44" s="1"/>
      <c r="J44" s="5">
        <f t="shared" ref="J44:J54" si="21">IF(H$12=0,0,H44/H$12)</f>
        <v>0.48591611780756871</v>
      </c>
      <c r="K44" s="1"/>
      <c r="L44" s="1">
        <f t="shared" ref="L44:L54" si="22">+D44-H44</f>
        <v>-2240.1044315672989</v>
      </c>
      <c r="M44" s="1"/>
      <c r="N44" s="5">
        <f t="shared" ref="N44:N54" si="23">IF(H44=0,0,L44/H44)</f>
        <v>-6.4627368278576222E-2</v>
      </c>
      <c r="O44" s="14"/>
      <c r="P44" s="1">
        <f>SUM(OSRRefP22_1x_0)</f>
        <v>32421.75</v>
      </c>
      <c r="Q44" s="1"/>
      <c r="R44" s="5">
        <f t="shared" ref="R44:R54" si="24">IF(P$12=0,0,P44/P$12)</f>
        <v>0.57688304247565902</v>
      </c>
      <c r="S44" s="1"/>
      <c r="T44" s="1">
        <f>SUM(OSRRefT22_1x_0)</f>
        <v>34661.854431567299</v>
      </c>
      <c r="U44" s="1"/>
      <c r="V44" s="5">
        <f t="shared" ref="V44:V54" si="25">IF(T$12=0,0,T44/T$12)</f>
        <v>0.48591611780756871</v>
      </c>
      <c r="W44" s="1"/>
      <c r="X44" s="1">
        <f t="shared" ref="X44:X54" si="26">+P44-T44</f>
        <v>-2240.1044315672989</v>
      </c>
      <c r="Y44" s="1"/>
      <c r="Z44" s="5">
        <f t="shared" ref="Z44:Z54" si="27">IF(T44=0,0,X44/T44)</f>
        <v>-6.4627368278576222E-2</v>
      </c>
    </row>
    <row r="45" spans="1:26" s="24" customFormat="1" hidden="1" outlineLevel="2" x14ac:dyDescent="0.3">
      <c r="A45" s="29"/>
      <c r="B45" s="11" t="str">
        <f>CONCATENATE("          ", "6001", " - ", "ADMINISTRATIVE SALARIES")</f>
        <v xml:space="preserve">          6001 - ADMINISTRATIVE SALARIES</v>
      </c>
      <c r="C45" s="11"/>
      <c r="D45" s="8"/>
      <c r="E45" s="3"/>
      <c r="F45" s="7">
        <f t="shared" si="20"/>
        <v>0</v>
      </c>
      <c r="G45" s="3"/>
      <c r="H45" s="8">
        <v>0</v>
      </c>
      <c r="I45" s="3"/>
      <c r="J45" s="7">
        <f t="shared" si="21"/>
        <v>0</v>
      </c>
      <c r="K45" s="3"/>
      <c r="L45" s="8">
        <f t="shared" si="22"/>
        <v>0</v>
      </c>
      <c r="M45" s="3"/>
      <c r="N45" s="7">
        <f t="shared" si="23"/>
        <v>0</v>
      </c>
      <c r="O45" s="11"/>
      <c r="P45" s="8"/>
      <c r="Q45" s="3"/>
      <c r="R45" s="7">
        <f t="shared" si="24"/>
        <v>0</v>
      </c>
      <c r="S45" s="3"/>
      <c r="T45" s="8">
        <v>0</v>
      </c>
      <c r="U45" s="3"/>
      <c r="V45" s="7">
        <f t="shared" si="25"/>
        <v>0</v>
      </c>
      <c r="W45" s="3"/>
      <c r="X45" s="8">
        <f t="shared" si="26"/>
        <v>0</v>
      </c>
      <c r="Y45" s="3"/>
      <c r="Z45" s="7">
        <f t="shared" si="27"/>
        <v>0</v>
      </c>
    </row>
    <row r="46" spans="1:26" s="24" customFormat="1" hidden="1" outlineLevel="2" x14ac:dyDescent="0.3">
      <c r="A46" s="29"/>
      <c r="B46" s="11" t="str">
        <f>CONCATENATE("          ", "6002", " - ", "STAFF SALARIES")</f>
        <v xml:space="preserve">          6002 - STAFF SALARIES</v>
      </c>
      <c r="C46" s="11"/>
      <c r="D46" s="8">
        <v>19061.23</v>
      </c>
      <c r="E46" s="3"/>
      <c r="F46" s="7">
        <f t="shared" si="20"/>
        <v>0.33915813784660936</v>
      </c>
      <c r="G46" s="3"/>
      <c r="H46" s="8">
        <v>21617.1259715673</v>
      </c>
      <c r="I46" s="3"/>
      <c r="J46" s="7">
        <f t="shared" si="21"/>
        <v>0.30304523813056089</v>
      </c>
      <c r="K46" s="3"/>
      <c r="L46" s="8">
        <f t="shared" si="22"/>
        <v>-2555.8959715673009</v>
      </c>
      <c r="M46" s="3"/>
      <c r="N46" s="7">
        <f t="shared" si="23"/>
        <v>-0.11823477250995505</v>
      </c>
      <c r="O46" s="11"/>
      <c r="P46" s="8">
        <v>19061.23</v>
      </c>
      <c r="Q46" s="3"/>
      <c r="R46" s="7">
        <f t="shared" si="24"/>
        <v>0.33915813784660936</v>
      </c>
      <c r="S46" s="3"/>
      <c r="T46" s="8">
        <v>21617.1259715673</v>
      </c>
      <c r="U46" s="3"/>
      <c r="V46" s="7">
        <f t="shared" si="25"/>
        <v>0.30304523813056089</v>
      </c>
      <c r="W46" s="3"/>
      <c r="X46" s="8">
        <f t="shared" si="26"/>
        <v>-2555.8959715673009</v>
      </c>
      <c r="Y46" s="3"/>
      <c r="Z46" s="7">
        <f t="shared" si="27"/>
        <v>-0.11823477250995505</v>
      </c>
    </row>
    <row r="47" spans="1:26" s="24" customFormat="1" hidden="1" outlineLevel="2" x14ac:dyDescent="0.3">
      <c r="A47" s="29"/>
      <c r="B47" s="11" t="str">
        <f>CONCATENATE("          ", "6003", " - ", "STAFF HOURLY-9 MONTH")</f>
        <v xml:space="preserve">          6003 - STAFF HOURLY-9 MONTH</v>
      </c>
      <c r="C47" s="11"/>
      <c r="D47" s="8"/>
      <c r="E47" s="3"/>
      <c r="F47" s="7">
        <f t="shared" si="20"/>
        <v>0</v>
      </c>
      <c r="G47" s="3"/>
      <c r="H47" s="8">
        <v>0</v>
      </c>
      <c r="I47" s="3"/>
      <c r="J47" s="7">
        <f t="shared" si="21"/>
        <v>0</v>
      </c>
      <c r="K47" s="3"/>
      <c r="L47" s="8">
        <f t="shared" si="22"/>
        <v>0</v>
      </c>
      <c r="M47" s="3"/>
      <c r="N47" s="7">
        <f t="shared" si="23"/>
        <v>0</v>
      </c>
      <c r="O47" s="11"/>
      <c r="P47" s="8"/>
      <c r="Q47" s="3"/>
      <c r="R47" s="7">
        <f t="shared" si="24"/>
        <v>0</v>
      </c>
      <c r="S47" s="3"/>
      <c r="T47" s="8">
        <v>0</v>
      </c>
      <c r="U47" s="3"/>
      <c r="V47" s="7">
        <f t="shared" si="25"/>
        <v>0</v>
      </c>
      <c r="W47" s="3"/>
      <c r="X47" s="8">
        <f t="shared" si="26"/>
        <v>0</v>
      </c>
      <c r="Y47" s="3"/>
      <c r="Z47" s="7">
        <f t="shared" si="27"/>
        <v>0</v>
      </c>
    </row>
    <row r="48" spans="1:26" s="24" customFormat="1" hidden="1" outlineLevel="2" x14ac:dyDescent="0.3">
      <c r="A48" s="29"/>
      <c r="B48" s="11" t="str">
        <f>CONCATENATE("          ", "6004", " - ", "STAFF HOURLY")</f>
        <v xml:space="preserve">          6004 - STAFF HOURLY</v>
      </c>
      <c r="C48" s="11"/>
      <c r="D48" s="8">
        <v>6184.05</v>
      </c>
      <c r="E48" s="3"/>
      <c r="F48" s="7">
        <f t="shared" si="20"/>
        <v>0.11003334424642715</v>
      </c>
      <c r="G48" s="3"/>
      <c r="H48" s="8">
        <v>7410.7284600000003</v>
      </c>
      <c r="I48" s="3"/>
      <c r="J48" s="7">
        <f t="shared" si="21"/>
        <v>0.10388920219253361</v>
      </c>
      <c r="K48" s="3"/>
      <c r="L48" s="8">
        <f t="shared" si="22"/>
        <v>-1226.6784600000001</v>
      </c>
      <c r="M48" s="3"/>
      <c r="N48" s="7">
        <f t="shared" si="23"/>
        <v>-0.16552737920719876</v>
      </c>
      <c r="O48" s="11"/>
      <c r="P48" s="8">
        <v>6184.05</v>
      </c>
      <c r="Q48" s="3"/>
      <c r="R48" s="7">
        <f t="shared" si="24"/>
        <v>0.11003334424642715</v>
      </c>
      <c r="S48" s="3"/>
      <c r="T48" s="8">
        <v>7410.7284600000003</v>
      </c>
      <c r="U48" s="3"/>
      <c r="V48" s="7">
        <f t="shared" si="25"/>
        <v>0.10388920219253361</v>
      </c>
      <c r="W48" s="3"/>
      <c r="X48" s="8">
        <f t="shared" si="26"/>
        <v>-1226.6784600000001</v>
      </c>
      <c r="Y48" s="3"/>
      <c r="Z48" s="7">
        <f t="shared" si="27"/>
        <v>-0.16552737920719876</v>
      </c>
    </row>
    <row r="49" spans="1:26" s="24" customFormat="1" hidden="1" outlineLevel="2" x14ac:dyDescent="0.3">
      <c r="A49" s="29"/>
      <c r="B49" s="11" t="str">
        <f>CONCATENATE("          ", "6005", " - ", "TEMPORARY WAGES-HOURLY")</f>
        <v xml:space="preserve">          6005 - TEMPORARY WAGES-HOURLY</v>
      </c>
      <c r="C49" s="11"/>
      <c r="D49" s="8">
        <v>3877.79</v>
      </c>
      <c r="E49" s="3"/>
      <c r="F49" s="7">
        <f t="shared" si="20"/>
        <v>6.8997857712235947E-2</v>
      </c>
      <c r="G49" s="3"/>
      <c r="H49" s="8">
        <v>4010</v>
      </c>
      <c r="I49" s="3"/>
      <c r="J49" s="7">
        <f t="shared" si="21"/>
        <v>5.6215215958953083E-2</v>
      </c>
      <c r="K49" s="3"/>
      <c r="L49" s="8">
        <f t="shared" si="22"/>
        <v>-132.21000000000004</v>
      </c>
      <c r="M49" s="3"/>
      <c r="N49" s="7">
        <f t="shared" si="23"/>
        <v>-3.2970074812967591E-2</v>
      </c>
      <c r="O49" s="11"/>
      <c r="P49" s="8">
        <v>3877.79</v>
      </c>
      <c r="Q49" s="3"/>
      <c r="R49" s="7">
        <f t="shared" si="24"/>
        <v>6.8997857712235947E-2</v>
      </c>
      <c r="S49" s="3"/>
      <c r="T49" s="8">
        <v>4010</v>
      </c>
      <c r="U49" s="3"/>
      <c r="V49" s="7">
        <f t="shared" si="25"/>
        <v>5.6215215958953083E-2</v>
      </c>
      <c r="W49" s="3"/>
      <c r="X49" s="8">
        <f t="shared" si="26"/>
        <v>-132.21000000000004</v>
      </c>
      <c r="Y49" s="3"/>
      <c r="Z49" s="7">
        <f t="shared" si="27"/>
        <v>-3.2970074812967591E-2</v>
      </c>
    </row>
    <row r="50" spans="1:26" s="24" customFormat="1" hidden="1" outlineLevel="2" x14ac:dyDescent="0.3">
      <c r="A50" s="29"/>
      <c r="B50" s="11" t="str">
        <f>CONCATENATE("          ", "6006", " - ", "TEMPORARY PART TIME")</f>
        <v xml:space="preserve">          6006 - TEMPORARY PART TIME</v>
      </c>
      <c r="C50" s="11"/>
      <c r="D50" s="8"/>
      <c r="E50" s="3"/>
      <c r="F50" s="7">
        <f t="shared" si="20"/>
        <v>0</v>
      </c>
      <c r="G50" s="3"/>
      <c r="H50" s="8">
        <v>0</v>
      </c>
      <c r="I50" s="3"/>
      <c r="J50" s="7">
        <f t="shared" si="21"/>
        <v>0</v>
      </c>
      <c r="K50" s="3"/>
      <c r="L50" s="8">
        <f t="shared" si="22"/>
        <v>0</v>
      </c>
      <c r="M50" s="3"/>
      <c r="N50" s="7">
        <f t="shared" si="23"/>
        <v>0</v>
      </c>
      <c r="O50" s="11"/>
      <c r="P50" s="8"/>
      <c r="Q50" s="3"/>
      <c r="R50" s="7">
        <f t="shared" si="24"/>
        <v>0</v>
      </c>
      <c r="S50" s="3"/>
      <c r="T50" s="8">
        <v>0</v>
      </c>
      <c r="U50" s="3"/>
      <c r="V50" s="7">
        <f t="shared" si="25"/>
        <v>0</v>
      </c>
      <c r="W50" s="3"/>
      <c r="X50" s="8">
        <f t="shared" si="26"/>
        <v>0</v>
      </c>
      <c r="Y50" s="3"/>
      <c r="Z50" s="7">
        <f t="shared" si="27"/>
        <v>0</v>
      </c>
    </row>
    <row r="51" spans="1:26" s="24" customFormat="1" hidden="1" outlineLevel="2" x14ac:dyDescent="0.3">
      <c r="A51" s="29"/>
      <c r="B51" s="11" t="str">
        <f>CONCATENATE("          ", "6007", " - ", "STUDENT HOURLY")</f>
        <v xml:space="preserve">          6007 - STUDENT HOURLY</v>
      </c>
      <c r="C51" s="11"/>
      <c r="D51" s="8">
        <v>3298.68</v>
      </c>
      <c r="E51" s="3"/>
      <c r="F51" s="7">
        <f t="shared" si="20"/>
        <v>5.8693702670386608E-2</v>
      </c>
      <c r="G51" s="3"/>
      <c r="H51" s="8">
        <v>1624</v>
      </c>
      <c r="I51" s="3"/>
      <c r="J51" s="7">
        <f t="shared" si="21"/>
        <v>2.2766461525521146E-2</v>
      </c>
      <c r="K51" s="3"/>
      <c r="L51" s="8">
        <f t="shared" si="22"/>
        <v>1674.6799999999998</v>
      </c>
      <c r="M51" s="3"/>
      <c r="N51" s="7">
        <f t="shared" si="23"/>
        <v>1.031206896551724</v>
      </c>
      <c r="O51" s="11"/>
      <c r="P51" s="8">
        <v>3298.68</v>
      </c>
      <c r="Q51" s="3"/>
      <c r="R51" s="7">
        <f t="shared" si="24"/>
        <v>5.8693702670386608E-2</v>
      </c>
      <c r="S51" s="3"/>
      <c r="T51" s="8">
        <v>1624</v>
      </c>
      <c r="U51" s="3"/>
      <c r="V51" s="7">
        <f t="shared" si="25"/>
        <v>2.2766461525521146E-2</v>
      </c>
      <c r="W51" s="3"/>
      <c r="X51" s="8">
        <f t="shared" si="26"/>
        <v>1674.6799999999998</v>
      </c>
      <c r="Y51" s="3"/>
      <c r="Z51" s="7">
        <f t="shared" si="27"/>
        <v>1.031206896551724</v>
      </c>
    </row>
    <row r="52" spans="1:26" s="24" customFormat="1" hidden="1" outlineLevel="2" x14ac:dyDescent="0.3">
      <c r="A52" s="29"/>
      <c r="B52" s="11" t="str">
        <f>CONCATENATE("          ", "6008", " - ", "STUDENT HOURLY-FICA EXEMPT")</f>
        <v xml:space="preserve">          6008 - STUDENT HOURLY-FICA EXEMPT</v>
      </c>
      <c r="C52" s="11"/>
      <c r="D52" s="8"/>
      <c r="E52" s="3"/>
      <c r="F52" s="7">
        <f t="shared" si="20"/>
        <v>0</v>
      </c>
      <c r="G52" s="3"/>
      <c r="H52" s="8">
        <v>0</v>
      </c>
      <c r="I52" s="3"/>
      <c r="J52" s="7">
        <f t="shared" si="21"/>
        <v>0</v>
      </c>
      <c r="K52" s="3"/>
      <c r="L52" s="8">
        <f t="shared" si="22"/>
        <v>0</v>
      </c>
      <c r="M52" s="3"/>
      <c r="N52" s="7">
        <f t="shared" si="23"/>
        <v>0</v>
      </c>
      <c r="O52" s="11"/>
      <c r="P52" s="8"/>
      <c r="Q52" s="3"/>
      <c r="R52" s="7">
        <f t="shared" si="24"/>
        <v>0</v>
      </c>
      <c r="S52" s="3"/>
      <c r="T52" s="8">
        <v>0</v>
      </c>
      <c r="U52" s="3"/>
      <c r="V52" s="7">
        <f t="shared" si="25"/>
        <v>0</v>
      </c>
      <c r="W52" s="3"/>
      <c r="X52" s="8">
        <f t="shared" si="26"/>
        <v>0</v>
      </c>
      <c r="Y52" s="3"/>
      <c r="Z52" s="7">
        <f t="shared" si="27"/>
        <v>0</v>
      </c>
    </row>
    <row r="53" spans="1:26" s="24" customFormat="1" hidden="1" outlineLevel="2" x14ac:dyDescent="0.3">
      <c r="A53" s="29"/>
      <c r="B53" s="11" t="str">
        <f>CONCATENATE("          ", "6009", " - ", "TEMPORARY-SEASONAL")</f>
        <v xml:space="preserve">          6009 - TEMPORARY-SEASONAL</v>
      </c>
      <c r="C53" s="11"/>
      <c r="D53" s="8"/>
      <c r="E53" s="3"/>
      <c r="F53" s="7">
        <f t="shared" si="20"/>
        <v>0</v>
      </c>
      <c r="G53" s="3"/>
      <c r="H53" s="8">
        <v>0</v>
      </c>
      <c r="I53" s="3"/>
      <c r="J53" s="7">
        <f t="shared" si="21"/>
        <v>0</v>
      </c>
      <c r="K53" s="3"/>
      <c r="L53" s="8">
        <f t="shared" si="22"/>
        <v>0</v>
      </c>
      <c r="M53" s="3"/>
      <c r="N53" s="7">
        <f t="shared" si="23"/>
        <v>0</v>
      </c>
      <c r="O53" s="11"/>
      <c r="P53" s="8"/>
      <c r="Q53" s="3"/>
      <c r="R53" s="7">
        <f t="shared" si="24"/>
        <v>0</v>
      </c>
      <c r="S53" s="3"/>
      <c r="T53" s="8">
        <v>0</v>
      </c>
      <c r="U53" s="3"/>
      <c r="V53" s="7">
        <f t="shared" si="25"/>
        <v>0</v>
      </c>
      <c r="W53" s="3"/>
      <c r="X53" s="8">
        <f t="shared" si="26"/>
        <v>0</v>
      </c>
      <c r="Y53" s="3"/>
      <c r="Z53" s="7">
        <f t="shared" si="27"/>
        <v>0</v>
      </c>
    </row>
    <row r="54" spans="1:26" s="24" customFormat="1" hidden="1" outlineLevel="2" x14ac:dyDescent="0.3">
      <c r="A54" s="29"/>
      <c r="B54" s="11" t="str">
        <f>CONCATENATE("          ", "6010", " - ", "GRATUITY")</f>
        <v xml:space="preserve">          6010 - GRATUITY</v>
      </c>
      <c r="C54" s="11"/>
      <c r="D54" s="8"/>
      <c r="E54" s="3"/>
      <c r="F54" s="7">
        <f t="shared" si="20"/>
        <v>0</v>
      </c>
      <c r="G54" s="3"/>
      <c r="H54" s="8">
        <v>0</v>
      </c>
      <c r="I54" s="3"/>
      <c r="J54" s="7">
        <f t="shared" si="21"/>
        <v>0</v>
      </c>
      <c r="K54" s="3"/>
      <c r="L54" s="8">
        <f t="shared" si="22"/>
        <v>0</v>
      </c>
      <c r="M54" s="3"/>
      <c r="N54" s="7">
        <f t="shared" si="23"/>
        <v>0</v>
      </c>
      <c r="O54" s="11"/>
      <c r="P54" s="8"/>
      <c r="Q54" s="3"/>
      <c r="R54" s="7">
        <f t="shared" si="24"/>
        <v>0</v>
      </c>
      <c r="S54" s="3"/>
      <c r="T54" s="8">
        <v>0</v>
      </c>
      <c r="U54" s="3"/>
      <c r="V54" s="7">
        <f t="shared" si="25"/>
        <v>0</v>
      </c>
      <c r="W54" s="3"/>
      <c r="X54" s="8">
        <f t="shared" si="26"/>
        <v>0</v>
      </c>
      <c r="Y54" s="3"/>
      <c r="Z54" s="7">
        <f t="shared" si="27"/>
        <v>0</v>
      </c>
    </row>
    <row r="55" spans="1:26" s="27" customFormat="1" outlineLevel="1" collapsed="1" x14ac:dyDescent="0.3">
      <c r="A55" s="28"/>
      <c r="B55" s="14" t="str">
        <f>CONCATENATE("     ","Advertising/Promo                                 ")</f>
        <v xml:space="preserve">     Advertising/Promo                                 </v>
      </c>
      <c r="C55" s="14"/>
      <c r="D55" s="1">
        <f>SUM(OSRRefD22_2x_0)</f>
        <v>0</v>
      </c>
      <c r="E55" s="1"/>
      <c r="F55" s="5">
        <f t="shared" ref="F55:F70" si="28">IF(D$12=0,0,D55/D$12)</f>
        <v>0</v>
      </c>
      <c r="G55" s="1"/>
      <c r="H55" s="1">
        <f>SUM(OSRRefH22_2x_0)</f>
        <v>1400</v>
      </c>
      <c r="I55" s="1"/>
      <c r="J55" s="5">
        <f t="shared" ref="J55:J70" si="29">IF(H$12=0,0,H55/H$12)</f>
        <v>1.9626259935794092E-2</v>
      </c>
      <c r="K55" s="1"/>
      <c r="L55" s="1">
        <f t="shared" ref="L55:L70" si="30">+D55-H55</f>
        <v>-1400</v>
      </c>
      <c r="M55" s="1"/>
      <c r="N55" s="5">
        <f t="shared" ref="N55:N70" si="31">IF(H55=0,0,L55/H55)</f>
        <v>-1</v>
      </c>
      <c r="O55" s="14"/>
      <c r="P55" s="1">
        <f>SUM(OSRRefP22_2x_0)</f>
        <v>0</v>
      </c>
      <c r="Q55" s="1"/>
      <c r="R55" s="5">
        <f t="shared" ref="R55:R70" si="32">IF(P$12=0,0,P55/P$12)</f>
        <v>0</v>
      </c>
      <c r="S55" s="1"/>
      <c r="T55" s="1">
        <f>SUM(OSRRefT22_2x_0)</f>
        <v>1400</v>
      </c>
      <c r="U55" s="1"/>
      <c r="V55" s="5">
        <f t="shared" ref="V55:V70" si="33">IF(T$12=0,0,T55/T$12)</f>
        <v>1.9626259935794092E-2</v>
      </c>
      <c r="W55" s="1"/>
      <c r="X55" s="1">
        <f t="shared" ref="X55:X70" si="34">+P55-T55</f>
        <v>-1400</v>
      </c>
      <c r="Y55" s="1"/>
      <c r="Z55" s="5">
        <f t="shared" ref="Z55:Z70" si="35">IF(T55=0,0,X55/T55)</f>
        <v>-1</v>
      </c>
    </row>
    <row r="56" spans="1:26" s="24" customFormat="1" hidden="1" outlineLevel="2" x14ac:dyDescent="0.3">
      <c r="A56" s="29"/>
      <c r="B56" s="11" t="str">
        <f>CONCATENATE("          ", "6362", " - ", "ADVERTISING EXPENSE")</f>
        <v xml:space="preserve">          6362 - ADVERTISING EXPENSE</v>
      </c>
      <c r="C56" s="11"/>
      <c r="D56" s="8"/>
      <c r="E56" s="3"/>
      <c r="F56" s="7">
        <f t="shared" si="28"/>
        <v>0</v>
      </c>
      <c r="G56" s="3"/>
      <c r="H56" s="8">
        <v>1400</v>
      </c>
      <c r="I56" s="3"/>
      <c r="J56" s="7">
        <f t="shared" si="29"/>
        <v>1.9626259935794092E-2</v>
      </c>
      <c r="K56" s="3"/>
      <c r="L56" s="8">
        <f t="shared" si="30"/>
        <v>-1400</v>
      </c>
      <c r="M56" s="3"/>
      <c r="N56" s="7">
        <f t="shared" si="31"/>
        <v>-1</v>
      </c>
      <c r="O56" s="11"/>
      <c r="P56" s="8"/>
      <c r="Q56" s="3"/>
      <c r="R56" s="7">
        <f t="shared" si="32"/>
        <v>0</v>
      </c>
      <c r="S56" s="3"/>
      <c r="T56" s="8">
        <v>1400</v>
      </c>
      <c r="U56" s="3"/>
      <c r="V56" s="7">
        <f t="shared" si="33"/>
        <v>1.9626259935794092E-2</v>
      </c>
      <c r="W56" s="3"/>
      <c r="X56" s="8">
        <f t="shared" si="34"/>
        <v>-1400</v>
      </c>
      <c r="Y56" s="3"/>
      <c r="Z56" s="7">
        <f t="shared" si="35"/>
        <v>-1</v>
      </c>
    </row>
    <row r="57" spans="1:26" s="27" customFormat="1" outlineLevel="1" collapsed="1" x14ac:dyDescent="0.3">
      <c r="A57" s="28"/>
      <c r="B57" s="14" t="str">
        <f>CONCATENATE("     ","Employees' Appreciation                           ")</f>
        <v xml:space="preserve">     Employees' Appreciation                           </v>
      </c>
      <c r="C57" s="14"/>
      <c r="D57" s="1">
        <f>SUM(OSRRefD22_3x_0)</f>
        <v>0</v>
      </c>
      <c r="E57" s="1"/>
      <c r="F57" s="5">
        <f t="shared" si="28"/>
        <v>0</v>
      </c>
      <c r="G57" s="1"/>
      <c r="H57" s="1">
        <f>SUM(OSRRefH22_3x_0)</f>
        <v>50</v>
      </c>
      <c r="I57" s="1"/>
      <c r="J57" s="5">
        <f t="shared" si="29"/>
        <v>7.0093785484978905E-4</v>
      </c>
      <c r="K57" s="1"/>
      <c r="L57" s="1">
        <f t="shared" si="30"/>
        <v>-50</v>
      </c>
      <c r="M57" s="1"/>
      <c r="N57" s="5">
        <f t="shared" si="31"/>
        <v>-1</v>
      </c>
      <c r="O57" s="14"/>
      <c r="P57" s="1">
        <f>SUM(OSRRefP22_3x_0)</f>
        <v>0</v>
      </c>
      <c r="Q57" s="1"/>
      <c r="R57" s="5">
        <f t="shared" si="32"/>
        <v>0</v>
      </c>
      <c r="S57" s="1"/>
      <c r="T57" s="1">
        <f>SUM(OSRRefT22_3x_0)</f>
        <v>50</v>
      </c>
      <c r="U57" s="1"/>
      <c r="V57" s="5">
        <f t="shared" si="33"/>
        <v>7.0093785484978905E-4</v>
      </c>
      <c r="W57" s="1"/>
      <c r="X57" s="1">
        <f t="shared" si="34"/>
        <v>-50</v>
      </c>
      <c r="Y57" s="1"/>
      <c r="Z57" s="5">
        <f t="shared" si="35"/>
        <v>-1</v>
      </c>
    </row>
    <row r="58" spans="1:26" s="24" customFormat="1" hidden="1" outlineLevel="2" x14ac:dyDescent="0.3">
      <c r="A58" s="29"/>
      <c r="B58" s="11" t="str">
        <f>CONCATENATE("          ", "6277", " - ", "EMPLOYEE APPRECIATION")</f>
        <v xml:space="preserve">          6277 - EMPLOYEE APPRECIATION</v>
      </c>
      <c r="C58" s="11"/>
      <c r="D58" s="8"/>
      <c r="E58" s="3"/>
      <c r="F58" s="7">
        <f t="shared" si="28"/>
        <v>0</v>
      </c>
      <c r="G58" s="3"/>
      <c r="H58" s="8">
        <v>50</v>
      </c>
      <c r="I58" s="3"/>
      <c r="J58" s="7">
        <f t="shared" si="29"/>
        <v>7.0093785484978905E-4</v>
      </c>
      <c r="K58" s="3"/>
      <c r="L58" s="8">
        <f t="shared" si="30"/>
        <v>-50</v>
      </c>
      <c r="M58" s="3"/>
      <c r="N58" s="7">
        <f t="shared" si="31"/>
        <v>-1</v>
      </c>
      <c r="O58" s="11"/>
      <c r="P58" s="8"/>
      <c r="Q58" s="3"/>
      <c r="R58" s="7">
        <f t="shared" si="32"/>
        <v>0</v>
      </c>
      <c r="S58" s="3"/>
      <c r="T58" s="8">
        <v>50</v>
      </c>
      <c r="U58" s="3"/>
      <c r="V58" s="7">
        <f t="shared" si="33"/>
        <v>7.0093785484978905E-4</v>
      </c>
      <c r="W58" s="3"/>
      <c r="X58" s="8">
        <f t="shared" si="34"/>
        <v>-50</v>
      </c>
      <c r="Y58" s="3"/>
      <c r="Z58" s="7">
        <f t="shared" si="35"/>
        <v>-1</v>
      </c>
    </row>
    <row r="59" spans="1:26" s="27" customFormat="1" outlineLevel="1" collapsed="1" x14ac:dyDescent="0.3">
      <c r="A59" s="28"/>
      <c r="B59" s="14" t="str">
        <f>CONCATENATE("     ","Equipment Rental                                  ")</f>
        <v xml:space="preserve">     Equipment Rental                                  </v>
      </c>
      <c r="C59" s="14"/>
      <c r="D59" s="1">
        <f>SUM(OSRRefD22_4x_0)</f>
        <v>91.26</v>
      </c>
      <c r="E59" s="1"/>
      <c r="F59" s="5">
        <f t="shared" si="28"/>
        <v>1.6237971872686901E-3</v>
      </c>
      <c r="G59" s="1"/>
      <c r="H59" s="1">
        <f>SUM(OSRRefH22_4x_0)</f>
        <v>100</v>
      </c>
      <c r="I59" s="1"/>
      <c r="J59" s="5">
        <f t="shared" si="29"/>
        <v>1.4018757096995781E-3</v>
      </c>
      <c r="K59" s="1"/>
      <c r="L59" s="1">
        <f t="shared" si="30"/>
        <v>-8.7399999999999949</v>
      </c>
      <c r="M59" s="1"/>
      <c r="N59" s="5">
        <f t="shared" si="31"/>
        <v>-8.739999999999995E-2</v>
      </c>
      <c r="O59" s="14"/>
      <c r="P59" s="1">
        <f>SUM(OSRRefP22_4x_0)</f>
        <v>91.26</v>
      </c>
      <c r="Q59" s="1"/>
      <c r="R59" s="5">
        <f t="shared" si="32"/>
        <v>1.6237971872686901E-3</v>
      </c>
      <c r="S59" s="1"/>
      <c r="T59" s="1">
        <f>SUM(OSRRefT22_4x_0)</f>
        <v>100</v>
      </c>
      <c r="U59" s="1"/>
      <c r="V59" s="5">
        <f t="shared" si="33"/>
        <v>1.4018757096995781E-3</v>
      </c>
      <c r="W59" s="1"/>
      <c r="X59" s="1">
        <f t="shared" si="34"/>
        <v>-8.7399999999999949</v>
      </c>
      <c r="Y59" s="1"/>
      <c r="Z59" s="5">
        <f t="shared" si="35"/>
        <v>-8.739999999999995E-2</v>
      </c>
    </row>
    <row r="60" spans="1:26" s="24" customFormat="1" hidden="1" outlineLevel="2" x14ac:dyDescent="0.3">
      <c r="A60" s="29"/>
      <c r="B60" s="11" t="str">
        <f>CONCATENATE("          ", "6351", " - ", "EQUIPMENT RENTAL")</f>
        <v xml:space="preserve">          6351 - EQUIPMENT RENTAL</v>
      </c>
      <c r="C60" s="11"/>
      <c r="D60" s="8">
        <v>91.26</v>
      </c>
      <c r="E60" s="3"/>
      <c r="F60" s="7">
        <f t="shared" si="28"/>
        <v>1.6237971872686901E-3</v>
      </c>
      <c r="G60" s="3"/>
      <c r="H60" s="8">
        <v>100</v>
      </c>
      <c r="I60" s="3"/>
      <c r="J60" s="7">
        <f t="shared" si="29"/>
        <v>1.4018757096995781E-3</v>
      </c>
      <c r="K60" s="3"/>
      <c r="L60" s="8">
        <f t="shared" si="30"/>
        <v>-8.7399999999999949</v>
      </c>
      <c r="M60" s="3"/>
      <c r="N60" s="7">
        <f t="shared" si="31"/>
        <v>-8.739999999999995E-2</v>
      </c>
      <c r="O60" s="11"/>
      <c r="P60" s="8">
        <v>91.26</v>
      </c>
      <c r="Q60" s="3"/>
      <c r="R60" s="7">
        <f t="shared" si="32"/>
        <v>1.6237971872686901E-3</v>
      </c>
      <c r="S60" s="3"/>
      <c r="T60" s="8">
        <v>100</v>
      </c>
      <c r="U60" s="3"/>
      <c r="V60" s="7">
        <f t="shared" si="33"/>
        <v>1.4018757096995781E-3</v>
      </c>
      <c r="W60" s="3"/>
      <c r="X60" s="8">
        <f t="shared" si="34"/>
        <v>-8.7399999999999949</v>
      </c>
      <c r="Y60" s="3"/>
      <c r="Z60" s="7">
        <f t="shared" si="35"/>
        <v>-8.739999999999995E-2</v>
      </c>
    </row>
    <row r="61" spans="1:26" s="27" customFormat="1" outlineLevel="1" collapsed="1" x14ac:dyDescent="0.3">
      <c r="A61" s="28"/>
      <c r="B61" s="14" t="str">
        <f>CONCATENATE("     ","Freight out/Postage                               ")</f>
        <v xml:space="preserve">     Freight out/Postage                               </v>
      </c>
      <c r="C61" s="14"/>
      <c r="D61" s="1">
        <f>SUM(OSRRefD22_5x_0)</f>
        <v>132.66999999999999</v>
      </c>
      <c r="E61" s="1"/>
      <c r="F61" s="5">
        <f t="shared" si="28"/>
        <v>2.360608950634857E-3</v>
      </c>
      <c r="G61" s="1"/>
      <c r="H61" s="1">
        <f>SUM(OSRRefH22_5x_0)</f>
        <v>300</v>
      </c>
      <c r="I61" s="1"/>
      <c r="J61" s="5">
        <f t="shared" si="29"/>
        <v>4.2056271290987343E-3</v>
      </c>
      <c r="K61" s="1"/>
      <c r="L61" s="1">
        <f t="shared" si="30"/>
        <v>-167.33</v>
      </c>
      <c r="M61" s="1"/>
      <c r="N61" s="5">
        <f t="shared" si="31"/>
        <v>-0.55776666666666674</v>
      </c>
      <c r="O61" s="14"/>
      <c r="P61" s="1">
        <f>SUM(OSRRefP22_5x_0)</f>
        <v>132.66999999999999</v>
      </c>
      <c r="Q61" s="1"/>
      <c r="R61" s="5">
        <f t="shared" si="32"/>
        <v>2.360608950634857E-3</v>
      </c>
      <c r="S61" s="1"/>
      <c r="T61" s="1">
        <f>SUM(OSRRefT22_5x_0)</f>
        <v>300</v>
      </c>
      <c r="U61" s="1"/>
      <c r="V61" s="5">
        <f t="shared" si="33"/>
        <v>4.2056271290987343E-3</v>
      </c>
      <c r="W61" s="1"/>
      <c r="X61" s="1">
        <f t="shared" si="34"/>
        <v>-167.33</v>
      </c>
      <c r="Y61" s="1"/>
      <c r="Z61" s="5">
        <f t="shared" si="35"/>
        <v>-0.55776666666666674</v>
      </c>
    </row>
    <row r="62" spans="1:26" s="24" customFormat="1" hidden="1" outlineLevel="2" x14ac:dyDescent="0.3">
      <c r="A62" s="29"/>
      <c r="B62" s="11" t="str">
        <f>CONCATENATE("          ", "6305", " - ", "FREIGHT OUT")</f>
        <v xml:space="preserve">          6305 - FREIGHT OUT</v>
      </c>
      <c r="C62" s="11"/>
      <c r="D62" s="8">
        <v>132.66999999999999</v>
      </c>
      <c r="E62" s="3"/>
      <c r="F62" s="7">
        <f t="shared" si="28"/>
        <v>2.360608950634857E-3</v>
      </c>
      <c r="G62" s="3"/>
      <c r="H62" s="8">
        <v>300</v>
      </c>
      <c r="I62" s="3"/>
      <c r="J62" s="7">
        <f t="shared" si="29"/>
        <v>4.2056271290987343E-3</v>
      </c>
      <c r="K62" s="3"/>
      <c r="L62" s="8">
        <f t="shared" si="30"/>
        <v>-167.33</v>
      </c>
      <c r="M62" s="3"/>
      <c r="N62" s="7">
        <f t="shared" si="31"/>
        <v>-0.55776666666666674</v>
      </c>
      <c r="O62" s="11"/>
      <c r="P62" s="8">
        <v>132.66999999999999</v>
      </c>
      <c r="Q62" s="3"/>
      <c r="R62" s="7">
        <f t="shared" si="32"/>
        <v>2.360608950634857E-3</v>
      </c>
      <c r="S62" s="3"/>
      <c r="T62" s="8">
        <v>300</v>
      </c>
      <c r="U62" s="3"/>
      <c r="V62" s="7">
        <f t="shared" si="33"/>
        <v>4.2056271290987343E-3</v>
      </c>
      <c r="W62" s="3"/>
      <c r="X62" s="8">
        <f t="shared" si="34"/>
        <v>-167.33</v>
      </c>
      <c r="Y62" s="3"/>
      <c r="Z62" s="7">
        <f t="shared" si="35"/>
        <v>-0.55776666666666674</v>
      </c>
    </row>
    <row r="63" spans="1:26" s="27" customFormat="1" outlineLevel="1" collapsed="1" x14ac:dyDescent="0.3">
      <c r="A63" s="28"/>
      <c r="B63" s="14" t="str">
        <f>CONCATENATE("     ","General                                           ")</f>
        <v xml:space="preserve">     General                                           </v>
      </c>
      <c r="C63" s="14"/>
      <c r="D63" s="1">
        <f>SUM(OSRRefD22_6x_0)</f>
        <v>0</v>
      </c>
      <c r="E63" s="1"/>
      <c r="F63" s="5">
        <f t="shared" si="28"/>
        <v>0</v>
      </c>
      <c r="G63" s="1"/>
      <c r="H63" s="1">
        <f>SUM(OSRRefH22_6x_0)</f>
        <v>0</v>
      </c>
      <c r="I63" s="1"/>
      <c r="J63" s="5">
        <f t="shared" si="29"/>
        <v>0</v>
      </c>
      <c r="K63" s="1"/>
      <c r="L63" s="1">
        <f t="shared" si="30"/>
        <v>0</v>
      </c>
      <c r="M63" s="1"/>
      <c r="N63" s="5">
        <f t="shared" si="31"/>
        <v>0</v>
      </c>
      <c r="O63" s="14"/>
      <c r="P63" s="1">
        <f>SUM(OSRRefP22_6x_0)</f>
        <v>0</v>
      </c>
      <c r="Q63" s="1"/>
      <c r="R63" s="5">
        <f t="shared" si="32"/>
        <v>0</v>
      </c>
      <c r="S63" s="1"/>
      <c r="T63" s="1">
        <f>SUM(OSRRefT22_6x_0)</f>
        <v>0</v>
      </c>
      <c r="U63" s="1"/>
      <c r="V63" s="5">
        <f t="shared" si="33"/>
        <v>0</v>
      </c>
      <c r="W63" s="1"/>
      <c r="X63" s="1">
        <f t="shared" si="34"/>
        <v>0</v>
      </c>
      <c r="Y63" s="1"/>
      <c r="Z63" s="5">
        <f t="shared" si="35"/>
        <v>0</v>
      </c>
    </row>
    <row r="64" spans="1:26" s="24" customFormat="1" hidden="1" outlineLevel="2" x14ac:dyDescent="0.3">
      <c r="A64" s="29"/>
      <c r="B64" s="11" t="str">
        <f>CONCATENATE("          ", "6279", " - ", "GENERAL EXPENSE")</f>
        <v xml:space="preserve">          6279 - GENERAL EXPENSE</v>
      </c>
      <c r="C64" s="11"/>
      <c r="D64" s="8"/>
      <c r="E64" s="3"/>
      <c r="F64" s="7">
        <f t="shared" si="28"/>
        <v>0</v>
      </c>
      <c r="G64" s="3"/>
      <c r="H64" s="8">
        <v>0</v>
      </c>
      <c r="I64" s="3"/>
      <c r="J64" s="7">
        <f t="shared" si="29"/>
        <v>0</v>
      </c>
      <c r="K64" s="3"/>
      <c r="L64" s="8">
        <f t="shared" si="30"/>
        <v>0</v>
      </c>
      <c r="M64" s="3"/>
      <c r="N64" s="7">
        <f t="shared" si="31"/>
        <v>0</v>
      </c>
      <c r="O64" s="11"/>
      <c r="P64" s="8"/>
      <c r="Q64" s="3"/>
      <c r="R64" s="7">
        <f t="shared" si="32"/>
        <v>0</v>
      </c>
      <c r="S64" s="3"/>
      <c r="T64" s="8">
        <v>0</v>
      </c>
      <c r="U64" s="3"/>
      <c r="V64" s="7">
        <f t="shared" si="33"/>
        <v>0</v>
      </c>
      <c r="W64" s="3"/>
      <c r="X64" s="8">
        <f t="shared" si="34"/>
        <v>0</v>
      </c>
      <c r="Y64" s="3"/>
      <c r="Z64" s="7">
        <f t="shared" si="35"/>
        <v>0</v>
      </c>
    </row>
    <row r="65" spans="1:26" s="27" customFormat="1" outlineLevel="1" collapsed="1" x14ac:dyDescent="0.3">
      <c r="A65" s="28"/>
      <c r="B65" s="14" t="str">
        <f>CONCATENATE("     ","Inventory Adjustment                              ")</f>
        <v xml:space="preserve">     Inventory Adjustment                              </v>
      </c>
      <c r="C65" s="14"/>
      <c r="D65" s="1">
        <f>SUM(OSRRefD22_7x_0)</f>
        <v>1000</v>
      </c>
      <c r="E65" s="1"/>
      <c r="F65" s="5">
        <f t="shared" si="28"/>
        <v>1.779308774127427E-2</v>
      </c>
      <c r="G65" s="1"/>
      <c r="H65" s="1">
        <f>SUM(OSRRefH22_7x_0)</f>
        <v>1000</v>
      </c>
      <c r="I65" s="1"/>
      <c r="J65" s="5">
        <f t="shared" si="29"/>
        <v>1.4018757096995781E-2</v>
      </c>
      <c r="K65" s="1"/>
      <c r="L65" s="1">
        <f t="shared" si="30"/>
        <v>0</v>
      </c>
      <c r="M65" s="1"/>
      <c r="N65" s="5">
        <f t="shared" si="31"/>
        <v>0</v>
      </c>
      <c r="O65" s="14"/>
      <c r="P65" s="1">
        <f>SUM(OSRRefP22_7x_0)</f>
        <v>1000</v>
      </c>
      <c r="Q65" s="1"/>
      <c r="R65" s="5">
        <f t="shared" si="32"/>
        <v>1.779308774127427E-2</v>
      </c>
      <c r="S65" s="1"/>
      <c r="T65" s="1">
        <f>SUM(OSRRefT22_7x_0)</f>
        <v>1000</v>
      </c>
      <c r="U65" s="1"/>
      <c r="V65" s="5">
        <f t="shared" si="33"/>
        <v>1.4018757096995781E-2</v>
      </c>
      <c r="W65" s="1"/>
      <c r="X65" s="1">
        <f t="shared" si="34"/>
        <v>0</v>
      </c>
      <c r="Y65" s="1"/>
      <c r="Z65" s="5">
        <f t="shared" si="35"/>
        <v>0</v>
      </c>
    </row>
    <row r="66" spans="1:26" s="24" customFormat="1" hidden="1" outlineLevel="2" x14ac:dyDescent="0.3">
      <c r="A66" s="29"/>
      <c r="B66" s="11" t="str">
        <f>CONCATENATE("          ", "6408", " - ", "INVENTORY ADJUSTMENT")</f>
        <v xml:space="preserve">          6408 - INVENTORY ADJUSTMENT</v>
      </c>
      <c r="C66" s="11"/>
      <c r="D66" s="8">
        <v>1000</v>
      </c>
      <c r="E66" s="3"/>
      <c r="F66" s="7">
        <f t="shared" si="28"/>
        <v>1.779308774127427E-2</v>
      </c>
      <c r="G66" s="3"/>
      <c r="H66" s="8">
        <v>1000</v>
      </c>
      <c r="I66" s="3"/>
      <c r="J66" s="7">
        <f t="shared" si="29"/>
        <v>1.4018757096995781E-2</v>
      </c>
      <c r="K66" s="3"/>
      <c r="L66" s="8">
        <f t="shared" si="30"/>
        <v>0</v>
      </c>
      <c r="M66" s="3"/>
      <c r="N66" s="7">
        <f t="shared" si="31"/>
        <v>0</v>
      </c>
      <c r="O66" s="11"/>
      <c r="P66" s="8">
        <v>1000</v>
      </c>
      <c r="Q66" s="3"/>
      <c r="R66" s="7">
        <f t="shared" si="32"/>
        <v>1.779308774127427E-2</v>
      </c>
      <c r="S66" s="3"/>
      <c r="T66" s="8">
        <v>1000</v>
      </c>
      <c r="U66" s="3"/>
      <c r="V66" s="7">
        <f t="shared" si="33"/>
        <v>1.4018757096995781E-2</v>
      </c>
      <c r="W66" s="3"/>
      <c r="X66" s="8">
        <f t="shared" si="34"/>
        <v>0</v>
      </c>
      <c r="Y66" s="3"/>
      <c r="Z66" s="7">
        <f t="shared" si="35"/>
        <v>0</v>
      </c>
    </row>
    <row r="67" spans="1:26" s="27" customFormat="1" outlineLevel="1" collapsed="1" x14ac:dyDescent="0.3">
      <c r="A67" s="28"/>
      <c r="B67" s="14" t="str">
        <f>CONCATENATE("     ","Repair and Maintenance                            ")</f>
        <v xml:space="preserve">     Repair and Maintenance                            </v>
      </c>
      <c r="C67" s="14"/>
      <c r="D67" s="1">
        <f>SUM(OSRRefD22_8x_0)</f>
        <v>2900.53</v>
      </c>
      <c r="E67" s="1"/>
      <c r="F67" s="5">
        <f t="shared" si="28"/>
        <v>5.160938478619826E-2</v>
      </c>
      <c r="G67" s="1"/>
      <c r="H67" s="1">
        <f>SUM(OSRRefH22_8x_0)</f>
        <v>80</v>
      </c>
      <c r="I67" s="1"/>
      <c r="J67" s="5">
        <f t="shared" si="29"/>
        <v>1.1215005677596625E-3</v>
      </c>
      <c r="K67" s="1"/>
      <c r="L67" s="1">
        <f t="shared" si="30"/>
        <v>2820.53</v>
      </c>
      <c r="M67" s="1"/>
      <c r="N67" s="5">
        <f t="shared" si="31"/>
        <v>35.256625</v>
      </c>
      <c r="O67" s="14"/>
      <c r="P67" s="1">
        <f>SUM(OSRRefP22_8x_0)</f>
        <v>2900.53</v>
      </c>
      <c r="Q67" s="1"/>
      <c r="R67" s="5">
        <f t="shared" si="32"/>
        <v>5.160938478619826E-2</v>
      </c>
      <c r="S67" s="1"/>
      <c r="T67" s="1">
        <f>SUM(OSRRefT22_8x_0)</f>
        <v>80</v>
      </c>
      <c r="U67" s="1"/>
      <c r="V67" s="5">
        <f t="shared" si="33"/>
        <v>1.1215005677596625E-3</v>
      </c>
      <c r="W67" s="1"/>
      <c r="X67" s="1">
        <f t="shared" si="34"/>
        <v>2820.53</v>
      </c>
      <c r="Y67" s="1"/>
      <c r="Z67" s="5">
        <f t="shared" si="35"/>
        <v>35.256625</v>
      </c>
    </row>
    <row r="68" spans="1:26" s="24" customFormat="1" hidden="1" outlineLevel="2" x14ac:dyDescent="0.3">
      <c r="A68" s="29"/>
      <c r="B68" s="11" t="str">
        <f>CONCATENATE("          ", "6371", " - ", "COMPUTER SOFTWARE MAINTENANCE")</f>
        <v xml:space="preserve">          6371 - COMPUTER SOFTWARE MAINTENANCE</v>
      </c>
      <c r="C68" s="11"/>
      <c r="D68" s="8">
        <v>2887.5</v>
      </c>
      <c r="E68" s="3"/>
      <c r="F68" s="7">
        <f t="shared" si="28"/>
        <v>5.1377540852929456E-2</v>
      </c>
      <c r="G68" s="3"/>
      <c r="H68" s="8"/>
      <c r="I68" s="3"/>
      <c r="J68" s="7">
        <f t="shared" si="29"/>
        <v>0</v>
      </c>
      <c r="K68" s="3"/>
      <c r="L68" s="8">
        <f t="shared" si="30"/>
        <v>2887.5</v>
      </c>
      <c r="M68" s="3"/>
      <c r="N68" s="7">
        <f t="shared" si="31"/>
        <v>0</v>
      </c>
      <c r="O68" s="11"/>
      <c r="P68" s="8">
        <v>2887.5</v>
      </c>
      <c r="Q68" s="3"/>
      <c r="R68" s="7">
        <f t="shared" si="32"/>
        <v>5.1377540852929456E-2</v>
      </c>
      <c r="S68" s="3"/>
      <c r="T68" s="8"/>
      <c r="U68" s="3"/>
      <c r="V68" s="7">
        <f t="shared" si="33"/>
        <v>0</v>
      </c>
      <c r="W68" s="3"/>
      <c r="X68" s="8">
        <f t="shared" si="34"/>
        <v>2887.5</v>
      </c>
      <c r="Y68" s="3"/>
      <c r="Z68" s="7">
        <f t="shared" si="35"/>
        <v>0</v>
      </c>
    </row>
    <row r="69" spans="1:26" s="24" customFormat="1" hidden="1" outlineLevel="2" x14ac:dyDescent="0.3">
      <c r="A69" s="29"/>
      <c r="B69" s="11" t="str">
        <f>CONCATENATE("          ", "6373", " - ", "MAINTENANCE CONTRACTS")</f>
        <v xml:space="preserve">          6373 - MAINTENANCE CONTRACTS</v>
      </c>
      <c r="C69" s="11"/>
      <c r="D69" s="8">
        <v>13.03</v>
      </c>
      <c r="E69" s="3"/>
      <c r="F69" s="7">
        <f t="shared" si="28"/>
        <v>2.3184393326880373E-4</v>
      </c>
      <c r="G69" s="3"/>
      <c r="H69" s="8">
        <v>40</v>
      </c>
      <c r="I69" s="3"/>
      <c r="J69" s="7">
        <f t="shared" si="29"/>
        <v>5.6075028387983126E-4</v>
      </c>
      <c r="K69" s="3"/>
      <c r="L69" s="8">
        <f t="shared" si="30"/>
        <v>-26.97</v>
      </c>
      <c r="M69" s="3"/>
      <c r="N69" s="7">
        <f t="shared" si="31"/>
        <v>-0.67425000000000002</v>
      </c>
      <c r="O69" s="11"/>
      <c r="P69" s="8">
        <v>13.03</v>
      </c>
      <c r="Q69" s="3"/>
      <c r="R69" s="7">
        <f t="shared" si="32"/>
        <v>2.3184393326880373E-4</v>
      </c>
      <c r="S69" s="3"/>
      <c r="T69" s="8">
        <v>40</v>
      </c>
      <c r="U69" s="3"/>
      <c r="V69" s="7">
        <f t="shared" si="33"/>
        <v>5.6075028387983126E-4</v>
      </c>
      <c r="W69" s="3"/>
      <c r="X69" s="8">
        <f t="shared" si="34"/>
        <v>-26.97</v>
      </c>
      <c r="Y69" s="3"/>
      <c r="Z69" s="7">
        <f t="shared" si="35"/>
        <v>-0.67425000000000002</v>
      </c>
    </row>
    <row r="70" spans="1:26" s="24" customFormat="1" hidden="1" outlineLevel="2" x14ac:dyDescent="0.3">
      <c r="A70" s="29"/>
      <c r="B70" s="11" t="str">
        <f>CONCATENATE("          ", "6375", " - ", "OUTSIDE REPAIRS &amp; MAINTENANCE")</f>
        <v xml:space="preserve">          6375 - OUTSIDE REPAIRS &amp; MAINTENANCE</v>
      </c>
      <c r="C70" s="11"/>
      <c r="D70" s="8"/>
      <c r="E70" s="3"/>
      <c r="F70" s="7">
        <f t="shared" si="28"/>
        <v>0</v>
      </c>
      <c r="G70" s="3"/>
      <c r="H70" s="8">
        <v>40</v>
      </c>
      <c r="I70" s="3"/>
      <c r="J70" s="7">
        <f t="shared" si="29"/>
        <v>5.6075028387983126E-4</v>
      </c>
      <c r="K70" s="3"/>
      <c r="L70" s="8">
        <f t="shared" si="30"/>
        <v>-40</v>
      </c>
      <c r="M70" s="3"/>
      <c r="N70" s="7">
        <f t="shared" si="31"/>
        <v>-1</v>
      </c>
      <c r="O70" s="11"/>
      <c r="P70" s="8"/>
      <c r="Q70" s="3"/>
      <c r="R70" s="7">
        <f t="shared" si="32"/>
        <v>0</v>
      </c>
      <c r="S70" s="3"/>
      <c r="T70" s="8">
        <v>40</v>
      </c>
      <c r="U70" s="3"/>
      <c r="V70" s="7">
        <f t="shared" si="33"/>
        <v>5.6075028387983126E-4</v>
      </c>
      <c r="W70" s="3"/>
      <c r="X70" s="8">
        <f t="shared" si="34"/>
        <v>-40</v>
      </c>
      <c r="Y70" s="3"/>
      <c r="Z70" s="7">
        <f t="shared" si="35"/>
        <v>-1</v>
      </c>
    </row>
    <row r="71" spans="1:26" s="27" customFormat="1" outlineLevel="1" collapsed="1" x14ac:dyDescent="0.3">
      <c r="A71" s="28"/>
      <c r="B71" s="14" t="str">
        <f>CONCATENATE("     ","Subscriptions &amp; Dues                              ")</f>
        <v xml:space="preserve">     Subscriptions &amp; Dues                              </v>
      </c>
      <c r="C71" s="14"/>
      <c r="D71" s="1">
        <f>SUM(OSRRefD22_9x_0)</f>
        <v>68.319999999999993</v>
      </c>
      <c r="E71" s="1"/>
      <c r="F71" s="5">
        <f t="shared" ref="F71:F75" si="36">IF(D$12=0,0,D71/D$12)</f>
        <v>1.2156237544838581E-3</v>
      </c>
      <c r="G71" s="1"/>
      <c r="H71" s="1">
        <f>SUM(OSRRefH22_9x_0)</f>
        <v>300</v>
      </c>
      <c r="I71" s="1"/>
      <c r="J71" s="5">
        <f t="shared" ref="J71:J75" si="37">IF(H$12=0,0,H71/H$12)</f>
        <v>4.2056271290987343E-3</v>
      </c>
      <c r="K71" s="1"/>
      <c r="L71" s="1">
        <f t="shared" ref="L71:L75" si="38">+D71-H71</f>
        <v>-231.68</v>
      </c>
      <c r="M71" s="1"/>
      <c r="N71" s="5">
        <f t="shared" ref="N71:N75" si="39">IF(H71=0,0,L71/H71)</f>
        <v>-0.77226666666666666</v>
      </c>
      <c r="O71" s="14"/>
      <c r="P71" s="1">
        <f>SUM(OSRRefP22_9x_0)</f>
        <v>68.319999999999993</v>
      </c>
      <c r="Q71" s="1"/>
      <c r="R71" s="5">
        <f t="shared" ref="R71:R75" si="40">IF(P$12=0,0,P71/P$12)</f>
        <v>1.2156237544838581E-3</v>
      </c>
      <c r="S71" s="1"/>
      <c r="T71" s="1">
        <f>SUM(OSRRefT22_9x_0)</f>
        <v>300</v>
      </c>
      <c r="U71" s="1"/>
      <c r="V71" s="5">
        <f t="shared" ref="V71:V75" si="41">IF(T$12=0,0,T71/T$12)</f>
        <v>4.2056271290987343E-3</v>
      </c>
      <c r="W71" s="1"/>
      <c r="X71" s="1">
        <f t="shared" ref="X71:X75" si="42">+P71-T71</f>
        <v>-231.68</v>
      </c>
      <c r="Y71" s="1"/>
      <c r="Z71" s="5">
        <f t="shared" ref="Z71:Z75" si="43">IF(T71=0,0,X71/T71)</f>
        <v>-0.77226666666666666</v>
      </c>
    </row>
    <row r="72" spans="1:26" s="24" customFormat="1" hidden="1" outlineLevel="2" x14ac:dyDescent="0.3">
      <c r="A72" s="29"/>
      <c r="B72" s="11" t="str">
        <f>CONCATENATE("          ", "6258", " - ", "MEMBERSHIP DUES")</f>
        <v xml:space="preserve">          6258 - MEMBERSHIP DUES</v>
      </c>
      <c r="C72" s="11"/>
      <c r="D72" s="8">
        <v>68.319999999999993</v>
      </c>
      <c r="E72" s="3"/>
      <c r="F72" s="7">
        <f t="shared" si="36"/>
        <v>1.2156237544838581E-3</v>
      </c>
      <c r="G72" s="3"/>
      <c r="H72" s="8">
        <v>300</v>
      </c>
      <c r="I72" s="3"/>
      <c r="J72" s="7">
        <f t="shared" si="37"/>
        <v>4.2056271290987343E-3</v>
      </c>
      <c r="K72" s="3"/>
      <c r="L72" s="8">
        <f t="shared" si="38"/>
        <v>-231.68</v>
      </c>
      <c r="M72" s="3"/>
      <c r="N72" s="7">
        <f t="shared" si="39"/>
        <v>-0.77226666666666666</v>
      </c>
      <c r="O72" s="11"/>
      <c r="P72" s="8">
        <v>68.319999999999993</v>
      </c>
      <c r="Q72" s="3"/>
      <c r="R72" s="7">
        <f t="shared" si="40"/>
        <v>1.2156237544838581E-3</v>
      </c>
      <c r="S72" s="3"/>
      <c r="T72" s="8">
        <v>300</v>
      </c>
      <c r="U72" s="3"/>
      <c r="V72" s="7">
        <f t="shared" si="41"/>
        <v>4.2056271290987343E-3</v>
      </c>
      <c r="W72" s="3"/>
      <c r="X72" s="8">
        <f t="shared" si="42"/>
        <v>-231.68</v>
      </c>
      <c r="Y72" s="3"/>
      <c r="Z72" s="7">
        <f t="shared" si="43"/>
        <v>-0.77226666666666666</v>
      </c>
    </row>
    <row r="73" spans="1:26" s="27" customFormat="1" outlineLevel="1" collapsed="1" x14ac:dyDescent="0.3">
      <c r="A73" s="28"/>
      <c r="B73" s="14" t="str">
        <f>CONCATENATE("     ","Supplies                                          ")</f>
        <v xml:space="preserve">     Supplies                                          </v>
      </c>
      <c r="C73" s="14"/>
      <c r="D73" s="1">
        <f>SUM(OSRRefD22_10x_0)</f>
        <v>115.74</v>
      </c>
      <c r="E73" s="1"/>
      <c r="F73" s="5">
        <f t="shared" si="36"/>
        <v>2.0593719751750839E-3</v>
      </c>
      <c r="G73" s="1"/>
      <c r="H73" s="1">
        <f>SUM(OSRRefH22_10x_0)</f>
        <v>700</v>
      </c>
      <c r="I73" s="1"/>
      <c r="J73" s="5">
        <f t="shared" si="37"/>
        <v>9.8131299678970458E-3</v>
      </c>
      <c r="K73" s="1"/>
      <c r="L73" s="1">
        <f t="shared" si="38"/>
        <v>-584.26</v>
      </c>
      <c r="M73" s="1"/>
      <c r="N73" s="5">
        <f t="shared" si="39"/>
        <v>-0.83465714285714288</v>
      </c>
      <c r="O73" s="14"/>
      <c r="P73" s="1">
        <f>SUM(OSRRefP22_10x_0)</f>
        <v>115.74</v>
      </c>
      <c r="Q73" s="1"/>
      <c r="R73" s="5">
        <f t="shared" si="40"/>
        <v>2.0593719751750839E-3</v>
      </c>
      <c r="S73" s="1"/>
      <c r="T73" s="1">
        <f>SUM(OSRRefT22_10x_0)</f>
        <v>700</v>
      </c>
      <c r="U73" s="1"/>
      <c r="V73" s="5">
        <f t="shared" si="41"/>
        <v>9.8131299678970458E-3</v>
      </c>
      <c r="W73" s="1"/>
      <c r="X73" s="1">
        <f t="shared" si="42"/>
        <v>-584.26</v>
      </c>
      <c r="Y73" s="1"/>
      <c r="Z73" s="5">
        <f t="shared" si="43"/>
        <v>-0.83465714285714288</v>
      </c>
    </row>
    <row r="74" spans="1:26" s="24" customFormat="1" hidden="1" outlineLevel="2" x14ac:dyDescent="0.3">
      <c r="A74" s="29"/>
      <c r="B74" s="11" t="str">
        <f>CONCATENATE("          ", "6241", " - ", "OFFICE EXPENSE")</f>
        <v xml:space="preserve">          6241 - OFFICE EXPENSE</v>
      </c>
      <c r="C74" s="11"/>
      <c r="D74" s="8">
        <v>115.74</v>
      </c>
      <c r="E74" s="3"/>
      <c r="F74" s="7">
        <f t="shared" si="36"/>
        <v>2.0593719751750839E-3</v>
      </c>
      <c r="G74" s="3"/>
      <c r="H74" s="8">
        <v>300</v>
      </c>
      <c r="I74" s="3"/>
      <c r="J74" s="7">
        <f t="shared" si="37"/>
        <v>4.2056271290987343E-3</v>
      </c>
      <c r="K74" s="3"/>
      <c r="L74" s="8">
        <f t="shared" si="38"/>
        <v>-184.26</v>
      </c>
      <c r="M74" s="3"/>
      <c r="N74" s="7">
        <f t="shared" si="39"/>
        <v>-0.61419999999999997</v>
      </c>
      <c r="O74" s="11"/>
      <c r="P74" s="8">
        <v>115.74</v>
      </c>
      <c r="Q74" s="3"/>
      <c r="R74" s="7">
        <f t="shared" si="40"/>
        <v>2.0593719751750839E-3</v>
      </c>
      <c r="S74" s="3"/>
      <c r="T74" s="8">
        <v>300</v>
      </c>
      <c r="U74" s="3"/>
      <c r="V74" s="7">
        <f t="shared" si="41"/>
        <v>4.2056271290987343E-3</v>
      </c>
      <c r="W74" s="3"/>
      <c r="X74" s="8">
        <f t="shared" si="42"/>
        <v>-184.26</v>
      </c>
      <c r="Y74" s="3"/>
      <c r="Z74" s="7">
        <f t="shared" si="43"/>
        <v>-0.61419999999999997</v>
      </c>
    </row>
    <row r="75" spans="1:26" s="24" customFormat="1" hidden="1" outlineLevel="2" x14ac:dyDescent="0.3">
      <c r="A75" s="29"/>
      <c r="B75" s="11" t="str">
        <f>CONCATENATE("          ", "6247", " - ", "STORE SUPPLIES")</f>
        <v xml:space="preserve">          6247 - STORE SUPPLIES</v>
      </c>
      <c r="C75" s="11"/>
      <c r="D75" s="8"/>
      <c r="E75" s="3"/>
      <c r="F75" s="7">
        <f t="shared" si="36"/>
        <v>0</v>
      </c>
      <c r="G75" s="3"/>
      <c r="H75" s="8">
        <v>400</v>
      </c>
      <c r="I75" s="3"/>
      <c r="J75" s="7">
        <f t="shared" si="37"/>
        <v>5.6075028387983124E-3</v>
      </c>
      <c r="K75" s="3"/>
      <c r="L75" s="8">
        <f t="shared" si="38"/>
        <v>-400</v>
      </c>
      <c r="M75" s="3"/>
      <c r="N75" s="7">
        <f t="shared" si="39"/>
        <v>-1</v>
      </c>
      <c r="O75" s="11"/>
      <c r="P75" s="8"/>
      <c r="Q75" s="3"/>
      <c r="R75" s="7">
        <f t="shared" si="40"/>
        <v>0</v>
      </c>
      <c r="S75" s="3"/>
      <c r="T75" s="8">
        <v>400</v>
      </c>
      <c r="U75" s="3"/>
      <c r="V75" s="7">
        <f t="shared" si="41"/>
        <v>5.6075028387983124E-3</v>
      </c>
      <c r="W75" s="3"/>
      <c r="X75" s="8">
        <f t="shared" si="42"/>
        <v>-400</v>
      </c>
      <c r="Y75" s="3"/>
      <c r="Z75" s="7">
        <f t="shared" si="43"/>
        <v>-1</v>
      </c>
    </row>
    <row r="76" spans="1:26" s="27" customFormat="1" outlineLevel="1" collapsed="1" x14ac:dyDescent="0.3">
      <c r="A76" s="28"/>
      <c r="B76" s="14" t="str">
        <f>CONCATENATE("     ","Telephone/Data Lines                              ")</f>
        <v xml:space="preserve">     Telephone/Data Lines                              </v>
      </c>
      <c r="C76" s="14"/>
      <c r="D76" s="1">
        <f>SUM(OSRRefD22_11x_0)</f>
        <v>607.4</v>
      </c>
      <c r="E76" s="1"/>
      <c r="F76" s="5">
        <f t="shared" ref="F76:F78" si="44">IF(D$12=0,0,D76/D$12)</f>
        <v>1.0807521494049991E-2</v>
      </c>
      <c r="G76" s="1"/>
      <c r="H76" s="1">
        <f>SUM(OSRRefH22_11x_0)</f>
        <v>350</v>
      </c>
      <c r="I76" s="1"/>
      <c r="J76" s="5">
        <f t="shared" ref="J76:J78" si="45">IF(H$12=0,0,H76/H$12)</f>
        <v>4.9065649839485229E-3</v>
      </c>
      <c r="K76" s="1"/>
      <c r="L76" s="1">
        <f t="shared" ref="L76:L78" si="46">+D76-H76</f>
        <v>257.39999999999998</v>
      </c>
      <c r="M76" s="1"/>
      <c r="N76" s="5">
        <f t="shared" ref="N76:N78" si="47">IF(H76=0,0,L76/H76)</f>
        <v>0.73542857142857132</v>
      </c>
      <c r="O76" s="14"/>
      <c r="P76" s="1">
        <f>SUM(OSRRefP22_11x_0)</f>
        <v>607.4</v>
      </c>
      <c r="Q76" s="1"/>
      <c r="R76" s="5">
        <f t="shared" ref="R76:R78" si="48">IF(P$12=0,0,P76/P$12)</f>
        <v>1.0807521494049991E-2</v>
      </c>
      <c r="S76" s="1"/>
      <c r="T76" s="1">
        <f>SUM(OSRRefT22_11x_0)</f>
        <v>350</v>
      </c>
      <c r="U76" s="1"/>
      <c r="V76" s="5">
        <f t="shared" ref="V76:V78" si="49">IF(T$12=0,0,T76/T$12)</f>
        <v>4.9065649839485229E-3</v>
      </c>
      <c r="W76" s="1"/>
      <c r="X76" s="1">
        <f t="shared" ref="X76:X78" si="50">+P76-T76</f>
        <v>257.39999999999998</v>
      </c>
      <c r="Y76" s="1"/>
      <c r="Z76" s="5">
        <f t="shared" ref="Z76:Z78" si="51">IF(T76=0,0,X76/T76)</f>
        <v>0.73542857142857132</v>
      </c>
    </row>
    <row r="77" spans="1:26" s="24" customFormat="1" hidden="1" outlineLevel="2" x14ac:dyDescent="0.3">
      <c r="A77" s="29"/>
      <c r="B77" s="11" t="str">
        <f>CONCATENATE("          ", "6303", " - ", "DATA PHONE LINES")</f>
        <v xml:space="preserve">          6303 - DATA PHONE LINES</v>
      </c>
      <c r="C77" s="11"/>
      <c r="D77" s="8">
        <v>295</v>
      </c>
      <c r="E77" s="3"/>
      <c r="F77" s="7">
        <f t="shared" si="44"/>
        <v>5.2489608836759098E-3</v>
      </c>
      <c r="G77" s="3"/>
      <c r="H77" s="8">
        <v>0</v>
      </c>
      <c r="I77" s="3"/>
      <c r="J77" s="7">
        <f t="shared" si="45"/>
        <v>0</v>
      </c>
      <c r="K77" s="3"/>
      <c r="L77" s="8">
        <f t="shared" si="46"/>
        <v>295</v>
      </c>
      <c r="M77" s="3"/>
      <c r="N77" s="7">
        <f t="shared" si="47"/>
        <v>0</v>
      </c>
      <c r="O77" s="11"/>
      <c r="P77" s="8">
        <v>295</v>
      </c>
      <c r="Q77" s="3"/>
      <c r="R77" s="7">
        <f t="shared" si="48"/>
        <v>5.2489608836759098E-3</v>
      </c>
      <c r="S77" s="3"/>
      <c r="T77" s="8">
        <v>0</v>
      </c>
      <c r="U77" s="3"/>
      <c r="V77" s="7">
        <f t="shared" si="49"/>
        <v>0</v>
      </c>
      <c r="W77" s="3"/>
      <c r="X77" s="8">
        <f t="shared" si="50"/>
        <v>295</v>
      </c>
      <c r="Y77" s="3"/>
      <c r="Z77" s="7">
        <f t="shared" si="51"/>
        <v>0</v>
      </c>
    </row>
    <row r="78" spans="1:26" s="24" customFormat="1" hidden="1" outlineLevel="2" x14ac:dyDescent="0.3">
      <c r="A78" s="29"/>
      <c r="B78" s="11" t="str">
        <f>CONCATENATE("          ", "6309", " - ", "TELEPHONE")</f>
        <v xml:space="preserve">          6309 - TELEPHONE</v>
      </c>
      <c r="C78" s="11"/>
      <c r="D78" s="8">
        <v>312.39999999999998</v>
      </c>
      <c r="E78" s="3"/>
      <c r="F78" s="7">
        <f t="shared" si="44"/>
        <v>5.5585606103740817E-3</v>
      </c>
      <c r="G78" s="3"/>
      <c r="H78" s="8">
        <v>350</v>
      </c>
      <c r="I78" s="3"/>
      <c r="J78" s="7">
        <f t="shared" si="45"/>
        <v>4.9065649839485229E-3</v>
      </c>
      <c r="K78" s="3"/>
      <c r="L78" s="8">
        <f t="shared" si="46"/>
        <v>-37.600000000000023</v>
      </c>
      <c r="M78" s="3"/>
      <c r="N78" s="7">
        <f t="shared" si="47"/>
        <v>-0.1074285714285715</v>
      </c>
      <c r="O78" s="11"/>
      <c r="P78" s="8">
        <v>312.39999999999998</v>
      </c>
      <c r="Q78" s="3"/>
      <c r="R78" s="7">
        <f t="shared" si="48"/>
        <v>5.5585606103740817E-3</v>
      </c>
      <c r="S78" s="3"/>
      <c r="T78" s="8">
        <v>350</v>
      </c>
      <c r="U78" s="3"/>
      <c r="V78" s="7">
        <f t="shared" si="49"/>
        <v>4.9065649839485229E-3</v>
      </c>
      <c r="W78" s="3"/>
      <c r="X78" s="8">
        <f t="shared" si="50"/>
        <v>-37.600000000000023</v>
      </c>
      <c r="Y78" s="3"/>
      <c r="Z78" s="7">
        <f t="shared" si="51"/>
        <v>-0.1074285714285715</v>
      </c>
    </row>
    <row r="79" spans="1:26" s="62" customFormat="1" x14ac:dyDescent="0.3">
      <c r="A79" s="36"/>
      <c r="B79" s="36"/>
      <c r="C79" s="36"/>
      <c r="D79" s="1"/>
      <c r="E79" s="1"/>
      <c r="F79" s="5"/>
      <c r="G79" s="1"/>
      <c r="H79" s="1"/>
      <c r="I79" s="1"/>
      <c r="J79" s="5"/>
      <c r="K79" s="1"/>
      <c r="L79" s="1"/>
      <c r="M79" s="1"/>
      <c r="N79" s="5"/>
      <c r="O79" s="36"/>
      <c r="P79" s="1"/>
      <c r="Q79" s="1"/>
      <c r="R79" s="5"/>
      <c r="S79" s="1"/>
      <c r="T79" s="1"/>
      <c r="U79" s="1"/>
      <c r="V79" s="5"/>
      <c r="W79" s="1"/>
      <c r="X79" s="1"/>
      <c r="Y79" s="1"/>
      <c r="Z79" s="5"/>
    </row>
    <row r="80" spans="1:26" s="23" customFormat="1" collapsed="1" x14ac:dyDescent="0.3">
      <c r="A80" s="10"/>
      <c r="B80" s="25" t="s">
        <v>293</v>
      </c>
      <c r="C80" s="10"/>
      <c r="D80" s="4">
        <f>SUM(OSRRefD25x_0)</f>
        <v>631.93999999999994</v>
      </c>
      <c r="E80" s="4"/>
      <c r="F80" s="12">
        <f t="shared" ref="F80:F83" si="52">IF(D$12=0,0,D80/D$12)</f>
        <v>1.1244163867220861E-2</v>
      </c>
      <c r="G80" s="4"/>
      <c r="H80" s="4">
        <f>SUM(OSRRefH25x_0)</f>
        <v>2376</v>
      </c>
      <c r="I80" s="4"/>
      <c r="J80" s="12">
        <f t="shared" ref="J80:J83" si="53">IF(H$12=0,0,H80/H$12)</f>
        <v>3.3308566862461975E-2</v>
      </c>
      <c r="K80" s="4"/>
      <c r="L80" s="4">
        <f t="shared" ref="L80:L83" si="54">+D80-H80</f>
        <v>-1744.06</v>
      </c>
      <c r="M80" s="4"/>
      <c r="N80" s="12">
        <f t="shared" ref="N80:N83" si="55">IF(H80=0,0,L80/H80)</f>
        <v>-0.73403198653198654</v>
      </c>
      <c r="O80" s="10"/>
      <c r="P80" s="4">
        <f>SUM(OSRRefP25x_0)</f>
        <v>631.93999999999994</v>
      </c>
      <c r="Q80" s="4"/>
      <c r="R80" s="12">
        <f t="shared" ref="R80:R83" si="56">IF(P$12=0,0,P80/P$12)</f>
        <v>1.1244163867220861E-2</v>
      </c>
      <c r="S80" s="4"/>
      <c r="T80" s="4">
        <f>SUM(OSRRefT25x_0)</f>
        <v>2376</v>
      </c>
      <c r="U80" s="4"/>
      <c r="V80" s="12">
        <f t="shared" ref="V80:V83" si="57">IF(T$12=0,0,T80/T$12)</f>
        <v>3.3308566862461975E-2</v>
      </c>
      <c r="W80" s="4"/>
      <c r="X80" s="4">
        <f t="shared" ref="X80:X83" si="58">+P80-T80</f>
        <v>-1744.06</v>
      </c>
      <c r="Y80" s="4"/>
      <c r="Z80" s="12">
        <f t="shared" ref="Z80:Z83" si="59">IF(T80=0,0,X80/T80)</f>
        <v>-0.73403198653198654</v>
      </c>
    </row>
    <row r="81" spans="1:26" s="24" customFormat="1" hidden="1" outlineLevel="1" x14ac:dyDescent="0.3">
      <c r="A81" s="44"/>
      <c r="B81" s="11" t="str">
        <f>CONCATENATE("          ", "9150", " - ", "MISC. INCOME")</f>
        <v xml:space="preserve">          9150 - MISC. INCOME</v>
      </c>
      <c r="C81" s="11"/>
      <c r="D81" s="3">
        <f>--565.02</f>
        <v>565.02</v>
      </c>
      <c r="E81" s="3"/>
      <c r="F81" s="19">
        <f t="shared" si="52"/>
        <v>1.0053450435574788E-2</v>
      </c>
      <c r="G81" s="3"/>
      <c r="H81" s="3">
        <v>2376</v>
      </c>
      <c r="I81" s="3"/>
      <c r="J81" s="19">
        <f t="shared" si="53"/>
        <v>3.3308566862461975E-2</v>
      </c>
      <c r="K81" s="3"/>
      <c r="L81" s="3">
        <f t="shared" si="54"/>
        <v>-1810.98</v>
      </c>
      <c r="M81" s="3"/>
      <c r="N81" s="19">
        <f t="shared" si="55"/>
        <v>-0.76219696969696971</v>
      </c>
      <c r="O81" s="11"/>
      <c r="P81" s="3">
        <f>--565.02</f>
        <v>565.02</v>
      </c>
      <c r="Q81" s="3"/>
      <c r="R81" s="19">
        <f t="shared" si="56"/>
        <v>1.0053450435574788E-2</v>
      </c>
      <c r="S81" s="3"/>
      <c r="T81" s="3">
        <v>2376</v>
      </c>
      <c r="U81" s="3"/>
      <c r="V81" s="19">
        <f t="shared" si="57"/>
        <v>3.3308566862461975E-2</v>
      </c>
      <c r="W81" s="3"/>
      <c r="X81" s="3">
        <f t="shared" si="58"/>
        <v>-1810.98</v>
      </c>
      <c r="Y81" s="3"/>
      <c r="Z81" s="19">
        <f t="shared" si="59"/>
        <v>-0.76219696969696971</v>
      </c>
    </row>
    <row r="82" spans="1:26" s="24" customFormat="1" hidden="1" outlineLevel="1" x14ac:dyDescent="0.3">
      <c r="A82" s="44"/>
      <c r="B82" s="11" t="str">
        <f>CONCATENATE("          ", "9152", " - ", "MISC. INCOME")</f>
        <v xml:space="preserve">          9152 - MISC. INCOME</v>
      </c>
      <c r="C82" s="11"/>
      <c r="D82" s="3">
        <f>--66.92</f>
        <v>66.92</v>
      </c>
      <c r="E82" s="3"/>
      <c r="F82" s="19">
        <f t="shared" si="52"/>
        <v>1.1907134316460743E-3</v>
      </c>
      <c r="G82" s="3"/>
      <c r="H82" s="3"/>
      <c r="I82" s="3"/>
      <c r="J82" s="19">
        <f t="shared" si="53"/>
        <v>0</v>
      </c>
      <c r="K82" s="3"/>
      <c r="L82" s="3">
        <f t="shared" si="54"/>
        <v>66.92</v>
      </c>
      <c r="M82" s="3"/>
      <c r="N82" s="19">
        <f t="shared" si="55"/>
        <v>0</v>
      </c>
      <c r="O82" s="11"/>
      <c r="P82" s="3">
        <f>--66.92</f>
        <v>66.92</v>
      </c>
      <c r="Q82" s="3"/>
      <c r="R82" s="19">
        <f t="shared" si="56"/>
        <v>1.1907134316460743E-3</v>
      </c>
      <c r="S82" s="3"/>
      <c r="T82" s="3"/>
      <c r="U82" s="3"/>
      <c r="V82" s="19">
        <f t="shared" si="57"/>
        <v>0</v>
      </c>
      <c r="W82" s="3"/>
      <c r="X82" s="3">
        <f t="shared" si="58"/>
        <v>66.92</v>
      </c>
      <c r="Y82" s="3"/>
      <c r="Z82" s="19">
        <f t="shared" si="59"/>
        <v>0</v>
      </c>
    </row>
    <row r="83" spans="1:26" s="24" customFormat="1" hidden="1" outlineLevel="1" x14ac:dyDescent="0.3">
      <c r="A83" s="44"/>
      <c r="B83" s="11" t="str">
        <f>CONCATENATE("          ", "9160", " - ", "MISC. INCOME")</f>
        <v xml:space="preserve">          9160 - MISC. INCOME</v>
      </c>
      <c r="C83" s="11"/>
      <c r="D83" s="3">
        <f>0</f>
        <v>0</v>
      </c>
      <c r="E83" s="3"/>
      <c r="F83" s="19">
        <f t="shared" si="52"/>
        <v>0</v>
      </c>
      <c r="G83" s="3"/>
      <c r="H83" s="3">
        <v>0</v>
      </c>
      <c r="I83" s="3"/>
      <c r="J83" s="19">
        <f t="shared" si="53"/>
        <v>0</v>
      </c>
      <c r="K83" s="3"/>
      <c r="L83" s="3">
        <f t="shared" si="54"/>
        <v>0</v>
      </c>
      <c r="M83" s="3"/>
      <c r="N83" s="19">
        <f t="shared" si="55"/>
        <v>0</v>
      </c>
      <c r="O83" s="11"/>
      <c r="P83" s="3">
        <f>0</f>
        <v>0</v>
      </c>
      <c r="Q83" s="3"/>
      <c r="R83" s="19">
        <f t="shared" si="56"/>
        <v>0</v>
      </c>
      <c r="S83" s="3"/>
      <c r="T83" s="3">
        <v>0</v>
      </c>
      <c r="U83" s="3"/>
      <c r="V83" s="19">
        <f t="shared" si="57"/>
        <v>0</v>
      </c>
      <c r="W83" s="3"/>
      <c r="X83" s="3">
        <f t="shared" si="58"/>
        <v>0</v>
      </c>
      <c r="Y83" s="3"/>
      <c r="Z83" s="19">
        <f t="shared" si="59"/>
        <v>0</v>
      </c>
    </row>
    <row r="84" spans="1:26" x14ac:dyDescent="0.3">
      <c r="A84" s="9"/>
      <c r="B84" s="10"/>
      <c r="C84" s="10"/>
      <c r="D84" s="2"/>
      <c r="E84" s="2"/>
      <c r="F84" s="6"/>
      <c r="G84" s="2"/>
      <c r="H84" s="2"/>
      <c r="I84" s="2"/>
      <c r="J84" s="6"/>
      <c r="K84" s="2"/>
      <c r="L84" s="2"/>
      <c r="M84" s="2"/>
      <c r="N84" s="6"/>
      <c r="O84" s="10"/>
      <c r="P84" s="2"/>
      <c r="Q84" s="2"/>
      <c r="R84" s="6"/>
      <c r="S84" s="2"/>
      <c r="T84" s="2"/>
      <c r="U84" s="2"/>
      <c r="V84" s="6"/>
      <c r="W84" s="2"/>
      <c r="X84" s="2"/>
      <c r="Y84" s="2"/>
      <c r="Z84" s="6"/>
    </row>
    <row r="85" spans="1:26" s="23" customFormat="1" x14ac:dyDescent="0.3">
      <c r="A85" s="10"/>
      <c r="B85" s="26" t="s">
        <v>277</v>
      </c>
      <c r="C85" s="26"/>
      <c r="D85" s="21">
        <f>+D30-D32+D80</f>
        <v>-34998.920000000035</v>
      </c>
      <c r="E85" s="13"/>
      <c r="F85" s="22">
        <f>IF(D$12=0,0,D85/D$12)</f>
        <v>-0.62273885440983945</v>
      </c>
      <c r="G85" s="13"/>
      <c r="H85" s="21">
        <f>+H30-H32+H80</f>
        <v>-32533.413568737196</v>
      </c>
      <c r="I85" s="13"/>
      <c r="J85" s="22">
        <f>IF(H$12=0,0,H85/H$12)</f>
        <v>-0.4560780223562334</v>
      </c>
      <c r="K85" s="16"/>
      <c r="L85" s="21">
        <f>+D85-H85</f>
        <v>-2465.5064312628383</v>
      </c>
      <c r="M85" s="16"/>
      <c r="N85" s="22">
        <f>IF(H85=0,0,L85/H85)</f>
        <v>7.5783822255653277E-2</v>
      </c>
      <c r="O85" s="25"/>
      <c r="P85" s="21">
        <f>+P30-P32+P80</f>
        <v>-34998.920000000035</v>
      </c>
      <c r="Q85" s="13"/>
      <c r="R85" s="22">
        <f>IF(P$12=0,0,P85/P$12)</f>
        <v>-0.62273885440983945</v>
      </c>
      <c r="S85" s="13"/>
      <c r="T85" s="21">
        <f>+T30-T32+T80</f>
        <v>-32533.413568737196</v>
      </c>
      <c r="U85" s="13"/>
      <c r="V85" s="22">
        <f>IF(T$12=0,0,T85/T$12)</f>
        <v>-0.4560780223562334</v>
      </c>
      <c r="W85" s="16"/>
      <c r="X85" s="21">
        <f>+P85-T85</f>
        <v>-2465.5064312628383</v>
      </c>
      <c r="Y85" s="16"/>
      <c r="Z85" s="22">
        <f>IF(T85=0,0,X85/T85)</f>
        <v>7.5783822255653277E-2</v>
      </c>
    </row>
    <row r="86" spans="1:26" x14ac:dyDescent="0.3">
      <c r="A86" s="9"/>
      <c r="B86" s="10"/>
      <c r="C86" s="9"/>
      <c r="D86" s="2"/>
      <c r="E86" s="2"/>
      <c r="F86" s="6"/>
      <c r="G86" s="2"/>
      <c r="H86" s="2"/>
      <c r="I86" s="2"/>
      <c r="J86" s="6"/>
      <c r="K86" s="2"/>
      <c r="L86" s="2"/>
      <c r="M86" s="2"/>
      <c r="N86" s="6"/>
      <c r="P86" s="2"/>
      <c r="Q86" s="2"/>
      <c r="R86" s="6"/>
      <c r="S86" s="2"/>
      <c r="T86" s="2"/>
      <c r="U86" s="2"/>
      <c r="V86" s="6"/>
      <c r="W86" s="2"/>
      <c r="X86" s="2"/>
      <c r="Y86" s="2"/>
      <c r="Z86" s="6"/>
    </row>
    <row r="87" spans="1:26" s="23" customFormat="1" x14ac:dyDescent="0.3">
      <c r="A87" s="52"/>
      <c r="B87" s="10" t="s">
        <v>128</v>
      </c>
      <c r="C87" s="10"/>
      <c r="D87" s="4">
        <v>25964.91</v>
      </c>
      <c r="E87" s="4"/>
      <c r="F87" s="12">
        <f>IF(D$12=0,0,D87/D$12)</f>
        <v>0.46199592182428972</v>
      </c>
      <c r="G87" s="4"/>
      <c r="H87" s="4">
        <v>25833</v>
      </c>
      <c r="I87" s="4"/>
      <c r="J87" s="12">
        <f>IF(H$12=0,0,H87/H$12)</f>
        <v>0.362146552086692</v>
      </c>
      <c r="K87" s="4"/>
      <c r="L87" s="4">
        <f>+D87-H87</f>
        <v>131.90999999999985</v>
      </c>
      <c r="M87" s="4"/>
      <c r="N87" s="12">
        <f>IF(H87=0,0,L87/H87)</f>
        <v>5.1062594356056151E-3</v>
      </c>
      <c r="O87" s="10"/>
      <c r="P87" s="4">
        <v>25964.91</v>
      </c>
      <c r="Q87" s="4"/>
      <c r="R87" s="12">
        <f>IF(P$12=0,0,P87/P$12)</f>
        <v>0.46199592182428972</v>
      </c>
      <c r="S87" s="4"/>
      <c r="T87" s="4">
        <v>25833</v>
      </c>
      <c r="U87" s="4"/>
      <c r="V87" s="12">
        <f>IF(T$12=0,0,T87/T$12)</f>
        <v>0.362146552086692</v>
      </c>
      <c r="W87" s="4"/>
      <c r="X87" s="4">
        <f>+P87-T87</f>
        <v>131.90999999999985</v>
      </c>
      <c r="Y87" s="4"/>
      <c r="Z87" s="12">
        <f>IF(T87=0,0,X87/T87)</f>
        <v>5.1062594356056151E-3</v>
      </c>
    </row>
    <row r="88" spans="1:26" x14ac:dyDescent="0.3">
      <c r="A88" s="9"/>
      <c r="B88" s="10"/>
      <c r="C88" s="10"/>
      <c r="D88" s="2"/>
      <c r="E88" s="2"/>
      <c r="F88" s="6"/>
      <c r="G88" s="2"/>
      <c r="H88" s="2"/>
      <c r="I88" s="2"/>
      <c r="J88" s="6"/>
      <c r="K88" s="2"/>
      <c r="L88" s="2"/>
      <c r="M88" s="2"/>
      <c r="N88" s="6"/>
      <c r="O88" s="10"/>
      <c r="P88" s="2"/>
      <c r="Q88" s="2"/>
      <c r="R88" s="6"/>
      <c r="S88" s="2"/>
      <c r="T88" s="2"/>
      <c r="U88" s="2"/>
      <c r="V88" s="6"/>
      <c r="W88" s="2"/>
      <c r="X88" s="2"/>
      <c r="Y88" s="2"/>
      <c r="Z88" s="6"/>
    </row>
    <row r="89" spans="1:26" s="23" customFormat="1" ht="15" thickBot="1" x14ac:dyDescent="0.35">
      <c r="A89" s="10"/>
      <c r="B89" s="26" t="s">
        <v>126</v>
      </c>
      <c r="C89" s="26"/>
      <c r="D89" s="35">
        <f>+D85-D87</f>
        <v>-60963.830000000031</v>
      </c>
      <c r="E89" s="13"/>
      <c r="F89" s="30">
        <f>IF(D$12=0,0,D89/D$12)</f>
        <v>-1.0847347762341291</v>
      </c>
      <c r="G89" s="13"/>
      <c r="H89" s="35">
        <f>+H85-H87</f>
        <v>-58366.413568737196</v>
      </c>
      <c r="I89" s="13"/>
      <c r="J89" s="30">
        <f>IF(H$12=0,0,H89/H$12)</f>
        <v>-0.8182245744429254</v>
      </c>
      <c r="K89" s="16"/>
      <c r="L89" s="35">
        <f>D89-H89</f>
        <v>-2597.4164312628345</v>
      </c>
      <c r="M89" s="16"/>
      <c r="N89" s="30">
        <f>IF(H89=0,0,L89/H89)</f>
        <v>4.4501902249037426E-2</v>
      </c>
      <c r="O89" s="25"/>
      <c r="P89" s="35">
        <f>+P85-P87</f>
        <v>-60963.830000000031</v>
      </c>
      <c r="Q89" s="13"/>
      <c r="R89" s="30">
        <f>IF(P$12=0,0,P89/P$12)</f>
        <v>-1.0847347762341291</v>
      </c>
      <c r="S89" s="13"/>
      <c r="T89" s="35">
        <f>+T85-T87</f>
        <v>-58366.413568737196</v>
      </c>
      <c r="U89" s="13"/>
      <c r="V89" s="30">
        <f>IF(T$12=0,0,T89/T$12)</f>
        <v>-0.8182245744429254</v>
      </c>
      <c r="W89" s="16"/>
      <c r="X89" s="35">
        <f>P89-T89</f>
        <v>-2597.4164312628345</v>
      </c>
      <c r="Y89" s="16"/>
      <c r="Z89" s="30">
        <f>IF(T89=0,0,X89/T89)</f>
        <v>4.4501902249037426E-2</v>
      </c>
    </row>
    <row r="90" spans="1:26" ht="15" thickTop="1" x14ac:dyDescent="0.3">
      <c r="A90" s="9"/>
      <c r="B90" s="9"/>
      <c r="C90" s="9"/>
      <c r="D90" s="2"/>
      <c r="E90" s="2"/>
      <c r="F90" s="6"/>
      <c r="G90" s="2"/>
      <c r="H90" s="2"/>
      <c r="I90" s="2"/>
      <c r="J90" s="6"/>
      <c r="K90" s="2"/>
      <c r="L90" s="2"/>
      <c r="M90" s="2"/>
      <c r="N90" s="6"/>
      <c r="P90" s="2"/>
      <c r="Q90" s="2"/>
      <c r="R90" s="6"/>
      <c r="S90" s="2"/>
      <c r="T90" s="2"/>
      <c r="U90" s="2"/>
      <c r="V90" s="6"/>
      <c r="W90" s="2"/>
      <c r="X90" s="2"/>
      <c r="Y90" s="2"/>
      <c r="Z90" s="6"/>
    </row>
    <row r="91" spans="1:26" x14ac:dyDescent="0.3">
      <c r="A91" s="9"/>
      <c r="B91" s="9"/>
      <c r="C91" s="9"/>
      <c r="D91" s="2"/>
      <c r="E91" s="2"/>
      <c r="F91" s="6"/>
      <c r="G91" s="2"/>
      <c r="H91" s="2"/>
      <c r="I91" s="2"/>
      <c r="J91" s="6"/>
      <c r="K91" s="2"/>
      <c r="L91" s="2"/>
      <c r="M91" s="2"/>
      <c r="N91" s="6"/>
      <c r="P91" s="2"/>
      <c r="Q91" s="2"/>
      <c r="R91" s="6"/>
      <c r="S91" s="2"/>
      <c r="T91" s="2"/>
      <c r="U91" s="2"/>
      <c r="V91" s="6"/>
      <c r="W91" s="2"/>
      <c r="X91" s="2"/>
      <c r="Y91" s="2"/>
      <c r="Z91" s="6"/>
    </row>
    <row r="92" spans="1:26" s="23" customFormat="1" ht="15" thickBot="1" x14ac:dyDescent="0.35">
      <c r="A92" s="10"/>
      <c r="B92" s="26" t="s">
        <v>294</v>
      </c>
      <c r="C92" s="26"/>
      <c r="D92" s="33">
        <f>SUM(D89:D91)</f>
        <v>-60963.830000000031</v>
      </c>
      <c r="E92" s="13"/>
      <c r="F92" s="31">
        <f>IF(D$12=0,0,D92/D$12)</f>
        <v>-1.0847347762341291</v>
      </c>
      <c r="G92" s="13"/>
      <c r="H92" s="33">
        <f>SUM(H89:H91)</f>
        <v>-58366.413568737196</v>
      </c>
      <c r="I92" s="13"/>
      <c r="J92" s="31">
        <f>IF(H$12=0,0,H92/H$12)</f>
        <v>-0.8182245744429254</v>
      </c>
      <c r="K92" s="16"/>
      <c r="L92" s="33">
        <f>+D92-H92</f>
        <v>-2597.4164312628345</v>
      </c>
      <c r="M92" s="16"/>
      <c r="N92" s="31">
        <f>IF(H92=0,0,L92/H92)</f>
        <v>4.4501902249037426E-2</v>
      </c>
      <c r="O92" s="25"/>
      <c r="P92" s="33">
        <f>SUM(P89:P91)</f>
        <v>-60963.830000000031</v>
      </c>
      <c r="Q92" s="13"/>
      <c r="R92" s="31">
        <f>IF(P$12=0,0,P92/P$12)</f>
        <v>-1.0847347762341291</v>
      </c>
      <c r="S92" s="13"/>
      <c r="T92" s="33">
        <f>SUM(T89:T91)</f>
        <v>-58366.413568737196</v>
      </c>
      <c r="U92" s="13"/>
      <c r="V92" s="31">
        <f>IF(T$12=0,0,T92/T$12)</f>
        <v>-0.8182245744429254</v>
      </c>
      <c r="W92" s="16"/>
      <c r="X92" s="33">
        <f>+P92-T92</f>
        <v>-2597.4164312628345</v>
      </c>
      <c r="Y92" s="16"/>
      <c r="Z92" s="31">
        <f>IF(T92=0,0,X92/T92)</f>
        <v>4.4501902249037426E-2</v>
      </c>
    </row>
    <row r="93" spans="1:26" ht="15" thickTop="1" x14ac:dyDescent="0.3">
      <c r="A93" s="9"/>
      <c r="C93" s="9"/>
      <c r="D93" s="18"/>
      <c r="E93" s="18"/>
      <c r="G93" s="18"/>
      <c r="H93" s="18"/>
      <c r="I93" s="18"/>
      <c r="J93" s="43"/>
      <c r="K93" s="18"/>
      <c r="L93" s="18"/>
      <c r="M93" s="18"/>
      <c r="P93" s="18"/>
      <c r="Q93" s="18"/>
      <c r="R93" s="43"/>
      <c r="S93" s="18"/>
      <c r="T93" s="18"/>
      <c r="U93" s="18"/>
      <c r="V93" s="43"/>
      <c r="W93" s="18"/>
      <c r="X93" s="18"/>
    </row>
    <row r="94" spans="1:26" x14ac:dyDescent="0.3">
      <c r="A94" s="9"/>
      <c r="B94" s="54">
        <v>44462.64548684028</v>
      </c>
      <c r="D94" s="18"/>
      <c r="E94" s="18"/>
      <c r="G94" s="18"/>
      <c r="H94" s="18"/>
      <c r="I94" s="18"/>
      <c r="J94" s="43"/>
      <c r="K94" s="18"/>
      <c r="L94" s="18"/>
      <c r="M94" s="18"/>
      <c r="P94" s="18"/>
      <c r="Q94" s="18"/>
      <c r="R94" s="43"/>
      <c r="S94" s="18"/>
      <c r="T94" s="18"/>
      <c r="U94" s="18"/>
      <c r="V94" s="43"/>
      <c r="W94" s="18"/>
      <c r="X94" s="18"/>
    </row>
    <row r="95" spans="1:26" x14ac:dyDescent="0.3">
      <c r="A95" s="9"/>
      <c r="B95" s="59" t="s">
        <v>56</v>
      </c>
      <c r="D95" s="18"/>
      <c r="E95" s="18"/>
      <c r="G95" s="18"/>
      <c r="H95" s="18"/>
      <c r="I95" s="18"/>
      <c r="J95" s="43"/>
      <c r="K95" s="18"/>
      <c r="L95" s="18"/>
      <c r="M95" s="18"/>
      <c r="P95" s="18"/>
      <c r="Q95" s="18"/>
      <c r="R95" s="43"/>
      <c r="S95" s="18"/>
      <c r="T95" s="18"/>
      <c r="U95" s="18"/>
      <c r="V95" s="43"/>
      <c r="W95" s="18"/>
      <c r="X95" s="18"/>
    </row>
    <row r="96" spans="1:26" x14ac:dyDescent="0.3">
      <c r="A96" s="9"/>
      <c r="B96" s="55"/>
      <c r="D96" s="18"/>
      <c r="E96" s="18"/>
      <c r="G96" s="18"/>
      <c r="H96" s="18"/>
      <c r="I96" s="18"/>
      <c r="J96" s="43"/>
      <c r="K96" s="18"/>
      <c r="L96" s="18"/>
      <c r="M96" s="18"/>
      <c r="P96" s="18"/>
      <c r="Q96" s="18"/>
      <c r="R96" s="43"/>
      <c r="S96" s="18"/>
      <c r="T96" s="18"/>
      <c r="U96" s="18"/>
      <c r="V96" s="43"/>
      <c r="W96" s="18"/>
      <c r="X96" s="18"/>
    </row>
    <row r="97" spans="4:24" x14ac:dyDescent="0.3">
      <c r="D97" s="18"/>
      <c r="E97" s="18"/>
      <c r="G97" s="18"/>
      <c r="H97" s="18"/>
      <c r="I97" s="18"/>
      <c r="J97" s="43"/>
      <c r="K97" s="18"/>
      <c r="L97" s="18"/>
      <c r="M97" s="18"/>
      <c r="P97" s="18"/>
      <c r="Q97" s="18"/>
      <c r="R97" s="43"/>
      <c r="S97" s="18"/>
      <c r="T97" s="18"/>
      <c r="U97" s="18"/>
      <c r="V97" s="43"/>
      <c r="W97" s="18"/>
      <c r="X97" s="18"/>
    </row>
  </sheetData>
  <pageMargins left="0.25" right="0.25" top="0.75" bottom="0.75" header="0.3" footer="0.3"/>
  <pageSetup scale="55" fitToWidth="2" orientation="landscape"/>
  <drawing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>
    <tabColor rgb="FF92D050"/>
    <outlinePr summaryBelow="0" summaryRight="0"/>
  </sheetPr>
  <dimension ref="A2:Z37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1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50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7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50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7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7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7" customWidth="1" outlineLevel="1"/>
  </cols>
  <sheetData>
    <row r="2" spans="1:26" x14ac:dyDescent="0.3">
      <c r="D2" s="57" t="s">
        <v>23</v>
      </c>
    </row>
    <row r="3" spans="1:26" x14ac:dyDescent="0.3">
      <c r="D3" s="57" t="s">
        <v>237</v>
      </c>
      <c r="E3" s="17"/>
      <c r="F3" s="51"/>
      <c r="G3" s="17"/>
      <c r="H3" s="17"/>
      <c r="I3" s="17"/>
      <c r="J3" s="39"/>
      <c r="K3" s="17"/>
      <c r="L3" s="17"/>
      <c r="M3" s="17"/>
      <c r="N3" s="51"/>
      <c r="O3" s="61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3">
      <c r="D4" s="57" t="str">
        <f>CONCATENATE("Period ",RIGHT(202201,2),", ",2022)</f>
        <v>Period 01, 2022</v>
      </c>
      <c r="E4" s="17"/>
      <c r="F4" s="51"/>
      <c r="G4" s="17"/>
      <c r="H4" s="17"/>
      <c r="I4" s="17"/>
      <c r="J4" s="39"/>
      <c r="K4" s="17"/>
      <c r="L4" s="17"/>
      <c r="M4" s="17"/>
      <c r="N4" s="51"/>
      <c r="O4" s="61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3">
      <c r="A5" s="23"/>
      <c r="D5" s="64">
        <v>44408</v>
      </c>
      <c r="E5" s="17"/>
      <c r="F5" s="51"/>
      <c r="G5" s="17"/>
      <c r="H5" s="17"/>
      <c r="I5" s="17"/>
      <c r="J5" s="39"/>
      <c r="K5" s="17"/>
      <c r="L5" s="17"/>
      <c r="M5" s="17"/>
      <c r="N5" s="51"/>
      <c r="O5" s="61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3">
      <c r="A6" s="23"/>
      <c r="B6" s="47"/>
      <c r="C6" s="47"/>
      <c r="D6" s="23" t="str">
        <f>CONCATENATE("Department ","324", " - ", "Textbook Rental")</f>
        <v>Department 324 - Textbook Rental</v>
      </c>
      <c r="E6" s="17"/>
      <c r="F6" s="51"/>
      <c r="G6" s="17"/>
      <c r="H6" s="17"/>
      <c r="I6" s="17"/>
      <c r="J6" s="39"/>
      <c r="K6" s="17"/>
      <c r="L6" s="17"/>
      <c r="M6" s="17"/>
      <c r="N6" s="51"/>
      <c r="O6" s="60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3">
      <c r="B7" s="63"/>
    </row>
    <row r="8" spans="1:26" x14ac:dyDescent="0.3">
      <c r="B8" s="63"/>
    </row>
    <row r="9" spans="1:26" x14ac:dyDescent="0.3">
      <c r="B9" s="9"/>
      <c r="C9" s="9"/>
      <c r="D9" s="15" t="s">
        <v>292</v>
      </c>
      <c r="E9" s="15"/>
      <c r="F9" s="38"/>
      <c r="G9" s="15"/>
      <c r="H9" s="15"/>
      <c r="I9" s="15"/>
      <c r="J9" s="49"/>
      <c r="K9" s="15"/>
      <c r="L9" s="15"/>
      <c r="M9" s="15"/>
      <c r="N9" s="38"/>
      <c r="P9" s="15" t="s">
        <v>39</v>
      </c>
      <c r="Q9" s="15"/>
      <c r="R9" s="38"/>
      <c r="S9" s="15"/>
      <c r="T9" s="15"/>
      <c r="U9" s="15"/>
      <c r="V9" s="49"/>
      <c r="W9" s="15"/>
      <c r="X9" s="15"/>
      <c r="Y9" s="15"/>
      <c r="Z9" s="38"/>
    </row>
    <row r="10" spans="1:26" x14ac:dyDescent="0.3">
      <c r="A10" s="10"/>
      <c r="B10" s="53"/>
      <c r="C10" s="10"/>
      <c r="D10" s="42" t="s">
        <v>57</v>
      </c>
      <c r="E10" s="34"/>
      <c r="F10" s="40" t="s">
        <v>40</v>
      </c>
      <c r="G10" s="34"/>
      <c r="H10" s="45" t="s">
        <v>238</v>
      </c>
      <c r="I10" s="34"/>
      <c r="J10" s="48" t="s">
        <v>58</v>
      </c>
      <c r="K10" s="10"/>
      <c r="L10" s="42" t="s">
        <v>127</v>
      </c>
      <c r="M10" s="10"/>
      <c r="N10" s="40" t="s">
        <v>258</v>
      </c>
      <c r="O10" s="10"/>
      <c r="P10" s="56" t="s">
        <v>57</v>
      </c>
      <c r="Q10" s="34"/>
      <c r="R10" s="40" t="s">
        <v>40</v>
      </c>
      <c r="S10" s="34"/>
      <c r="T10" s="45" t="s">
        <v>238</v>
      </c>
      <c r="U10" s="34"/>
      <c r="V10" s="48" t="s">
        <v>58</v>
      </c>
      <c r="W10" s="10"/>
      <c r="X10" s="42" t="s">
        <v>127</v>
      </c>
      <c r="Y10" s="10"/>
      <c r="Z10" s="40" t="s">
        <v>258</v>
      </c>
    </row>
    <row r="11" spans="1:26" ht="15.6" x14ac:dyDescent="0.3">
      <c r="A11" s="9"/>
      <c r="B11" s="58"/>
      <c r="C11" s="9"/>
      <c r="D11" s="9"/>
      <c r="E11" s="9"/>
      <c r="F11" s="6"/>
      <c r="G11" s="9"/>
      <c r="H11" s="9"/>
      <c r="I11" s="9"/>
      <c r="J11" s="46"/>
      <c r="K11" s="9"/>
      <c r="L11" s="9"/>
      <c r="M11" s="9"/>
      <c r="N11" s="6"/>
      <c r="P11" s="9"/>
      <c r="Q11" s="9"/>
      <c r="R11" s="6"/>
      <c r="S11" s="9"/>
      <c r="T11" s="9"/>
      <c r="U11" s="9"/>
      <c r="V11" s="46"/>
      <c r="W11" s="9"/>
      <c r="X11" s="9"/>
      <c r="Y11" s="9"/>
      <c r="Z11" s="6"/>
    </row>
    <row r="12" spans="1:26" s="23" customFormat="1" collapsed="1" x14ac:dyDescent="0.3">
      <c r="A12" s="10"/>
      <c r="B12" s="25" t="s">
        <v>140</v>
      </c>
      <c r="C12" s="10"/>
      <c r="D12" s="4">
        <f>SUM(OSRRefD13x_0)</f>
        <v>5913.22</v>
      </c>
      <c r="E12" s="4"/>
      <c r="F12" s="12"/>
      <c r="G12" s="4"/>
      <c r="H12" s="4">
        <f>SUM(OSRRefH13x_0)</f>
        <v>14227</v>
      </c>
      <c r="I12" s="4"/>
      <c r="J12" s="12"/>
      <c r="K12" s="4"/>
      <c r="L12" s="4">
        <f t="shared" ref="L12:L14" si="0">+D12-H12</f>
        <v>-8313.7799999999988</v>
      </c>
      <c r="M12" s="4"/>
      <c r="N12" s="12">
        <f t="shared" ref="N12:N14" si="1">IF(H12=0,0,L12/H12)</f>
        <v>-0.58436634568074775</v>
      </c>
      <c r="O12" s="10"/>
      <c r="P12" s="4">
        <f>SUM(OSRRefP13x_0)</f>
        <v>5913.22</v>
      </c>
      <c r="Q12" s="4"/>
      <c r="R12" s="12"/>
      <c r="S12" s="4"/>
      <c r="T12" s="4">
        <f>SUM(OSRRefT13x_0)</f>
        <v>14227</v>
      </c>
      <c r="U12" s="4"/>
      <c r="V12" s="12"/>
      <c r="W12" s="4"/>
      <c r="X12" s="4">
        <f t="shared" ref="X12:X14" si="2">+P12-T12</f>
        <v>-8313.7799999999988</v>
      </c>
      <c r="Y12" s="4"/>
      <c r="Z12" s="12">
        <f t="shared" ref="Z12:Z14" si="3">IF(T12=0,0,X12/T12)</f>
        <v>-0.58436634568074775</v>
      </c>
    </row>
    <row r="13" spans="1:26" s="24" customFormat="1" hidden="1" outlineLevel="1" x14ac:dyDescent="0.3">
      <c r="A13" s="44"/>
      <c r="B13" s="11" t="str">
        <f>CONCATENATE("          ", "4000", " - ", "TAXABLE SALES")</f>
        <v xml:space="preserve">          4000 - TAXABLE SALES</v>
      </c>
      <c r="C13" s="11"/>
      <c r="D13" s="3">
        <f>--3909.05</f>
        <v>3909.05</v>
      </c>
      <c r="E13" s="3"/>
      <c r="F13" s="19"/>
      <c r="G13" s="3"/>
      <c r="H13" s="3">
        <v>14227</v>
      </c>
      <c r="I13" s="3"/>
      <c r="J13" s="19"/>
      <c r="K13" s="3"/>
      <c r="L13" s="3">
        <f t="shared" si="0"/>
        <v>-10317.950000000001</v>
      </c>
      <c r="M13" s="3"/>
      <c r="N13" s="19">
        <f t="shared" si="1"/>
        <v>-0.72523722499472842</v>
      </c>
      <c r="O13" s="11"/>
      <c r="P13" s="3">
        <f>--3909.05</f>
        <v>3909.05</v>
      </c>
      <c r="Q13" s="3"/>
      <c r="R13" s="19"/>
      <c r="S13" s="3"/>
      <c r="T13" s="3">
        <v>14227</v>
      </c>
      <c r="U13" s="3"/>
      <c r="V13" s="19"/>
      <c r="W13" s="3"/>
      <c r="X13" s="3">
        <f t="shared" si="2"/>
        <v>-10317.950000000001</v>
      </c>
      <c r="Y13" s="3"/>
      <c r="Z13" s="19">
        <f t="shared" si="3"/>
        <v>-0.72523722499472842</v>
      </c>
    </row>
    <row r="14" spans="1:26" s="24" customFormat="1" hidden="1" outlineLevel="1" x14ac:dyDescent="0.3">
      <c r="A14" s="44"/>
      <c r="B14" s="11" t="str">
        <f>CONCATENATE("          ", "4100", " - ", "NON-TAXABLE SALES")</f>
        <v xml:space="preserve">          4100 - NON-TAXABLE SALES</v>
      </c>
      <c r="C14" s="11"/>
      <c r="D14" s="3">
        <f>--2004.17</f>
        <v>2004.17</v>
      </c>
      <c r="E14" s="3"/>
      <c r="F14" s="19"/>
      <c r="G14" s="3"/>
      <c r="H14" s="3"/>
      <c r="I14" s="3"/>
      <c r="J14" s="19"/>
      <c r="K14" s="3"/>
      <c r="L14" s="3">
        <f t="shared" si="0"/>
        <v>2004.17</v>
      </c>
      <c r="M14" s="3"/>
      <c r="N14" s="19">
        <f t="shared" si="1"/>
        <v>0</v>
      </c>
      <c r="O14" s="11"/>
      <c r="P14" s="3">
        <f>--2004.17</f>
        <v>2004.17</v>
      </c>
      <c r="Q14" s="3"/>
      <c r="R14" s="19"/>
      <c r="S14" s="3"/>
      <c r="T14" s="3"/>
      <c r="U14" s="3"/>
      <c r="V14" s="19"/>
      <c r="W14" s="3"/>
      <c r="X14" s="3">
        <f t="shared" si="2"/>
        <v>2004.17</v>
      </c>
      <c r="Y14" s="3"/>
      <c r="Z14" s="19">
        <f t="shared" si="3"/>
        <v>0</v>
      </c>
    </row>
    <row r="15" spans="1:26" x14ac:dyDescent="0.3">
      <c r="A15" s="9"/>
      <c r="B15" s="10"/>
      <c r="C15" s="9"/>
      <c r="D15" s="2"/>
      <c r="E15" s="2"/>
      <c r="F15" s="6"/>
      <c r="G15" s="2"/>
      <c r="H15" s="2"/>
      <c r="I15" s="2"/>
      <c r="J15" s="6"/>
      <c r="K15" s="2"/>
      <c r="L15" s="2"/>
      <c r="M15" s="2"/>
      <c r="N15" s="6"/>
      <c r="P15" s="2"/>
      <c r="Q15" s="2"/>
      <c r="R15" s="6"/>
      <c r="S15" s="2"/>
      <c r="T15" s="2"/>
      <c r="U15" s="2"/>
      <c r="V15" s="6"/>
      <c r="W15" s="2"/>
      <c r="X15" s="2"/>
      <c r="Y15" s="2"/>
      <c r="Z15" s="6"/>
    </row>
    <row r="16" spans="1:26" s="23" customFormat="1" collapsed="1" x14ac:dyDescent="0.3">
      <c r="A16" s="10"/>
      <c r="B16" s="25" t="s">
        <v>257</v>
      </c>
      <c r="C16" s="10"/>
      <c r="D16" s="4">
        <f>SUM(OSRRefD16x_0)</f>
        <v>2010.03</v>
      </c>
      <c r="E16" s="4"/>
      <c r="F16" s="12">
        <f t="shared" ref="F16:F17" si="4">IF(D$12=0,0,D16/D$12)</f>
        <v>0.33992139646419378</v>
      </c>
      <c r="G16" s="4"/>
      <c r="H16" s="4">
        <f>SUM(OSRRefH16x_0)</f>
        <v>10315</v>
      </c>
      <c r="I16" s="4"/>
      <c r="J16" s="12">
        <f t="shared" ref="J16:J17" si="5">IF(H$12=0,0,H16/H$12)</f>
        <v>0.72502987277711395</v>
      </c>
      <c r="K16" s="4"/>
      <c r="L16" s="4">
        <f t="shared" ref="L16:L17" si="6">+D16-H16</f>
        <v>-8304.9699999999993</v>
      </c>
      <c r="M16" s="4"/>
      <c r="N16" s="12">
        <f t="shared" ref="N16:N17" si="7">IF(H16=0,0,L16/H16)</f>
        <v>-0.80513523994183223</v>
      </c>
      <c r="O16" s="10"/>
      <c r="P16" s="4">
        <f>SUM(OSRRefP16x_0)</f>
        <v>2010.03</v>
      </c>
      <c r="Q16" s="4"/>
      <c r="R16" s="12">
        <f t="shared" ref="R16:R17" si="8">IF(P$12=0,0,P16/P$12)</f>
        <v>0.33992139646419378</v>
      </c>
      <c r="S16" s="4"/>
      <c r="T16" s="4">
        <f>SUM(OSRRefT16x_0)</f>
        <v>10315</v>
      </c>
      <c r="U16" s="4"/>
      <c r="V16" s="12">
        <f t="shared" ref="V16:V17" si="9">IF(T$12=0,0,T16/T$12)</f>
        <v>0.72502987277711395</v>
      </c>
      <c r="W16" s="4"/>
      <c r="X16" s="4">
        <f t="shared" ref="X16:X17" si="10">+P16-T16</f>
        <v>-8304.9699999999993</v>
      </c>
      <c r="Y16" s="4"/>
      <c r="Z16" s="12">
        <f t="shared" ref="Z16:Z17" si="11">IF(T16=0,0,X16/T16)</f>
        <v>-0.80513523994183223</v>
      </c>
    </row>
    <row r="17" spans="1:26" s="24" customFormat="1" hidden="1" outlineLevel="1" x14ac:dyDescent="0.3">
      <c r="A17" s="44"/>
      <c r="B17" s="11" t="str">
        <f>CONCATENATE("          ", "5000", " - ", "PURCHASES @ COST")</f>
        <v xml:space="preserve">          5000 - PURCHASES @ COST</v>
      </c>
      <c r="C17" s="11"/>
      <c r="D17" s="3">
        <v>2010.03</v>
      </c>
      <c r="E17" s="3"/>
      <c r="F17" s="19">
        <f t="shared" si="4"/>
        <v>0.33992139646419378</v>
      </c>
      <c r="G17" s="3"/>
      <c r="H17" s="3">
        <v>10315</v>
      </c>
      <c r="I17" s="3"/>
      <c r="J17" s="19">
        <f t="shared" si="5"/>
        <v>0.72502987277711395</v>
      </c>
      <c r="K17" s="3"/>
      <c r="L17" s="3">
        <f t="shared" si="6"/>
        <v>-8304.9699999999993</v>
      </c>
      <c r="M17" s="3"/>
      <c r="N17" s="19">
        <f t="shared" si="7"/>
        <v>-0.80513523994183223</v>
      </c>
      <c r="O17" s="11"/>
      <c r="P17" s="3">
        <v>2010.03</v>
      </c>
      <c r="Q17" s="3"/>
      <c r="R17" s="19">
        <f t="shared" si="8"/>
        <v>0.33992139646419378</v>
      </c>
      <c r="S17" s="3"/>
      <c r="T17" s="3">
        <v>10315</v>
      </c>
      <c r="U17" s="3"/>
      <c r="V17" s="19">
        <f t="shared" si="9"/>
        <v>0.72502987277711395</v>
      </c>
      <c r="W17" s="3"/>
      <c r="X17" s="3">
        <f t="shared" si="10"/>
        <v>-8304.9699999999993</v>
      </c>
      <c r="Y17" s="3"/>
      <c r="Z17" s="19">
        <f t="shared" si="11"/>
        <v>-0.80513523994183223</v>
      </c>
    </row>
    <row r="18" spans="1:26" x14ac:dyDescent="0.3">
      <c r="A18" s="9"/>
      <c r="B18" s="10"/>
      <c r="C18" s="10"/>
      <c r="D18" s="2"/>
      <c r="E18" s="2"/>
      <c r="F18" s="6"/>
      <c r="G18" s="2"/>
      <c r="H18" s="2"/>
      <c r="I18" s="2"/>
      <c r="J18" s="6"/>
      <c r="K18" s="2"/>
      <c r="L18" s="2"/>
      <c r="M18" s="2"/>
      <c r="N18" s="6"/>
      <c r="O18" s="10"/>
      <c r="P18" s="2"/>
      <c r="Q18" s="2"/>
      <c r="R18" s="6"/>
      <c r="S18" s="2"/>
      <c r="T18" s="2"/>
      <c r="U18" s="2"/>
      <c r="V18" s="6"/>
      <c r="W18" s="2"/>
      <c r="X18" s="2"/>
      <c r="Y18" s="2"/>
      <c r="Z18" s="6"/>
    </row>
    <row r="19" spans="1:26" s="23" customFormat="1" x14ac:dyDescent="0.3">
      <c r="A19" s="10"/>
      <c r="B19" s="26" t="s">
        <v>108</v>
      </c>
      <c r="C19" s="26"/>
      <c r="D19" s="21">
        <f>D12-D16</f>
        <v>3903.1900000000005</v>
      </c>
      <c r="E19" s="13"/>
      <c r="F19" s="22">
        <f>IF(D$12=0,0,D19/D$12)</f>
        <v>0.66007860353580627</v>
      </c>
      <c r="G19" s="13"/>
      <c r="H19" s="21">
        <f>H12-H16</f>
        <v>3912</v>
      </c>
      <c r="I19" s="13"/>
      <c r="J19" s="22">
        <f>IF(H$12=0,0,H19/H$12)</f>
        <v>0.27497012722288605</v>
      </c>
      <c r="K19" s="16"/>
      <c r="L19" s="21">
        <f>+D19-H19</f>
        <v>-8.8099999999994907</v>
      </c>
      <c r="M19" s="16"/>
      <c r="N19" s="22">
        <f>IF(H19=0,0,L19/H19)</f>
        <v>-2.2520449897749208E-3</v>
      </c>
      <c r="O19" s="25"/>
      <c r="P19" s="21">
        <f>P12-P16</f>
        <v>3903.1900000000005</v>
      </c>
      <c r="Q19" s="13"/>
      <c r="R19" s="22">
        <f>IF(P$12=0,0,P19/P$12)</f>
        <v>0.66007860353580627</v>
      </c>
      <c r="S19" s="13"/>
      <c r="T19" s="21">
        <f>T12-T16</f>
        <v>3912</v>
      </c>
      <c r="U19" s="13"/>
      <c r="V19" s="22">
        <f>IF(T$12=0,0,T19/T$12)</f>
        <v>0.27497012722288605</v>
      </c>
      <c r="W19" s="16"/>
      <c r="X19" s="21">
        <f>+P19-T19</f>
        <v>-8.8099999999994907</v>
      </c>
      <c r="Y19" s="16"/>
      <c r="Z19" s="22">
        <f>IF(T19=0,0,X19/T19)</f>
        <v>-2.2520449897749208E-3</v>
      </c>
    </row>
    <row r="20" spans="1:26" x14ac:dyDescent="0.3">
      <c r="A20" s="9"/>
      <c r="B20" s="10"/>
      <c r="C20" s="9"/>
      <c r="D20" s="1"/>
      <c r="E20" s="1"/>
      <c r="F20" s="5"/>
      <c r="G20" s="1"/>
      <c r="H20" s="1"/>
      <c r="I20" s="1"/>
      <c r="J20" s="5"/>
      <c r="K20" s="1"/>
      <c r="L20" s="1"/>
      <c r="M20" s="1"/>
      <c r="N20" s="5"/>
      <c r="O20" s="36"/>
      <c r="P20" s="1"/>
      <c r="Q20" s="1"/>
      <c r="R20" s="5"/>
      <c r="S20" s="1"/>
      <c r="T20" s="1"/>
      <c r="U20" s="1"/>
      <c r="V20" s="5"/>
      <c r="W20" s="1"/>
      <c r="X20" s="1"/>
      <c r="Y20" s="1"/>
      <c r="Z20" s="5"/>
    </row>
    <row r="21" spans="1:26" s="23" customFormat="1" x14ac:dyDescent="0.3">
      <c r="A21" s="10"/>
      <c r="B21" s="25" t="s">
        <v>295</v>
      </c>
      <c r="C21" s="10"/>
      <c r="D21" s="20">
        <f>SUM(0)</f>
        <v>0</v>
      </c>
      <c r="E21" s="20"/>
      <c r="F21" s="32">
        <f>IF(D$12=0,0,D21/D$12)</f>
        <v>0</v>
      </c>
      <c r="G21" s="20"/>
      <c r="H21" s="20">
        <f>SUM(0)</f>
        <v>0</v>
      </c>
      <c r="I21" s="20"/>
      <c r="J21" s="32">
        <f>IF(H$12=0,0,H21/H$12)</f>
        <v>0</v>
      </c>
      <c r="K21" s="4"/>
      <c r="L21" s="20">
        <f>+D21-H21</f>
        <v>0</v>
      </c>
      <c r="M21" s="4"/>
      <c r="N21" s="32">
        <f>IF(H21=0,0,L21/H21)</f>
        <v>0</v>
      </c>
      <c r="O21" s="10"/>
      <c r="P21" s="20">
        <f>SUM(0)</f>
        <v>0</v>
      </c>
      <c r="Q21" s="20"/>
      <c r="R21" s="32">
        <f>IF(P$12=0,0,P21/P$12)</f>
        <v>0</v>
      </c>
      <c r="S21" s="20"/>
      <c r="T21" s="20">
        <f>SUM(0)</f>
        <v>0</v>
      </c>
      <c r="U21" s="20"/>
      <c r="V21" s="32">
        <f>IF(T$12=0,0,T21/T$12)</f>
        <v>0</v>
      </c>
      <c r="W21" s="4"/>
      <c r="X21" s="20">
        <f>+P21-T21</f>
        <v>0</v>
      </c>
      <c r="Y21" s="4"/>
      <c r="Z21" s="32">
        <f>IF(T21=0,0,X21/T21)</f>
        <v>0</v>
      </c>
    </row>
    <row r="22" spans="1:26" s="62" customFormat="1" x14ac:dyDescent="0.3">
      <c r="A22" s="36"/>
      <c r="B22" s="36"/>
      <c r="C22" s="36"/>
      <c r="D22" s="1"/>
      <c r="E22" s="1"/>
      <c r="F22" s="5"/>
      <c r="G22" s="1"/>
      <c r="H22" s="1"/>
      <c r="I22" s="1"/>
      <c r="J22" s="5"/>
      <c r="K22" s="1"/>
      <c r="L22" s="1"/>
      <c r="M22" s="1"/>
      <c r="N22" s="5"/>
      <c r="O22" s="36"/>
      <c r="P22" s="1"/>
      <c r="Q22" s="1"/>
      <c r="R22" s="5"/>
      <c r="S22" s="1"/>
      <c r="T22" s="1"/>
      <c r="U22" s="1"/>
      <c r="V22" s="5"/>
      <c r="W22" s="1"/>
      <c r="X22" s="1"/>
      <c r="Y22" s="1"/>
      <c r="Z22" s="5"/>
    </row>
    <row r="23" spans="1:26" s="23" customFormat="1" x14ac:dyDescent="0.3">
      <c r="A23" s="10"/>
      <c r="B23" s="25" t="s">
        <v>293</v>
      </c>
      <c r="C23" s="10"/>
      <c r="D23" s="4">
        <f>SUM(0)</f>
        <v>0</v>
      </c>
      <c r="E23" s="4"/>
      <c r="F23" s="12">
        <f>IF(D$12=0,0,D23/D$12)</f>
        <v>0</v>
      </c>
      <c r="G23" s="4"/>
      <c r="H23" s="4">
        <f>SUM(0)</f>
        <v>0</v>
      </c>
      <c r="I23" s="4"/>
      <c r="J23" s="12">
        <f>IF(H$12=0,0,H23/H$12)</f>
        <v>0</v>
      </c>
      <c r="K23" s="4"/>
      <c r="L23" s="4">
        <f>+D23-H23</f>
        <v>0</v>
      </c>
      <c r="M23" s="4"/>
      <c r="N23" s="12">
        <f>IF(H23=0,0,L23/H23)</f>
        <v>0</v>
      </c>
      <c r="O23" s="10"/>
      <c r="P23" s="4">
        <f>SUM(0)</f>
        <v>0</v>
      </c>
      <c r="Q23" s="4"/>
      <c r="R23" s="12">
        <f>IF(P$12=0,0,P23/P$12)</f>
        <v>0</v>
      </c>
      <c r="S23" s="4"/>
      <c r="T23" s="4">
        <f>SUM(0)</f>
        <v>0</v>
      </c>
      <c r="U23" s="4"/>
      <c r="V23" s="12">
        <f>IF(T$12=0,0,T23/T$12)</f>
        <v>0</v>
      </c>
      <c r="W23" s="4"/>
      <c r="X23" s="4">
        <f>+P23-T23</f>
        <v>0</v>
      </c>
      <c r="Y23" s="4"/>
      <c r="Z23" s="12">
        <f>IF(T23=0,0,X23/T23)</f>
        <v>0</v>
      </c>
    </row>
    <row r="24" spans="1:26" x14ac:dyDescent="0.3">
      <c r="A24" s="9"/>
      <c r="B24" s="10"/>
      <c r="C24" s="10"/>
      <c r="D24" s="2"/>
      <c r="E24" s="2"/>
      <c r="F24" s="6"/>
      <c r="G24" s="2"/>
      <c r="H24" s="2"/>
      <c r="I24" s="2"/>
      <c r="J24" s="6"/>
      <c r="K24" s="2"/>
      <c r="L24" s="2"/>
      <c r="M24" s="2"/>
      <c r="N24" s="6"/>
      <c r="O24" s="10"/>
      <c r="P24" s="2"/>
      <c r="Q24" s="2"/>
      <c r="R24" s="6"/>
      <c r="S24" s="2"/>
      <c r="T24" s="2"/>
      <c r="U24" s="2"/>
      <c r="V24" s="6"/>
      <c r="W24" s="2"/>
      <c r="X24" s="2"/>
      <c r="Y24" s="2"/>
      <c r="Z24" s="6"/>
    </row>
    <row r="25" spans="1:26" s="23" customFormat="1" x14ac:dyDescent="0.3">
      <c r="A25" s="10"/>
      <c r="B25" s="26" t="s">
        <v>277</v>
      </c>
      <c r="C25" s="26"/>
      <c r="D25" s="21">
        <f>+D19-D21+D23</f>
        <v>3903.1900000000005</v>
      </c>
      <c r="E25" s="13"/>
      <c r="F25" s="22">
        <f>IF(D$12=0,0,D25/D$12)</f>
        <v>0.66007860353580627</v>
      </c>
      <c r="G25" s="13"/>
      <c r="H25" s="21">
        <f>+H19-H21+H23</f>
        <v>3912</v>
      </c>
      <c r="I25" s="13"/>
      <c r="J25" s="22">
        <f>IF(H$12=0,0,H25/H$12)</f>
        <v>0.27497012722288605</v>
      </c>
      <c r="K25" s="16"/>
      <c r="L25" s="21">
        <f>+D25-H25</f>
        <v>-8.8099999999994907</v>
      </c>
      <c r="M25" s="16"/>
      <c r="N25" s="22">
        <f>IF(H25=0,0,L25/H25)</f>
        <v>-2.2520449897749208E-3</v>
      </c>
      <c r="O25" s="25"/>
      <c r="P25" s="21">
        <f>+P19-P21+P23</f>
        <v>3903.1900000000005</v>
      </c>
      <c r="Q25" s="13"/>
      <c r="R25" s="22">
        <f>IF(P$12=0,0,P25/P$12)</f>
        <v>0.66007860353580627</v>
      </c>
      <c r="S25" s="13"/>
      <c r="T25" s="21">
        <f>+T19-T21+T23</f>
        <v>3912</v>
      </c>
      <c r="U25" s="13"/>
      <c r="V25" s="22">
        <f>IF(T$12=0,0,T25/T$12)</f>
        <v>0.27497012722288605</v>
      </c>
      <c r="W25" s="16"/>
      <c r="X25" s="21">
        <f>+P25-T25</f>
        <v>-8.8099999999994907</v>
      </c>
      <c r="Y25" s="16"/>
      <c r="Z25" s="22">
        <f>IF(T25=0,0,X25/T25)</f>
        <v>-2.2520449897749208E-3</v>
      </c>
    </row>
    <row r="26" spans="1:26" x14ac:dyDescent="0.3">
      <c r="A26" s="9"/>
      <c r="B26" s="10"/>
      <c r="C26" s="9"/>
      <c r="D26" s="2"/>
      <c r="E26" s="2"/>
      <c r="F26" s="6"/>
      <c r="G26" s="2"/>
      <c r="H26" s="2"/>
      <c r="I26" s="2"/>
      <c r="J26" s="6"/>
      <c r="K26" s="2"/>
      <c r="L26" s="2"/>
      <c r="M26" s="2"/>
      <c r="N26" s="6"/>
      <c r="P26" s="2"/>
      <c r="Q26" s="2"/>
      <c r="R26" s="6"/>
      <c r="S26" s="2"/>
      <c r="T26" s="2"/>
      <c r="U26" s="2"/>
      <c r="V26" s="6"/>
      <c r="W26" s="2"/>
      <c r="X26" s="2"/>
      <c r="Y26" s="2"/>
      <c r="Z26" s="6"/>
    </row>
    <row r="27" spans="1:26" s="23" customFormat="1" x14ac:dyDescent="0.3">
      <c r="A27" s="52"/>
      <c r="B27" s="10" t="s">
        <v>128</v>
      </c>
      <c r="C27" s="10"/>
      <c r="D27" s="4">
        <v>2731.88</v>
      </c>
      <c r="E27" s="4"/>
      <c r="F27" s="12">
        <f>IF(D$12=0,0,D27/D$12)</f>
        <v>0.46199532572777607</v>
      </c>
      <c r="G27" s="4"/>
      <c r="H27" s="4">
        <v>5152</v>
      </c>
      <c r="I27" s="4"/>
      <c r="J27" s="12">
        <f>IF(H$12=0,0,H27/H$12)</f>
        <v>0.36212834750825895</v>
      </c>
      <c r="K27" s="4"/>
      <c r="L27" s="4">
        <f>+D27-H27</f>
        <v>-2420.12</v>
      </c>
      <c r="M27" s="4"/>
      <c r="N27" s="12">
        <f>IF(H27=0,0,L27/H27)</f>
        <v>-0.46974378881987577</v>
      </c>
      <c r="O27" s="10"/>
      <c r="P27" s="4">
        <v>2731.88</v>
      </c>
      <c r="Q27" s="4"/>
      <c r="R27" s="12">
        <f>IF(P$12=0,0,P27/P$12)</f>
        <v>0.46199532572777607</v>
      </c>
      <c r="S27" s="4"/>
      <c r="T27" s="4">
        <v>5152</v>
      </c>
      <c r="U27" s="4"/>
      <c r="V27" s="12">
        <f>IF(T$12=0,0,T27/T$12)</f>
        <v>0.36212834750825895</v>
      </c>
      <c r="W27" s="4"/>
      <c r="X27" s="4">
        <f>+P27-T27</f>
        <v>-2420.12</v>
      </c>
      <c r="Y27" s="4"/>
      <c r="Z27" s="12">
        <f>IF(T27=0,0,X27/T27)</f>
        <v>-0.46974378881987577</v>
      </c>
    </row>
    <row r="28" spans="1:26" x14ac:dyDescent="0.3">
      <c r="A28" s="9"/>
      <c r="B28" s="10"/>
      <c r="C28" s="10"/>
      <c r="D28" s="2"/>
      <c r="E28" s="2"/>
      <c r="F28" s="6"/>
      <c r="G28" s="2"/>
      <c r="H28" s="2"/>
      <c r="I28" s="2"/>
      <c r="J28" s="6"/>
      <c r="K28" s="2"/>
      <c r="L28" s="2"/>
      <c r="M28" s="2"/>
      <c r="N28" s="6"/>
      <c r="O28" s="10"/>
      <c r="P28" s="2"/>
      <c r="Q28" s="2"/>
      <c r="R28" s="6"/>
      <c r="S28" s="2"/>
      <c r="T28" s="2"/>
      <c r="U28" s="2"/>
      <c r="V28" s="6"/>
      <c r="W28" s="2"/>
      <c r="X28" s="2"/>
      <c r="Y28" s="2"/>
      <c r="Z28" s="6"/>
    </row>
    <row r="29" spans="1:26" s="23" customFormat="1" ht="15" thickBot="1" x14ac:dyDescent="0.35">
      <c r="A29" s="10"/>
      <c r="B29" s="26" t="s">
        <v>126</v>
      </c>
      <c r="C29" s="26"/>
      <c r="D29" s="35">
        <f>+D25-D27</f>
        <v>1171.3100000000004</v>
      </c>
      <c r="E29" s="13"/>
      <c r="F29" s="30">
        <f>IF(D$12=0,0,D29/D$12)</f>
        <v>0.1980832778080302</v>
      </c>
      <c r="G29" s="13"/>
      <c r="H29" s="35">
        <f>+H25-H27</f>
        <v>-1240</v>
      </c>
      <c r="I29" s="13"/>
      <c r="J29" s="30">
        <f>IF(H$12=0,0,H29/H$12)</f>
        <v>-8.7158220285372887E-2</v>
      </c>
      <c r="K29" s="16"/>
      <c r="L29" s="35">
        <f>D29-H29</f>
        <v>2411.3100000000004</v>
      </c>
      <c r="M29" s="16"/>
      <c r="N29" s="30">
        <f>IF(H29=0,0,L29/H29)</f>
        <v>-1.9446048387096777</v>
      </c>
      <c r="O29" s="25"/>
      <c r="P29" s="35">
        <f>+P25-P27</f>
        <v>1171.3100000000004</v>
      </c>
      <c r="Q29" s="13"/>
      <c r="R29" s="30">
        <f>IF(P$12=0,0,P29/P$12)</f>
        <v>0.1980832778080302</v>
      </c>
      <c r="S29" s="13"/>
      <c r="T29" s="35">
        <f>+T25-T27</f>
        <v>-1240</v>
      </c>
      <c r="U29" s="13"/>
      <c r="V29" s="30">
        <f>IF(T$12=0,0,T29/T$12)</f>
        <v>-8.7158220285372887E-2</v>
      </c>
      <c r="W29" s="16"/>
      <c r="X29" s="35">
        <f>P29-T29</f>
        <v>2411.3100000000004</v>
      </c>
      <c r="Y29" s="16"/>
      <c r="Z29" s="30">
        <f>IF(T29=0,0,X29/T29)</f>
        <v>-1.9446048387096777</v>
      </c>
    </row>
    <row r="30" spans="1:26" ht="15" thickTop="1" x14ac:dyDescent="0.3">
      <c r="A30" s="9"/>
      <c r="B30" s="9"/>
      <c r="C30" s="9"/>
      <c r="D30" s="2"/>
      <c r="E30" s="2"/>
      <c r="F30" s="6"/>
      <c r="G30" s="2"/>
      <c r="H30" s="2"/>
      <c r="I30" s="2"/>
      <c r="J30" s="6"/>
      <c r="K30" s="2"/>
      <c r="L30" s="2"/>
      <c r="M30" s="2"/>
      <c r="N30" s="6"/>
      <c r="P30" s="2"/>
      <c r="Q30" s="2"/>
      <c r="R30" s="6"/>
      <c r="S30" s="2"/>
      <c r="T30" s="2"/>
      <c r="U30" s="2"/>
      <c r="V30" s="6"/>
      <c r="W30" s="2"/>
      <c r="X30" s="2"/>
      <c r="Y30" s="2"/>
      <c r="Z30" s="6"/>
    </row>
    <row r="31" spans="1:26" x14ac:dyDescent="0.3">
      <c r="A31" s="9"/>
      <c r="B31" s="9"/>
      <c r="C31" s="9"/>
      <c r="D31" s="2"/>
      <c r="E31" s="2"/>
      <c r="F31" s="6"/>
      <c r="G31" s="2"/>
      <c r="H31" s="2"/>
      <c r="I31" s="2"/>
      <c r="J31" s="6"/>
      <c r="K31" s="2"/>
      <c r="L31" s="2"/>
      <c r="M31" s="2"/>
      <c r="N31" s="6"/>
      <c r="P31" s="2"/>
      <c r="Q31" s="2"/>
      <c r="R31" s="6"/>
      <c r="S31" s="2"/>
      <c r="T31" s="2"/>
      <c r="U31" s="2"/>
      <c r="V31" s="6"/>
      <c r="W31" s="2"/>
      <c r="X31" s="2"/>
      <c r="Y31" s="2"/>
      <c r="Z31" s="6"/>
    </row>
    <row r="32" spans="1:26" s="23" customFormat="1" ht="15" thickBot="1" x14ac:dyDescent="0.35">
      <c r="A32" s="10"/>
      <c r="B32" s="26" t="s">
        <v>294</v>
      </c>
      <c r="C32" s="26"/>
      <c r="D32" s="33">
        <f>SUM(D29:D31)</f>
        <v>1171.3100000000004</v>
      </c>
      <c r="E32" s="13"/>
      <c r="F32" s="31">
        <f>IF(D$12=0,0,D32/D$12)</f>
        <v>0.1980832778080302</v>
      </c>
      <c r="G32" s="13"/>
      <c r="H32" s="33">
        <f>SUM(H29:H31)</f>
        <v>-1240</v>
      </c>
      <c r="I32" s="13"/>
      <c r="J32" s="31">
        <f>IF(H$12=0,0,H32/H$12)</f>
        <v>-8.7158220285372887E-2</v>
      </c>
      <c r="K32" s="16"/>
      <c r="L32" s="33">
        <f>+D32-H32</f>
        <v>2411.3100000000004</v>
      </c>
      <c r="M32" s="16"/>
      <c r="N32" s="31">
        <f>IF(H32=0,0,L32/H32)</f>
        <v>-1.9446048387096777</v>
      </c>
      <c r="O32" s="25"/>
      <c r="P32" s="33">
        <f>SUM(P29:P31)</f>
        <v>1171.3100000000004</v>
      </c>
      <c r="Q32" s="13"/>
      <c r="R32" s="31">
        <f>IF(P$12=0,0,P32/P$12)</f>
        <v>0.1980832778080302</v>
      </c>
      <c r="S32" s="13"/>
      <c r="T32" s="33">
        <f>SUM(T29:T31)</f>
        <v>-1240</v>
      </c>
      <c r="U32" s="13"/>
      <c r="V32" s="31">
        <f>IF(T$12=0,0,T32/T$12)</f>
        <v>-8.7158220285372887E-2</v>
      </c>
      <c r="W32" s="16"/>
      <c r="X32" s="33">
        <f>+P32-T32</f>
        <v>2411.3100000000004</v>
      </c>
      <c r="Y32" s="16"/>
      <c r="Z32" s="31">
        <f>IF(T32=0,0,X32/T32)</f>
        <v>-1.9446048387096777</v>
      </c>
    </row>
    <row r="33" spans="1:24" ht="15" thickTop="1" x14ac:dyDescent="0.3">
      <c r="A33" s="9"/>
      <c r="C33" s="9"/>
      <c r="D33" s="18"/>
      <c r="E33" s="18"/>
      <c r="G33" s="18"/>
      <c r="H33" s="18"/>
      <c r="I33" s="18"/>
      <c r="J33" s="43"/>
      <c r="K33" s="18"/>
      <c r="L33" s="18"/>
      <c r="M33" s="18"/>
      <c r="P33" s="18"/>
      <c r="Q33" s="18"/>
      <c r="R33" s="43"/>
      <c r="S33" s="18"/>
      <c r="T33" s="18"/>
      <c r="U33" s="18"/>
      <c r="V33" s="43"/>
      <c r="W33" s="18"/>
      <c r="X33" s="18"/>
    </row>
    <row r="34" spans="1:24" x14ac:dyDescent="0.3">
      <c r="A34" s="9"/>
      <c r="B34" s="54">
        <v>44462.64548684028</v>
      </c>
      <c r="D34" s="18"/>
      <c r="E34" s="18"/>
      <c r="G34" s="18"/>
      <c r="H34" s="18"/>
      <c r="I34" s="18"/>
      <c r="J34" s="43"/>
      <c r="K34" s="18"/>
      <c r="L34" s="18"/>
      <c r="M34" s="18"/>
      <c r="P34" s="18"/>
      <c r="Q34" s="18"/>
      <c r="R34" s="43"/>
      <c r="S34" s="18"/>
      <c r="T34" s="18"/>
      <c r="U34" s="18"/>
      <c r="V34" s="43"/>
      <c r="W34" s="18"/>
      <c r="X34" s="18"/>
    </row>
    <row r="35" spans="1:24" x14ac:dyDescent="0.3">
      <c r="A35" s="9"/>
      <c r="B35" s="59" t="s">
        <v>56</v>
      </c>
      <c r="D35" s="18"/>
      <c r="E35" s="18"/>
      <c r="G35" s="18"/>
      <c r="H35" s="18"/>
      <c r="I35" s="18"/>
      <c r="J35" s="43"/>
      <c r="K35" s="18"/>
      <c r="L35" s="18"/>
      <c r="M35" s="18"/>
      <c r="P35" s="18"/>
      <c r="Q35" s="18"/>
      <c r="R35" s="43"/>
      <c r="S35" s="18"/>
      <c r="T35" s="18"/>
      <c r="U35" s="18"/>
      <c r="V35" s="43"/>
      <c r="W35" s="18"/>
      <c r="X35" s="18"/>
    </row>
    <row r="36" spans="1:24" x14ac:dyDescent="0.3">
      <c r="A36" s="9"/>
      <c r="B36" s="55"/>
      <c r="D36" s="18"/>
      <c r="E36" s="18"/>
      <c r="G36" s="18"/>
      <c r="H36" s="18"/>
      <c r="I36" s="18"/>
      <c r="J36" s="43"/>
      <c r="K36" s="18"/>
      <c r="L36" s="18"/>
      <c r="M36" s="18"/>
      <c r="P36" s="18"/>
      <c r="Q36" s="18"/>
      <c r="R36" s="43"/>
      <c r="S36" s="18"/>
      <c r="T36" s="18"/>
      <c r="U36" s="18"/>
      <c r="V36" s="43"/>
      <c r="W36" s="18"/>
      <c r="X36" s="18"/>
    </row>
    <row r="37" spans="1:24" x14ac:dyDescent="0.3"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</sheetData>
  <pageMargins left="0.25" right="0.25" top="0.75" bottom="0.75" header="0.3" footer="0.3"/>
  <pageSetup scale="55" fitToWidth="2" orientation="landscape"/>
  <drawing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rgb="FFFFFF00"/>
    <outlinePr summaryBelow="0" summaryRight="0"/>
  </sheetPr>
  <dimension ref="A2:Z124"/>
  <sheetViews>
    <sheetView zoomScale="80" workbookViewId="0">
      <pane xSplit="3" ySplit="10" topLeftCell="D12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50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7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50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7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7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7" customWidth="1" outlineLevel="1"/>
  </cols>
  <sheetData>
    <row r="2" spans="1:26" x14ac:dyDescent="0.3">
      <c r="D2" s="57" t="s">
        <v>23</v>
      </c>
    </row>
    <row r="3" spans="1:26" x14ac:dyDescent="0.3">
      <c r="D3" s="57" t="s">
        <v>237</v>
      </c>
      <c r="E3" s="17"/>
      <c r="F3" s="51"/>
      <c r="G3" s="17"/>
      <c r="H3" s="17"/>
      <c r="I3" s="17"/>
      <c r="J3" s="39"/>
      <c r="K3" s="17"/>
      <c r="L3" s="17"/>
      <c r="M3" s="17"/>
      <c r="N3" s="51"/>
      <c r="O3" s="61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3">
      <c r="D4" s="57" t="str">
        <f>CONCATENATE("Period ",RIGHT(202201,2),", ",2022)</f>
        <v>Period 01, 2022</v>
      </c>
      <c r="E4" s="17"/>
      <c r="F4" s="51"/>
      <c r="G4" s="17"/>
      <c r="H4" s="17"/>
      <c r="I4" s="17"/>
      <c r="J4" s="39"/>
      <c r="K4" s="17"/>
      <c r="L4" s="17"/>
      <c r="M4" s="17"/>
      <c r="N4" s="51"/>
      <c r="O4" s="61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3">
      <c r="A5" s="23"/>
      <c r="D5" s="64">
        <v>44408</v>
      </c>
      <c r="E5" s="17"/>
      <c r="F5" s="51"/>
      <c r="G5" s="17"/>
      <c r="H5" s="17"/>
      <c r="I5" s="17"/>
      <c r="J5" s="39"/>
      <c r="K5" s="17"/>
      <c r="L5" s="17"/>
      <c r="M5" s="17"/>
      <c r="N5" s="51"/>
      <c r="O5" s="61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3">
      <c r="A6" s="23"/>
      <c r="B6" s="47"/>
      <c r="C6" s="47"/>
      <c r="D6" s="23" t="s">
        <v>22</v>
      </c>
      <c r="E6" s="17"/>
      <c r="F6" s="51"/>
      <c r="G6" s="17"/>
      <c r="H6" s="17"/>
      <c r="I6" s="17"/>
      <c r="J6" s="39"/>
      <c r="K6" s="17"/>
      <c r="L6" s="17"/>
      <c r="M6" s="17"/>
      <c r="N6" s="51"/>
      <c r="O6" s="60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3">
      <c r="B7" s="63"/>
    </row>
    <row r="8" spans="1:26" x14ac:dyDescent="0.3">
      <c r="B8" s="63"/>
    </row>
    <row r="9" spans="1:26" x14ac:dyDescent="0.3">
      <c r="B9" s="9"/>
      <c r="C9" s="9"/>
      <c r="D9" s="15" t="s">
        <v>292</v>
      </c>
      <c r="E9" s="15"/>
      <c r="F9" s="38"/>
      <c r="G9" s="15"/>
      <c r="H9" s="15"/>
      <c r="I9" s="15"/>
      <c r="J9" s="49"/>
      <c r="K9" s="15"/>
      <c r="L9" s="15"/>
      <c r="M9" s="15"/>
      <c r="N9" s="38"/>
      <c r="P9" s="15" t="s">
        <v>39</v>
      </c>
      <c r="Q9" s="15"/>
      <c r="R9" s="38"/>
      <c r="S9" s="15"/>
      <c r="T9" s="15"/>
      <c r="U9" s="15"/>
      <c r="V9" s="49"/>
      <c r="W9" s="15"/>
      <c r="X9" s="15"/>
      <c r="Y9" s="15"/>
      <c r="Z9" s="38"/>
    </row>
    <row r="10" spans="1:26" x14ac:dyDescent="0.3">
      <c r="A10" s="10"/>
      <c r="B10" s="53"/>
      <c r="C10" s="10"/>
      <c r="D10" s="42" t="s">
        <v>57</v>
      </c>
      <c r="E10" s="34"/>
      <c r="F10" s="40" t="s">
        <v>40</v>
      </c>
      <c r="G10" s="34"/>
      <c r="H10" s="45" t="s">
        <v>238</v>
      </c>
      <c r="I10" s="34"/>
      <c r="J10" s="48" t="s">
        <v>58</v>
      </c>
      <c r="K10" s="10"/>
      <c r="L10" s="42" t="s">
        <v>127</v>
      </c>
      <c r="M10" s="10"/>
      <c r="N10" s="40" t="s">
        <v>258</v>
      </c>
      <c r="O10" s="10"/>
      <c r="P10" s="56" t="s">
        <v>57</v>
      </c>
      <c r="Q10" s="34"/>
      <c r="R10" s="40" t="s">
        <v>40</v>
      </c>
      <c r="S10" s="34"/>
      <c r="T10" s="45" t="s">
        <v>238</v>
      </c>
      <c r="U10" s="34"/>
      <c r="V10" s="48" t="s">
        <v>58</v>
      </c>
      <c r="W10" s="10"/>
      <c r="X10" s="42" t="s">
        <v>127</v>
      </c>
      <c r="Y10" s="10"/>
      <c r="Z10" s="40" t="s">
        <v>258</v>
      </c>
    </row>
    <row r="11" spans="1:26" ht="15.6" x14ac:dyDescent="0.3">
      <c r="A11" s="9"/>
      <c r="B11" s="58"/>
      <c r="C11" s="9"/>
      <c r="D11" s="9"/>
      <c r="E11" s="9"/>
      <c r="F11" s="6"/>
      <c r="G11" s="9"/>
      <c r="H11" s="9"/>
      <c r="I11" s="9"/>
      <c r="J11" s="46"/>
      <c r="K11" s="9"/>
      <c r="L11" s="9"/>
      <c r="M11" s="9"/>
      <c r="N11" s="6"/>
      <c r="P11" s="9"/>
      <c r="Q11" s="9"/>
      <c r="R11" s="6"/>
      <c r="S11" s="9"/>
      <c r="T11" s="9"/>
      <c r="U11" s="9"/>
      <c r="V11" s="46"/>
      <c r="W11" s="9"/>
      <c r="X11" s="9"/>
      <c r="Y11" s="9"/>
      <c r="Z11" s="6"/>
    </row>
    <row r="12" spans="1:26" s="23" customFormat="1" collapsed="1" x14ac:dyDescent="0.3">
      <c r="A12" s="10"/>
      <c r="B12" s="25" t="s">
        <v>140</v>
      </c>
      <c r="C12" s="10"/>
      <c r="D12" s="4">
        <f>SUM(OSRRefD13x_0)</f>
        <v>155851.6</v>
      </c>
      <c r="E12" s="4"/>
      <c r="F12" s="12"/>
      <c r="G12" s="4"/>
      <c r="H12" s="4">
        <f>SUM(OSRRefH13x_0)</f>
        <v>239607</v>
      </c>
      <c r="I12" s="4"/>
      <c r="J12" s="12"/>
      <c r="K12" s="4"/>
      <c r="L12" s="4">
        <f t="shared" ref="L12:L16" si="0">+D12-H12</f>
        <v>-83755.399999999994</v>
      </c>
      <c r="M12" s="4"/>
      <c r="N12" s="12">
        <f t="shared" ref="N12:N16" si="1">IF(H12=0,0,L12/H12)</f>
        <v>-0.34955322674212352</v>
      </c>
      <c r="O12" s="10"/>
      <c r="P12" s="4">
        <f>SUM(OSRRefP13x_0)</f>
        <v>155851.6</v>
      </c>
      <c r="Q12" s="4"/>
      <c r="R12" s="12"/>
      <c r="S12" s="4"/>
      <c r="T12" s="4">
        <f>SUM(OSRRefT13x_0)</f>
        <v>239607</v>
      </c>
      <c r="U12" s="4"/>
      <c r="V12" s="12"/>
      <c r="W12" s="4"/>
      <c r="X12" s="4">
        <f t="shared" ref="X12:X16" si="2">+P12-T12</f>
        <v>-83755.399999999994</v>
      </c>
      <c r="Y12" s="4"/>
      <c r="Z12" s="12">
        <f t="shared" ref="Z12:Z16" si="3">IF(T12=0,0,X12/T12)</f>
        <v>-0.34955322674212352</v>
      </c>
    </row>
    <row r="13" spans="1:26" s="24" customFormat="1" hidden="1" outlineLevel="1" x14ac:dyDescent="0.3">
      <c r="A13" s="44"/>
      <c r="B13" s="11" t="str">
        <f>CONCATENATE("          ", "4000", " - ", "TAXABLE SALES")</f>
        <v xml:space="preserve">          4000 - TAXABLE SALES</v>
      </c>
      <c r="C13" s="11"/>
      <c r="D13" s="3">
        <f>--150984.27</f>
        <v>150984.26999999999</v>
      </c>
      <c r="E13" s="3"/>
      <c r="F13" s="19"/>
      <c r="G13" s="3"/>
      <c r="H13" s="3">
        <v>239607</v>
      </c>
      <c r="I13" s="3"/>
      <c r="J13" s="19"/>
      <c r="K13" s="3"/>
      <c r="L13" s="3">
        <f t="shared" si="0"/>
        <v>-88622.73000000001</v>
      </c>
      <c r="M13" s="3"/>
      <c r="N13" s="19">
        <f t="shared" si="1"/>
        <v>-0.36986703226533452</v>
      </c>
      <c r="O13" s="11"/>
      <c r="P13" s="3">
        <f>--150984.27</f>
        <v>150984.26999999999</v>
      </c>
      <c r="Q13" s="3"/>
      <c r="R13" s="19"/>
      <c r="S13" s="3"/>
      <c r="T13" s="3">
        <v>239607</v>
      </c>
      <c r="U13" s="3"/>
      <c r="V13" s="19"/>
      <c r="W13" s="3"/>
      <c r="X13" s="3">
        <f t="shared" si="2"/>
        <v>-88622.73000000001</v>
      </c>
      <c r="Y13" s="3"/>
      <c r="Z13" s="19">
        <f t="shared" si="3"/>
        <v>-0.36986703226533452</v>
      </c>
    </row>
    <row r="14" spans="1:26" s="24" customFormat="1" hidden="1" outlineLevel="1" x14ac:dyDescent="0.3">
      <c r="A14" s="44"/>
      <c r="B14" s="11" t="str">
        <f>CONCATENATE("          ", "4100", " - ", "NON-TAXABLE SALES")</f>
        <v xml:space="preserve">          4100 - NON-TAXABLE SALES</v>
      </c>
      <c r="C14" s="11"/>
      <c r="D14" s="3">
        <f>--9632.79</f>
        <v>9632.7900000000009</v>
      </c>
      <c r="E14" s="3"/>
      <c r="F14" s="19"/>
      <c r="G14" s="3"/>
      <c r="H14" s="3"/>
      <c r="I14" s="3"/>
      <c r="J14" s="19"/>
      <c r="K14" s="3"/>
      <c r="L14" s="3">
        <f t="shared" si="0"/>
        <v>9632.7900000000009</v>
      </c>
      <c r="M14" s="3"/>
      <c r="N14" s="19">
        <f t="shared" si="1"/>
        <v>0</v>
      </c>
      <c r="O14" s="11"/>
      <c r="P14" s="3">
        <f>--9632.79</f>
        <v>9632.7900000000009</v>
      </c>
      <c r="Q14" s="3"/>
      <c r="R14" s="19"/>
      <c r="S14" s="3"/>
      <c r="T14" s="3"/>
      <c r="U14" s="3"/>
      <c r="V14" s="19"/>
      <c r="W14" s="3"/>
      <c r="X14" s="3">
        <f t="shared" si="2"/>
        <v>9632.7900000000009</v>
      </c>
      <c r="Y14" s="3"/>
      <c r="Z14" s="19">
        <f t="shared" si="3"/>
        <v>0</v>
      </c>
    </row>
    <row r="15" spans="1:26" s="24" customFormat="1" hidden="1" outlineLevel="1" x14ac:dyDescent="0.3">
      <c r="A15" s="44"/>
      <c r="B15" s="11" t="str">
        <f>CONCATENATE("          ", "4200", " - ", "TAXABLE RETURNS")</f>
        <v xml:space="preserve">          4200 - TAXABLE RETURNS</v>
      </c>
      <c r="C15" s="11"/>
      <c r="D15" s="3">
        <f>-4645.61</f>
        <v>-4645.6099999999997</v>
      </c>
      <c r="E15" s="3"/>
      <c r="F15" s="19"/>
      <c r="G15" s="3"/>
      <c r="H15" s="3"/>
      <c r="I15" s="3"/>
      <c r="J15" s="19"/>
      <c r="K15" s="3"/>
      <c r="L15" s="3">
        <f t="shared" si="0"/>
        <v>-4645.6099999999997</v>
      </c>
      <c r="M15" s="3"/>
      <c r="N15" s="19">
        <f t="shared" si="1"/>
        <v>0</v>
      </c>
      <c r="O15" s="11"/>
      <c r="P15" s="3">
        <f>-4645.61</f>
        <v>-4645.6099999999997</v>
      </c>
      <c r="Q15" s="3"/>
      <c r="R15" s="19"/>
      <c r="S15" s="3"/>
      <c r="T15" s="3"/>
      <c r="U15" s="3"/>
      <c r="V15" s="19"/>
      <c r="W15" s="3"/>
      <c r="X15" s="3">
        <f t="shared" si="2"/>
        <v>-4645.6099999999997</v>
      </c>
      <c r="Y15" s="3"/>
      <c r="Z15" s="19">
        <f t="shared" si="3"/>
        <v>0</v>
      </c>
    </row>
    <row r="16" spans="1:26" s="24" customFormat="1" hidden="1" outlineLevel="1" x14ac:dyDescent="0.3">
      <c r="A16" s="44"/>
      <c r="B16" s="11" t="str">
        <f>CONCATENATE("          ", "4300", " - ", "NON-TAX RETURNS")</f>
        <v xml:space="preserve">          4300 - NON-TAX RETURNS</v>
      </c>
      <c r="C16" s="11"/>
      <c r="D16" s="3">
        <f>-119.85</f>
        <v>-119.85</v>
      </c>
      <c r="E16" s="3"/>
      <c r="F16" s="19"/>
      <c r="G16" s="3"/>
      <c r="H16" s="3"/>
      <c r="I16" s="3"/>
      <c r="J16" s="19"/>
      <c r="K16" s="3"/>
      <c r="L16" s="3">
        <f t="shared" si="0"/>
        <v>-119.85</v>
      </c>
      <c r="M16" s="3"/>
      <c r="N16" s="19">
        <f t="shared" si="1"/>
        <v>0</v>
      </c>
      <c r="O16" s="11"/>
      <c r="P16" s="3">
        <f>-119.85</f>
        <v>-119.85</v>
      </c>
      <c r="Q16" s="3"/>
      <c r="R16" s="19"/>
      <c r="S16" s="3"/>
      <c r="T16" s="3"/>
      <c r="U16" s="3"/>
      <c r="V16" s="19"/>
      <c r="W16" s="3"/>
      <c r="X16" s="3">
        <f t="shared" si="2"/>
        <v>-119.85</v>
      </c>
      <c r="Y16" s="3"/>
      <c r="Z16" s="19">
        <f t="shared" si="3"/>
        <v>0</v>
      </c>
    </row>
    <row r="17" spans="1:26" x14ac:dyDescent="0.3">
      <c r="A17" s="9"/>
      <c r="B17" s="10"/>
      <c r="C17" s="9"/>
      <c r="D17" s="2"/>
      <c r="E17" s="2"/>
      <c r="F17" s="6"/>
      <c r="G17" s="2"/>
      <c r="H17" s="2"/>
      <c r="I17" s="2"/>
      <c r="J17" s="6"/>
      <c r="K17" s="2"/>
      <c r="L17" s="2"/>
      <c r="M17" s="2"/>
      <c r="N17" s="6"/>
      <c r="P17" s="2"/>
      <c r="Q17" s="2"/>
      <c r="R17" s="6"/>
      <c r="S17" s="2"/>
      <c r="T17" s="2"/>
      <c r="U17" s="2"/>
      <c r="V17" s="6"/>
      <c r="W17" s="2"/>
      <c r="X17" s="2"/>
      <c r="Y17" s="2"/>
      <c r="Z17" s="6"/>
    </row>
    <row r="18" spans="1:26" s="23" customFormat="1" collapsed="1" x14ac:dyDescent="0.3">
      <c r="A18" s="10"/>
      <c r="B18" s="25" t="s">
        <v>257</v>
      </c>
      <c r="C18" s="10"/>
      <c r="D18" s="4">
        <f>SUM(OSRRefD16x_0)</f>
        <v>82719.690000000017</v>
      </c>
      <c r="E18" s="4"/>
      <c r="F18" s="12">
        <f t="shared" ref="F18:F33" si="4">IF(D$12=0,0,D18/D$12)</f>
        <v>0.53075932489624755</v>
      </c>
      <c r="G18" s="4"/>
      <c r="H18" s="4">
        <f>SUM(OSRRefH16x_0)</f>
        <v>140561</v>
      </c>
      <c r="I18" s="4"/>
      <c r="J18" s="12">
        <f t="shared" ref="J18:J33" si="5">IF(H$12=0,0,H18/H$12)</f>
        <v>0.58663144232013253</v>
      </c>
      <c r="K18" s="4"/>
      <c r="L18" s="4">
        <f t="shared" ref="L18:L33" si="6">+D18-H18</f>
        <v>-57841.309999999983</v>
      </c>
      <c r="M18" s="4"/>
      <c r="N18" s="12">
        <f t="shared" ref="N18:N33" si="7">IF(H18=0,0,L18/H18)</f>
        <v>-0.41150326192898445</v>
      </c>
      <c r="O18" s="10"/>
      <c r="P18" s="4">
        <f>SUM(OSRRefP16x_0)</f>
        <v>82719.690000000017</v>
      </c>
      <c r="Q18" s="4"/>
      <c r="R18" s="12">
        <f t="shared" ref="R18:R33" si="8">IF(P$12=0,0,P18/P$12)</f>
        <v>0.53075932489624755</v>
      </c>
      <c r="S18" s="4"/>
      <c r="T18" s="4">
        <f>SUM(OSRRefT16x_0)</f>
        <v>140561</v>
      </c>
      <c r="U18" s="4"/>
      <c r="V18" s="12">
        <f t="shared" ref="V18:V33" si="9">IF(T$12=0,0,T18/T$12)</f>
        <v>0.58663144232013253</v>
      </c>
      <c r="W18" s="4"/>
      <c r="X18" s="4">
        <f t="shared" ref="X18:X33" si="10">+P18-T18</f>
        <v>-57841.309999999983</v>
      </c>
      <c r="Y18" s="4"/>
      <c r="Z18" s="12">
        <f t="shared" ref="Z18:Z33" si="11">IF(T18=0,0,X18/T18)</f>
        <v>-0.41150326192898445</v>
      </c>
    </row>
    <row r="19" spans="1:26" s="24" customFormat="1" hidden="1" outlineLevel="1" x14ac:dyDescent="0.3">
      <c r="A19" s="44"/>
      <c r="B19" s="11" t="str">
        <f>CONCATENATE("          ", "5000", " - ", "PURCHASES @ COST")</f>
        <v xml:space="preserve">          5000 - PURCHASES @ COST</v>
      </c>
      <c r="C19" s="11"/>
      <c r="D19" s="3">
        <v>80555.63</v>
      </c>
      <c r="E19" s="3"/>
      <c r="F19" s="19">
        <f t="shared" si="4"/>
        <v>0.51687393648830038</v>
      </c>
      <c r="G19" s="3"/>
      <c r="H19" s="3">
        <v>140561</v>
      </c>
      <c r="I19" s="3"/>
      <c r="J19" s="19">
        <f t="shared" si="5"/>
        <v>0.58663144232013253</v>
      </c>
      <c r="K19" s="3"/>
      <c r="L19" s="3">
        <f t="shared" si="6"/>
        <v>-60005.369999999995</v>
      </c>
      <c r="M19" s="3"/>
      <c r="N19" s="19">
        <f t="shared" si="7"/>
        <v>-0.42689913987521427</v>
      </c>
      <c r="O19" s="11"/>
      <c r="P19" s="3">
        <v>80555.63</v>
      </c>
      <c r="Q19" s="3"/>
      <c r="R19" s="19">
        <f t="shared" si="8"/>
        <v>0.51687393648830038</v>
      </c>
      <c r="S19" s="3"/>
      <c r="T19" s="3">
        <v>140561</v>
      </c>
      <c r="U19" s="3"/>
      <c r="V19" s="19">
        <f t="shared" si="9"/>
        <v>0.58663144232013253</v>
      </c>
      <c r="W19" s="3"/>
      <c r="X19" s="3">
        <f t="shared" si="10"/>
        <v>-60005.369999999995</v>
      </c>
      <c r="Y19" s="3"/>
      <c r="Z19" s="19">
        <f t="shared" si="11"/>
        <v>-0.42689913987521427</v>
      </c>
    </row>
    <row r="20" spans="1:26" s="24" customFormat="1" hidden="1" outlineLevel="1" x14ac:dyDescent="0.3">
      <c r="A20" s="44"/>
      <c r="B20" s="11" t="str">
        <f>CONCATENATE("          ", "5040", " - ", "PURCHASES @ COST-LOGO CLOTHING")</f>
        <v xml:space="preserve">          5040 - PURCHASES @ COST-LOGO CLOTHING</v>
      </c>
      <c r="C20" s="11"/>
      <c r="D20" s="3">
        <v>0</v>
      </c>
      <c r="E20" s="3"/>
      <c r="F20" s="19">
        <f t="shared" si="4"/>
        <v>0</v>
      </c>
      <c r="G20" s="3"/>
      <c r="H20" s="3"/>
      <c r="I20" s="3"/>
      <c r="J20" s="19">
        <f t="shared" si="5"/>
        <v>0</v>
      </c>
      <c r="K20" s="3"/>
      <c r="L20" s="3">
        <f t="shared" si="6"/>
        <v>0</v>
      </c>
      <c r="M20" s="3"/>
      <c r="N20" s="19">
        <f t="shared" si="7"/>
        <v>0</v>
      </c>
      <c r="O20" s="11"/>
      <c r="P20" s="3">
        <v>0</v>
      </c>
      <c r="Q20" s="3"/>
      <c r="R20" s="19">
        <f t="shared" si="8"/>
        <v>0</v>
      </c>
      <c r="S20" s="3"/>
      <c r="T20" s="3"/>
      <c r="U20" s="3"/>
      <c r="V20" s="19">
        <f t="shared" si="9"/>
        <v>0</v>
      </c>
      <c r="W20" s="3"/>
      <c r="X20" s="3">
        <f t="shared" si="10"/>
        <v>0</v>
      </c>
      <c r="Y20" s="3"/>
      <c r="Z20" s="19">
        <f t="shared" si="11"/>
        <v>0</v>
      </c>
    </row>
    <row r="21" spans="1:26" s="24" customFormat="1" hidden="1" outlineLevel="1" x14ac:dyDescent="0.3">
      <c r="A21" s="44"/>
      <c r="B21" s="11" t="str">
        <f>CONCATENATE("          ", "5041", " - ", "PURCHASES @ COST-LOGO GIFTS")</f>
        <v xml:space="preserve">          5041 - PURCHASES @ COST-LOGO GIFTS</v>
      </c>
      <c r="C21" s="11"/>
      <c r="D21" s="3">
        <v>0</v>
      </c>
      <c r="E21" s="3"/>
      <c r="F21" s="19">
        <f t="shared" si="4"/>
        <v>0</v>
      </c>
      <c r="G21" s="3"/>
      <c r="H21" s="3"/>
      <c r="I21" s="3"/>
      <c r="J21" s="19">
        <f t="shared" si="5"/>
        <v>0</v>
      </c>
      <c r="K21" s="3"/>
      <c r="L21" s="3">
        <f t="shared" si="6"/>
        <v>0</v>
      </c>
      <c r="M21" s="3"/>
      <c r="N21" s="19">
        <f t="shared" si="7"/>
        <v>0</v>
      </c>
      <c r="O21" s="11"/>
      <c r="P21" s="3">
        <v>0</v>
      </c>
      <c r="Q21" s="3"/>
      <c r="R21" s="19">
        <f t="shared" si="8"/>
        <v>0</v>
      </c>
      <c r="S21" s="3"/>
      <c r="T21" s="3"/>
      <c r="U21" s="3"/>
      <c r="V21" s="19">
        <f t="shared" si="9"/>
        <v>0</v>
      </c>
      <c r="W21" s="3"/>
      <c r="X21" s="3">
        <f t="shared" si="10"/>
        <v>0</v>
      </c>
      <c r="Y21" s="3"/>
      <c r="Z21" s="19">
        <f t="shared" si="11"/>
        <v>0</v>
      </c>
    </row>
    <row r="22" spans="1:26" s="24" customFormat="1" hidden="1" outlineLevel="1" x14ac:dyDescent="0.3">
      <c r="A22" s="44"/>
      <c r="B22" s="11" t="str">
        <f>CONCATENATE("          ", "5042", " - ", "PURCHASES @ COST-EVERYDAY GIFT")</f>
        <v xml:space="preserve">          5042 - PURCHASES @ COST-EVERYDAY GIFT</v>
      </c>
      <c r="C22" s="11"/>
      <c r="D22" s="3">
        <v>0</v>
      </c>
      <c r="E22" s="3"/>
      <c r="F22" s="19">
        <f t="shared" si="4"/>
        <v>0</v>
      </c>
      <c r="G22" s="3"/>
      <c r="H22" s="3"/>
      <c r="I22" s="3"/>
      <c r="J22" s="19">
        <f t="shared" si="5"/>
        <v>0</v>
      </c>
      <c r="K22" s="3"/>
      <c r="L22" s="3">
        <f t="shared" si="6"/>
        <v>0</v>
      </c>
      <c r="M22" s="3"/>
      <c r="N22" s="19">
        <f t="shared" si="7"/>
        <v>0</v>
      </c>
      <c r="O22" s="11"/>
      <c r="P22" s="3">
        <v>0</v>
      </c>
      <c r="Q22" s="3"/>
      <c r="R22" s="19">
        <f t="shared" si="8"/>
        <v>0</v>
      </c>
      <c r="S22" s="3"/>
      <c r="T22" s="3"/>
      <c r="U22" s="3"/>
      <c r="V22" s="19">
        <f t="shared" si="9"/>
        <v>0</v>
      </c>
      <c r="W22" s="3"/>
      <c r="X22" s="3">
        <f t="shared" si="10"/>
        <v>0</v>
      </c>
      <c r="Y22" s="3"/>
      <c r="Z22" s="19">
        <f t="shared" si="11"/>
        <v>0</v>
      </c>
    </row>
    <row r="23" spans="1:26" s="24" customFormat="1" hidden="1" outlineLevel="1" x14ac:dyDescent="0.3">
      <c r="A23" s="44"/>
      <c r="B23" s="11" t="str">
        <f>CONCATENATE("          ", "5043", " - ", "PURCHASES @ COST-CARDS")</f>
        <v xml:space="preserve">          5043 - PURCHASES @ COST-CARDS</v>
      </c>
      <c r="C23" s="11"/>
      <c r="D23" s="3">
        <v>0</v>
      </c>
      <c r="E23" s="3"/>
      <c r="F23" s="19">
        <f t="shared" si="4"/>
        <v>0</v>
      </c>
      <c r="G23" s="3"/>
      <c r="H23" s="3"/>
      <c r="I23" s="3"/>
      <c r="J23" s="19">
        <f t="shared" si="5"/>
        <v>0</v>
      </c>
      <c r="K23" s="3"/>
      <c r="L23" s="3">
        <f t="shared" si="6"/>
        <v>0</v>
      </c>
      <c r="M23" s="3"/>
      <c r="N23" s="19">
        <f t="shared" si="7"/>
        <v>0</v>
      </c>
      <c r="O23" s="11"/>
      <c r="P23" s="3">
        <v>0</v>
      </c>
      <c r="Q23" s="3"/>
      <c r="R23" s="19">
        <f t="shared" si="8"/>
        <v>0</v>
      </c>
      <c r="S23" s="3"/>
      <c r="T23" s="3"/>
      <c r="U23" s="3"/>
      <c r="V23" s="19">
        <f t="shared" si="9"/>
        <v>0</v>
      </c>
      <c r="W23" s="3"/>
      <c r="X23" s="3">
        <f t="shared" si="10"/>
        <v>0</v>
      </c>
      <c r="Y23" s="3"/>
      <c r="Z23" s="19">
        <f t="shared" si="11"/>
        <v>0</v>
      </c>
    </row>
    <row r="24" spans="1:26" s="24" customFormat="1" hidden="1" outlineLevel="1" x14ac:dyDescent="0.3">
      <c r="A24" s="44"/>
      <c r="B24" s="11" t="str">
        <f>CONCATENATE("          ", "5044", " - ", "PURCHASES @ COST-ACCESSORIES")</f>
        <v xml:space="preserve">          5044 - PURCHASES @ COST-ACCESSORIES</v>
      </c>
      <c r="C24" s="11"/>
      <c r="D24" s="3">
        <v>0</v>
      </c>
      <c r="E24" s="3"/>
      <c r="F24" s="19">
        <f t="shared" si="4"/>
        <v>0</v>
      </c>
      <c r="G24" s="3"/>
      <c r="H24" s="3"/>
      <c r="I24" s="3"/>
      <c r="J24" s="19">
        <f t="shared" si="5"/>
        <v>0</v>
      </c>
      <c r="K24" s="3"/>
      <c r="L24" s="3">
        <f t="shared" si="6"/>
        <v>0</v>
      </c>
      <c r="M24" s="3"/>
      <c r="N24" s="19">
        <f t="shared" si="7"/>
        <v>0</v>
      </c>
      <c r="O24" s="11"/>
      <c r="P24" s="3">
        <v>0</v>
      </c>
      <c r="Q24" s="3"/>
      <c r="R24" s="19">
        <f t="shared" si="8"/>
        <v>0</v>
      </c>
      <c r="S24" s="3"/>
      <c r="T24" s="3"/>
      <c r="U24" s="3"/>
      <c r="V24" s="19">
        <f t="shared" si="9"/>
        <v>0</v>
      </c>
      <c r="W24" s="3"/>
      <c r="X24" s="3">
        <f t="shared" si="10"/>
        <v>0</v>
      </c>
      <c r="Y24" s="3"/>
      <c r="Z24" s="19">
        <f t="shared" si="11"/>
        <v>0</v>
      </c>
    </row>
    <row r="25" spans="1:26" s="24" customFormat="1" hidden="1" outlineLevel="1" x14ac:dyDescent="0.3">
      <c r="A25" s="44"/>
      <c r="B25" s="11" t="str">
        <f>CONCATENATE("          ", "5045", " - ", "PURCHASES @ COST-SPECIAL ORDER")</f>
        <v xml:space="preserve">          5045 - PURCHASES @ COST-SPECIAL ORDER</v>
      </c>
      <c r="C25" s="11"/>
      <c r="D25" s="3">
        <v>0</v>
      </c>
      <c r="E25" s="3"/>
      <c r="F25" s="19">
        <f t="shared" si="4"/>
        <v>0</v>
      </c>
      <c r="G25" s="3"/>
      <c r="H25" s="3"/>
      <c r="I25" s="3"/>
      <c r="J25" s="19">
        <f t="shared" si="5"/>
        <v>0</v>
      </c>
      <c r="K25" s="3"/>
      <c r="L25" s="3">
        <f t="shared" si="6"/>
        <v>0</v>
      </c>
      <c r="M25" s="3"/>
      <c r="N25" s="19">
        <f t="shared" si="7"/>
        <v>0</v>
      </c>
      <c r="O25" s="11"/>
      <c r="P25" s="3">
        <v>0</v>
      </c>
      <c r="Q25" s="3"/>
      <c r="R25" s="19">
        <f t="shared" si="8"/>
        <v>0</v>
      </c>
      <c r="S25" s="3"/>
      <c r="T25" s="3"/>
      <c r="U25" s="3"/>
      <c r="V25" s="19">
        <f t="shared" si="9"/>
        <v>0</v>
      </c>
      <c r="W25" s="3"/>
      <c r="X25" s="3">
        <f t="shared" si="10"/>
        <v>0</v>
      </c>
      <c r="Y25" s="3"/>
      <c r="Z25" s="19">
        <f t="shared" si="11"/>
        <v>0</v>
      </c>
    </row>
    <row r="26" spans="1:26" s="24" customFormat="1" hidden="1" outlineLevel="1" x14ac:dyDescent="0.3">
      <c r="A26" s="44"/>
      <c r="B26" s="11" t="str">
        <f>CONCATENATE("          ", "5200", " - ", "PURCHASES OFFSET")</f>
        <v xml:space="preserve">          5200 - PURCHASES OFFSET</v>
      </c>
      <c r="C26" s="11"/>
      <c r="D26" s="3">
        <v>-81956.95</v>
      </c>
      <c r="E26" s="3"/>
      <c r="F26" s="19">
        <f t="shared" si="4"/>
        <v>-0.52586531033367634</v>
      </c>
      <c r="G26" s="3"/>
      <c r="H26" s="3"/>
      <c r="I26" s="3"/>
      <c r="J26" s="19">
        <f t="shared" si="5"/>
        <v>0</v>
      </c>
      <c r="K26" s="3"/>
      <c r="L26" s="3">
        <f t="shared" si="6"/>
        <v>-81956.95</v>
      </c>
      <c r="M26" s="3"/>
      <c r="N26" s="19">
        <f t="shared" si="7"/>
        <v>0</v>
      </c>
      <c r="O26" s="11"/>
      <c r="P26" s="3">
        <v>-81956.95</v>
      </c>
      <c r="Q26" s="3"/>
      <c r="R26" s="19">
        <f t="shared" si="8"/>
        <v>-0.52586531033367634</v>
      </c>
      <c r="S26" s="3"/>
      <c r="T26" s="3"/>
      <c r="U26" s="3"/>
      <c r="V26" s="19">
        <f t="shared" si="9"/>
        <v>0</v>
      </c>
      <c r="W26" s="3"/>
      <c r="X26" s="3">
        <f t="shared" si="10"/>
        <v>-81956.95</v>
      </c>
      <c r="Y26" s="3"/>
      <c r="Z26" s="19">
        <f t="shared" si="11"/>
        <v>0</v>
      </c>
    </row>
    <row r="27" spans="1:26" s="24" customFormat="1" hidden="1" outlineLevel="1" x14ac:dyDescent="0.3">
      <c r="A27" s="44"/>
      <c r="B27" s="11" t="str">
        <f>CONCATENATE("          ", "5300", " - ", "COG$ OFFSET")</f>
        <v xml:space="preserve">          5300 - COG$ OFFSET</v>
      </c>
      <c r="C27" s="11"/>
      <c r="D27" s="3">
        <v>82719.69</v>
      </c>
      <c r="E27" s="3"/>
      <c r="F27" s="19">
        <f t="shared" si="4"/>
        <v>0.53075932489624744</v>
      </c>
      <c r="G27" s="3"/>
      <c r="H27" s="3"/>
      <c r="I27" s="3"/>
      <c r="J27" s="19">
        <f t="shared" si="5"/>
        <v>0</v>
      </c>
      <c r="K27" s="3"/>
      <c r="L27" s="3">
        <f t="shared" si="6"/>
        <v>82719.69</v>
      </c>
      <c r="M27" s="3"/>
      <c r="N27" s="19">
        <f t="shared" si="7"/>
        <v>0</v>
      </c>
      <c r="O27" s="11"/>
      <c r="P27" s="3">
        <v>82719.69</v>
      </c>
      <c r="Q27" s="3"/>
      <c r="R27" s="19">
        <f t="shared" si="8"/>
        <v>0.53075932489624744</v>
      </c>
      <c r="S27" s="3"/>
      <c r="T27" s="3"/>
      <c r="U27" s="3"/>
      <c r="V27" s="19">
        <f t="shared" si="9"/>
        <v>0</v>
      </c>
      <c r="W27" s="3"/>
      <c r="X27" s="3">
        <f t="shared" si="10"/>
        <v>82719.69</v>
      </c>
      <c r="Y27" s="3"/>
      <c r="Z27" s="19">
        <f t="shared" si="11"/>
        <v>0</v>
      </c>
    </row>
    <row r="28" spans="1:26" s="24" customFormat="1" hidden="1" outlineLevel="1" x14ac:dyDescent="0.3">
      <c r="A28" s="44"/>
      <c r="B28" s="11" t="str">
        <f>CONCATENATE("          ", "5500", " - ", "FREIGHT-IN")</f>
        <v xml:space="preserve">          5500 - FREIGHT-IN</v>
      </c>
      <c r="C28" s="11"/>
      <c r="D28" s="3">
        <v>1401.32</v>
      </c>
      <c r="E28" s="3"/>
      <c r="F28" s="19">
        <f t="shared" si="4"/>
        <v>8.9913738453759849E-3</v>
      </c>
      <c r="G28" s="3"/>
      <c r="H28" s="3"/>
      <c r="I28" s="3"/>
      <c r="J28" s="19">
        <f t="shared" si="5"/>
        <v>0</v>
      </c>
      <c r="K28" s="3"/>
      <c r="L28" s="3">
        <f t="shared" si="6"/>
        <v>1401.32</v>
      </c>
      <c r="M28" s="3"/>
      <c r="N28" s="19">
        <f t="shared" si="7"/>
        <v>0</v>
      </c>
      <c r="O28" s="11"/>
      <c r="P28" s="3">
        <v>1401.32</v>
      </c>
      <c r="Q28" s="3"/>
      <c r="R28" s="19">
        <f t="shared" si="8"/>
        <v>8.9913738453759849E-3</v>
      </c>
      <c r="S28" s="3"/>
      <c r="T28" s="3"/>
      <c r="U28" s="3"/>
      <c r="V28" s="19">
        <f t="shared" si="9"/>
        <v>0</v>
      </c>
      <c r="W28" s="3"/>
      <c r="X28" s="3">
        <f t="shared" si="10"/>
        <v>1401.32</v>
      </c>
      <c r="Y28" s="3"/>
      <c r="Z28" s="19">
        <f t="shared" si="11"/>
        <v>0</v>
      </c>
    </row>
    <row r="29" spans="1:26" s="24" customFormat="1" hidden="1" outlineLevel="1" x14ac:dyDescent="0.3">
      <c r="A29" s="44"/>
      <c r="B29" s="11" t="str">
        <f>CONCATENATE("          ", "5540", " - ", "FREIGHT-IN-LOGO CLOTHING")</f>
        <v xml:space="preserve">          5540 - FREIGHT-IN-LOGO CLOTHING</v>
      </c>
      <c r="C29" s="11"/>
      <c r="D29" s="3">
        <v>0</v>
      </c>
      <c r="E29" s="3"/>
      <c r="F29" s="19">
        <f t="shared" si="4"/>
        <v>0</v>
      </c>
      <c r="G29" s="3"/>
      <c r="H29" s="3"/>
      <c r="I29" s="3"/>
      <c r="J29" s="19">
        <f t="shared" si="5"/>
        <v>0</v>
      </c>
      <c r="K29" s="3"/>
      <c r="L29" s="3">
        <f t="shared" si="6"/>
        <v>0</v>
      </c>
      <c r="M29" s="3"/>
      <c r="N29" s="19">
        <f t="shared" si="7"/>
        <v>0</v>
      </c>
      <c r="O29" s="11"/>
      <c r="P29" s="3">
        <v>0</v>
      </c>
      <c r="Q29" s="3"/>
      <c r="R29" s="19">
        <f t="shared" si="8"/>
        <v>0</v>
      </c>
      <c r="S29" s="3"/>
      <c r="T29" s="3"/>
      <c r="U29" s="3"/>
      <c r="V29" s="19">
        <f t="shared" si="9"/>
        <v>0</v>
      </c>
      <c r="W29" s="3"/>
      <c r="X29" s="3">
        <f t="shared" si="10"/>
        <v>0</v>
      </c>
      <c r="Y29" s="3"/>
      <c r="Z29" s="19">
        <f t="shared" si="11"/>
        <v>0</v>
      </c>
    </row>
    <row r="30" spans="1:26" s="24" customFormat="1" hidden="1" outlineLevel="1" x14ac:dyDescent="0.3">
      <c r="A30" s="44"/>
      <c r="B30" s="11" t="str">
        <f>CONCATENATE("          ", "5541", " - ", "FREIGHT-IN-LOGO GIFTS")</f>
        <v xml:space="preserve">          5541 - FREIGHT-IN-LOGO GIFTS</v>
      </c>
      <c r="C30" s="11"/>
      <c r="D30" s="3">
        <v>0</v>
      </c>
      <c r="E30" s="3"/>
      <c r="F30" s="19">
        <f t="shared" si="4"/>
        <v>0</v>
      </c>
      <c r="G30" s="3"/>
      <c r="H30" s="3"/>
      <c r="I30" s="3"/>
      <c r="J30" s="19">
        <f t="shared" si="5"/>
        <v>0</v>
      </c>
      <c r="K30" s="3"/>
      <c r="L30" s="3">
        <f t="shared" si="6"/>
        <v>0</v>
      </c>
      <c r="M30" s="3"/>
      <c r="N30" s="19">
        <f t="shared" si="7"/>
        <v>0</v>
      </c>
      <c r="O30" s="11"/>
      <c r="P30" s="3">
        <v>0</v>
      </c>
      <c r="Q30" s="3"/>
      <c r="R30" s="19">
        <f t="shared" si="8"/>
        <v>0</v>
      </c>
      <c r="S30" s="3"/>
      <c r="T30" s="3"/>
      <c r="U30" s="3"/>
      <c r="V30" s="19">
        <f t="shared" si="9"/>
        <v>0</v>
      </c>
      <c r="W30" s="3"/>
      <c r="X30" s="3">
        <f t="shared" si="10"/>
        <v>0</v>
      </c>
      <c r="Y30" s="3"/>
      <c r="Z30" s="19">
        <f t="shared" si="11"/>
        <v>0</v>
      </c>
    </row>
    <row r="31" spans="1:26" s="24" customFormat="1" hidden="1" outlineLevel="1" x14ac:dyDescent="0.3">
      <c r="A31" s="44"/>
      <c r="B31" s="11" t="str">
        <f>CONCATENATE("          ", "5542", " - ", "FREIGHT-IN-EVERYDAY GIFTS")</f>
        <v xml:space="preserve">          5542 - FREIGHT-IN-EVERYDAY GIFTS</v>
      </c>
      <c r="C31" s="11"/>
      <c r="D31" s="3">
        <v>0</v>
      </c>
      <c r="E31" s="3"/>
      <c r="F31" s="19">
        <f t="shared" si="4"/>
        <v>0</v>
      </c>
      <c r="G31" s="3"/>
      <c r="H31" s="3"/>
      <c r="I31" s="3"/>
      <c r="J31" s="19">
        <f t="shared" si="5"/>
        <v>0</v>
      </c>
      <c r="K31" s="3"/>
      <c r="L31" s="3">
        <f t="shared" si="6"/>
        <v>0</v>
      </c>
      <c r="M31" s="3"/>
      <c r="N31" s="19">
        <f t="shared" si="7"/>
        <v>0</v>
      </c>
      <c r="O31" s="11"/>
      <c r="P31" s="3">
        <v>0</v>
      </c>
      <c r="Q31" s="3"/>
      <c r="R31" s="19">
        <f t="shared" si="8"/>
        <v>0</v>
      </c>
      <c r="S31" s="3"/>
      <c r="T31" s="3"/>
      <c r="U31" s="3"/>
      <c r="V31" s="19">
        <f t="shared" si="9"/>
        <v>0</v>
      </c>
      <c r="W31" s="3"/>
      <c r="X31" s="3">
        <f t="shared" si="10"/>
        <v>0</v>
      </c>
      <c r="Y31" s="3"/>
      <c r="Z31" s="19">
        <f t="shared" si="11"/>
        <v>0</v>
      </c>
    </row>
    <row r="32" spans="1:26" s="24" customFormat="1" hidden="1" outlineLevel="1" x14ac:dyDescent="0.3">
      <c r="A32" s="44"/>
      <c r="B32" s="11" t="str">
        <f>CONCATENATE("          ", "5544", " - ", "FREIGHT-IN-ACCESSORIES")</f>
        <v xml:space="preserve">          5544 - FREIGHT-IN-ACCESSORIES</v>
      </c>
      <c r="C32" s="11"/>
      <c r="D32" s="3">
        <v>0</v>
      </c>
      <c r="E32" s="3"/>
      <c r="F32" s="19">
        <f t="shared" si="4"/>
        <v>0</v>
      </c>
      <c r="G32" s="3"/>
      <c r="H32" s="3"/>
      <c r="I32" s="3"/>
      <c r="J32" s="19">
        <f t="shared" si="5"/>
        <v>0</v>
      </c>
      <c r="K32" s="3"/>
      <c r="L32" s="3">
        <f t="shared" si="6"/>
        <v>0</v>
      </c>
      <c r="M32" s="3"/>
      <c r="N32" s="19">
        <f t="shared" si="7"/>
        <v>0</v>
      </c>
      <c r="O32" s="11"/>
      <c r="P32" s="3">
        <v>0</v>
      </c>
      <c r="Q32" s="3"/>
      <c r="R32" s="19">
        <f t="shared" si="8"/>
        <v>0</v>
      </c>
      <c r="S32" s="3"/>
      <c r="T32" s="3"/>
      <c r="U32" s="3"/>
      <c r="V32" s="19">
        <f t="shared" si="9"/>
        <v>0</v>
      </c>
      <c r="W32" s="3"/>
      <c r="X32" s="3">
        <f t="shared" si="10"/>
        <v>0</v>
      </c>
      <c r="Y32" s="3"/>
      <c r="Z32" s="19">
        <f t="shared" si="11"/>
        <v>0</v>
      </c>
    </row>
    <row r="33" spans="1:26" s="24" customFormat="1" hidden="1" outlineLevel="1" x14ac:dyDescent="0.3">
      <c r="A33" s="44"/>
      <c r="B33" s="11" t="str">
        <f>CONCATENATE("          ", "5545", " - ", "FREIGHT-IN-SPECIAL ORDERS")</f>
        <v xml:space="preserve">          5545 - FREIGHT-IN-SPECIAL ORDERS</v>
      </c>
      <c r="C33" s="11"/>
      <c r="D33" s="3">
        <v>0</v>
      </c>
      <c r="E33" s="3"/>
      <c r="F33" s="19">
        <f t="shared" si="4"/>
        <v>0</v>
      </c>
      <c r="G33" s="3"/>
      <c r="H33" s="3"/>
      <c r="I33" s="3"/>
      <c r="J33" s="19">
        <f t="shared" si="5"/>
        <v>0</v>
      </c>
      <c r="K33" s="3"/>
      <c r="L33" s="3">
        <f t="shared" si="6"/>
        <v>0</v>
      </c>
      <c r="M33" s="3"/>
      <c r="N33" s="19">
        <f t="shared" si="7"/>
        <v>0</v>
      </c>
      <c r="O33" s="11"/>
      <c r="P33" s="3">
        <v>0</v>
      </c>
      <c r="Q33" s="3"/>
      <c r="R33" s="19">
        <f t="shared" si="8"/>
        <v>0</v>
      </c>
      <c r="S33" s="3"/>
      <c r="T33" s="3"/>
      <c r="U33" s="3"/>
      <c r="V33" s="19">
        <f t="shared" si="9"/>
        <v>0</v>
      </c>
      <c r="W33" s="3"/>
      <c r="X33" s="3">
        <f t="shared" si="10"/>
        <v>0</v>
      </c>
      <c r="Y33" s="3"/>
      <c r="Z33" s="19">
        <f t="shared" si="11"/>
        <v>0</v>
      </c>
    </row>
    <row r="34" spans="1:26" x14ac:dyDescent="0.3">
      <c r="A34" s="9"/>
      <c r="B34" s="10"/>
      <c r="C34" s="10"/>
      <c r="D34" s="2"/>
      <c r="E34" s="2"/>
      <c r="F34" s="6"/>
      <c r="G34" s="2"/>
      <c r="H34" s="2"/>
      <c r="I34" s="2"/>
      <c r="J34" s="6"/>
      <c r="K34" s="2"/>
      <c r="L34" s="2"/>
      <c r="M34" s="2"/>
      <c r="N34" s="6"/>
      <c r="O34" s="10"/>
      <c r="P34" s="2"/>
      <c r="Q34" s="2"/>
      <c r="R34" s="6"/>
      <c r="S34" s="2"/>
      <c r="T34" s="2"/>
      <c r="U34" s="2"/>
      <c r="V34" s="6"/>
      <c r="W34" s="2"/>
      <c r="X34" s="2"/>
      <c r="Y34" s="2"/>
      <c r="Z34" s="6"/>
    </row>
    <row r="35" spans="1:26" s="23" customFormat="1" x14ac:dyDescent="0.3">
      <c r="A35" s="10"/>
      <c r="B35" s="26" t="s">
        <v>108</v>
      </c>
      <c r="C35" s="26"/>
      <c r="D35" s="21">
        <f>D12-D18</f>
        <v>73131.909999999989</v>
      </c>
      <c r="E35" s="13"/>
      <c r="F35" s="22">
        <f>IF(D$12=0,0,D35/D$12)</f>
        <v>0.46924067510375245</v>
      </c>
      <c r="G35" s="13"/>
      <c r="H35" s="21">
        <f>H12-H18</f>
        <v>99046</v>
      </c>
      <c r="I35" s="13"/>
      <c r="J35" s="22">
        <f>IF(H$12=0,0,H35/H$12)</f>
        <v>0.41336855767986747</v>
      </c>
      <c r="K35" s="16"/>
      <c r="L35" s="21">
        <f>+D35-H35</f>
        <v>-25914.090000000011</v>
      </c>
      <c r="M35" s="16"/>
      <c r="N35" s="22">
        <f>IF(H35=0,0,L35/H35)</f>
        <v>-0.26163691618036078</v>
      </c>
      <c r="O35" s="25"/>
      <c r="P35" s="21">
        <f>P12-P18</f>
        <v>73131.909999999989</v>
      </c>
      <c r="Q35" s="13"/>
      <c r="R35" s="22">
        <f>IF(P$12=0,0,P35/P$12)</f>
        <v>0.46924067510375245</v>
      </c>
      <c r="S35" s="13"/>
      <c r="T35" s="21">
        <f>T12-T18</f>
        <v>99046</v>
      </c>
      <c r="U35" s="13"/>
      <c r="V35" s="22">
        <f>IF(T$12=0,0,T35/T$12)</f>
        <v>0.41336855767986747</v>
      </c>
      <c r="W35" s="16"/>
      <c r="X35" s="21">
        <f>+P35-T35</f>
        <v>-25914.090000000011</v>
      </c>
      <c r="Y35" s="16"/>
      <c r="Z35" s="22">
        <f>IF(T35=0,0,X35/T35)</f>
        <v>-0.26163691618036078</v>
      </c>
    </row>
    <row r="36" spans="1:26" x14ac:dyDescent="0.3">
      <c r="A36" s="9"/>
      <c r="B36" s="10"/>
      <c r="C36" s="9"/>
      <c r="D36" s="1"/>
      <c r="E36" s="1"/>
      <c r="F36" s="5"/>
      <c r="G36" s="1"/>
      <c r="H36" s="1"/>
      <c r="I36" s="1"/>
      <c r="J36" s="5"/>
      <c r="K36" s="1"/>
      <c r="L36" s="1"/>
      <c r="M36" s="1"/>
      <c r="N36" s="5"/>
      <c r="O36" s="36"/>
      <c r="P36" s="1"/>
      <c r="Q36" s="1"/>
      <c r="R36" s="5"/>
      <c r="S36" s="1"/>
      <c r="T36" s="1"/>
      <c r="U36" s="1"/>
      <c r="V36" s="5"/>
      <c r="W36" s="1"/>
      <c r="X36" s="1"/>
      <c r="Y36" s="1"/>
      <c r="Z36" s="5"/>
    </row>
    <row r="37" spans="1:26" s="23" customFormat="1" x14ac:dyDescent="0.3">
      <c r="A37" s="10"/>
      <c r="B37" s="25" t="s">
        <v>295</v>
      </c>
      <c r="C37" s="10"/>
      <c r="D37" s="20">
        <f>SUM(OSRRefD22x_0)</f>
        <v>96192.790000000023</v>
      </c>
      <c r="E37" s="20"/>
      <c r="F37" s="32">
        <f t="shared" ref="F37:F47" si="12">IF(D$12=0,0,D37/D$12)</f>
        <v>0.61720758721758406</v>
      </c>
      <c r="G37" s="20"/>
      <c r="H37" s="20">
        <f>SUM(OSRRefH22x_0)</f>
        <v>121660.99338461537</v>
      </c>
      <c r="I37" s="20"/>
      <c r="J37" s="32">
        <f t="shared" ref="J37:J47" si="13">IF(H$12=0,0,H37/H$12)</f>
        <v>0.5077522500787347</v>
      </c>
      <c r="K37" s="4"/>
      <c r="L37" s="20">
        <f t="shared" ref="L37:L47" si="14">+D37-H37</f>
        <v>-25468.20338461535</v>
      </c>
      <c r="M37" s="4"/>
      <c r="N37" s="32">
        <f t="shared" ref="N37:N47" si="15">IF(H37=0,0,L37/H37)</f>
        <v>-0.20933746039785278</v>
      </c>
      <c r="O37" s="10"/>
      <c r="P37" s="20">
        <f>SUM(OSRRefP22x_0)</f>
        <v>96192.790000000023</v>
      </c>
      <c r="Q37" s="20"/>
      <c r="R37" s="32">
        <f t="shared" ref="R37:R47" si="16">IF(P$12=0,0,P37/P$12)</f>
        <v>0.61720758721758406</v>
      </c>
      <c r="S37" s="20"/>
      <c r="T37" s="20">
        <f>SUM(OSRRefT22x_0)</f>
        <v>121660.99338461537</v>
      </c>
      <c r="U37" s="20"/>
      <c r="V37" s="32">
        <f t="shared" ref="V37:V47" si="17">IF(T$12=0,0,T37/T$12)</f>
        <v>0.5077522500787347</v>
      </c>
      <c r="W37" s="4"/>
      <c r="X37" s="20">
        <f t="shared" ref="X37:X47" si="18">+P37-T37</f>
        <v>-25468.20338461535</v>
      </c>
      <c r="Y37" s="4"/>
      <c r="Z37" s="32">
        <f t="shared" ref="Z37:Z47" si="19">IF(T37=0,0,X37/T37)</f>
        <v>-0.20933746039785278</v>
      </c>
    </row>
    <row r="38" spans="1:26" s="27" customFormat="1" outlineLevel="1" collapsed="1" x14ac:dyDescent="0.3">
      <c r="A38" s="28"/>
      <c r="B38" s="14" t="str">
        <f>CONCATENATE("     ","*Benefits                                         ")</f>
        <v xml:space="preserve">     *Benefits                                         </v>
      </c>
      <c r="C38" s="14"/>
      <c r="D38" s="1">
        <f>SUM(OSRRefD22_0x_0)</f>
        <v>13678.2</v>
      </c>
      <c r="E38" s="1"/>
      <c r="F38" s="5">
        <f t="shared" si="12"/>
        <v>8.7764257793952707E-2</v>
      </c>
      <c r="G38" s="1"/>
      <c r="H38" s="1">
        <f>SUM(OSRRefH22_0x_0)</f>
        <v>20943.73376923077</v>
      </c>
      <c r="I38" s="1"/>
      <c r="J38" s="5">
        <f t="shared" si="13"/>
        <v>8.7408689100196446E-2</v>
      </c>
      <c r="K38" s="1"/>
      <c r="L38" s="1">
        <f t="shared" si="14"/>
        <v>-7265.5337692307694</v>
      </c>
      <c r="M38" s="1"/>
      <c r="N38" s="5">
        <f t="shared" si="15"/>
        <v>-0.34690728259279341</v>
      </c>
      <c r="O38" s="14"/>
      <c r="P38" s="1">
        <f>SUM(OSRRefP22_0x_0)</f>
        <v>13678.2</v>
      </c>
      <c r="Q38" s="1"/>
      <c r="R38" s="5">
        <f t="shared" si="16"/>
        <v>8.7764257793952707E-2</v>
      </c>
      <c r="S38" s="1"/>
      <c r="T38" s="1">
        <f>SUM(OSRRefT22_0x_0)</f>
        <v>20943.73376923077</v>
      </c>
      <c r="U38" s="1"/>
      <c r="V38" s="5">
        <f t="shared" si="17"/>
        <v>8.7408689100196446E-2</v>
      </c>
      <c r="W38" s="1"/>
      <c r="X38" s="1">
        <f t="shared" si="18"/>
        <v>-7265.5337692307694</v>
      </c>
      <c r="Y38" s="1"/>
      <c r="Z38" s="5">
        <f t="shared" si="19"/>
        <v>-0.34690728259279341</v>
      </c>
    </row>
    <row r="39" spans="1:26" s="24" customFormat="1" hidden="1" outlineLevel="2" x14ac:dyDescent="0.3">
      <c r="A39" s="29"/>
      <c r="B39" s="11" t="str">
        <f>CONCATENATE("          ", "6111", " - ", "F.I.C.A.")</f>
        <v xml:space="preserve">          6111 - F.I.C.A.</v>
      </c>
      <c r="C39" s="11"/>
      <c r="D39" s="8">
        <v>3257.4</v>
      </c>
      <c r="E39" s="3"/>
      <c r="F39" s="7">
        <f t="shared" si="12"/>
        <v>2.0900651645539732E-2</v>
      </c>
      <c r="G39" s="3"/>
      <c r="H39" s="8">
        <v>3601.6195384615398</v>
      </c>
      <c r="I39" s="3"/>
      <c r="J39" s="7">
        <f t="shared" si="13"/>
        <v>1.5031361932086875E-2</v>
      </c>
      <c r="K39" s="3"/>
      <c r="L39" s="8">
        <f t="shared" si="14"/>
        <v>-344.21953846153974</v>
      </c>
      <c r="M39" s="3"/>
      <c r="N39" s="7">
        <f t="shared" si="15"/>
        <v>-9.5573542620377899E-2</v>
      </c>
      <c r="O39" s="11"/>
      <c r="P39" s="8">
        <v>3257.4</v>
      </c>
      <c r="Q39" s="3"/>
      <c r="R39" s="7">
        <f t="shared" si="16"/>
        <v>2.0900651645539732E-2</v>
      </c>
      <c r="S39" s="3"/>
      <c r="T39" s="8">
        <v>3601.6195384615398</v>
      </c>
      <c r="U39" s="3"/>
      <c r="V39" s="7">
        <f t="shared" si="17"/>
        <v>1.5031361932086875E-2</v>
      </c>
      <c r="W39" s="3"/>
      <c r="X39" s="8">
        <f t="shared" si="18"/>
        <v>-344.21953846153974</v>
      </c>
      <c r="Y39" s="3"/>
      <c r="Z39" s="7">
        <f t="shared" si="19"/>
        <v>-9.5573542620377899E-2</v>
      </c>
    </row>
    <row r="40" spans="1:26" s="24" customFormat="1" hidden="1" outlineLevel="2" x14ac:dyDescent="0.3">
      <c r="A40" s="29"/>
      <c r="B40" s="11" t="str">
        <f>CONCATENATE("          ", "6112", " - ", "COMPENSATION INSURANCE")</f>
        <v xml:space="preserve">          6112 - COMPENSATION INSURANCE</v>
      </c>
      <c r="C40" s="11"/>
      <c r="D40" s="8">
        <v>734.03</v>
      </c>
      <c r="E40" s="3"/>
      <c r="F40" s="7">
        <f t="shared" si="12"/>
        <v>4.7098008618454987E-3</v>
      </c>
      <c r="G40" s="3"/>
      <c r="H40" s="8">
        <v>1272.3599999999999</v>
      </c>
      <c r="I40" s="3"/>
      <c r="J40" s="7">
        <f t="shared" si="13"/>
        <v>5.3101954450412549E-3</v>
      </c>
      <c r="K40" s="3"/>
      <c r="L40" s="8">
        <f t="shared" si="14"/>
        <v>-538.32999999999993</v>
      </c>
      <c r="M40" s="3"/>
      <c r="N40" s="7">
        <f t="shared" si="15"/>
        <v>-0.42309566474897037</v>
      </c>
      <c r="O40" s="11"/>
      <c r="P40" s="8">
        <v>734.03</v>
      </c>
      <c r="Q40" s="3"/>
      <c r="R40" s="7">
        <f t="shared" si="16"/>
        <v>4.7098008618454987E-3</v>
      </c>
      <c r="S40" s="3"/>
      <c r="T40" s="8">
        <v>1272.3599999999999</v>
      </c>
      <c r="U40" s="3"/>
      <c r="V40" s="7">
        <f t="shared" si="17"/>
        <v>5.3101954450412549E-3</v>
      </c>
      <c r="W40" s="3"/>
      <c r="X40" s="8">
        <f t="shared" si="18"/>
        <v>-538.32999999999993</v>
      </c>
      <c r="Y40" s="3"/>
      <c r="Z40" s="7">
        <f t="shared" si="19"/>
        <v>-0.42309566474897037</v>
      </c>
    </row>
    <row r="41" spans="1:26" s="24" customFormat="1" hidden="1" outlineLevel="2" x14ac:dyDescent="0.3">
      <c r="A41" s="29"/>
      <c r="B41" s="11" t="str">
        <f>CONCATENATE("          ", "6113", " - ", "GROUP INSURANCE")</f>
        <v xml:space="preserve">          6113 - GROUP INSURANCE</v>
      </c>
      <c r="C41" s="11"/>
      <c r="D41" s="8">
        <v>4811.13</v>
      </c>
      <c r="E41" s="3"/>
      <c r="F41" s="7">
        <f t="shared" si="12"/>
        <v>3.0869942945725291E-2</v>
      </c>
      <c r="G41" s="3"/>
      <c r="H41" s="8">
        <v>8382.1538461538494</v>
      </c>
      <c r="I41" s="3"/>
      <c r="J41" s="7">
        <f t="shared" si="13"/>
        <v>3.4982925566255783E-2</v>
      </c>
      <c r="K41" s="3"/>
      <c r="L41" s="8">
        <f t="shared" si="14"/>
        <v>-3571.0238461538493</v>
      </c>
      <c r="M41" s="3"/>
      <c r="N41" s="7">
        <f t="shared" si="15"/>
        <v>-0.4260269987519274</v>
      </c>
      <c r="O41" s="11"/>
      <c r="P41" s="8">
        <v>4811.13</v>
      </c>
      <c r="Q41" s="3"/>
      <c r="R41" s="7">
        <f t="shared" si="16"/>
        <v>3.0869942945725291E-2</v>
      </c>
      <c r="S41" s="3"/>
      <c r="T41" s="8">
        <v>8382.1538461538494</v>
      </c>
      <c r="U41" s="3"/>
      <c r="V41" s="7">
        <f t="shared" si="17"/>
        <v>3.4982925566255783E-2</v>
      </c>
      <c r="W41" s="3"/>
      <c r="X41" s="8">
        <f t="shared" si="18"/>
        <v>-3571.0238461538493</v>
      </c>
      <c r="Y41" s="3"/>
      <c r="Z41" s="7">
        <f t="shared" si="19"/>
        <v>-0.4260269987519274</v>
      </c>
    </row>
    <row r="42" spans="1:26" s="24" customFormat="1" hidden="1" outlineLevel="2" x14ac:dyDescent="0.3">
      <c r="A42" s="29"/>
      <c r="B42" s="11" t="str">
        <f>CONCATENATE("          ", "6114", " - ", "STATE UNEMPLOYMENT INSURANCE")</f>
        <v xml:space="preserve">          6114 - STATE UNEMPLOYMENT INSURANCE</v>
      </c>
      <c r="C42" s="11"/>
      <c r="D42" s="8">
        <v>128.94999999999999</v>
      </c>
      <c r="E42" s="3"/>
      <c r="F42" s="7">
        <f t="shared" si="12"/>
        <v>8.2738964502128941E-4</v>
      </c>
      <c r="G42" s="3"/>
      <c r="H42" s="8">
        <v>171.27923076923099</v>
      </c>
      <c r="I42" s="3"/>
      <c r="J42" s="7">
        <f t="shared" si="13"/>
        <v>7.1483400221709296E-4</v>
      </c>
      <c r="K42" s="3"/>
      <c r="L42" s="8">
        <f t="shared" si="14"/>
        <v>-42.329230769231003</v>
      </c>
      <c r="M42" s="3"/>
      <c r="N42" s="7">
        <f t="shared" si="15"/>
        <v>-0.24713580612854508</v>
      </c>
      <c r="O42" s="11"/>
      <c r="P42" s="8">
        <v>128.94999999999999</v>
      </c>
      <c r="Q42" s="3"/>
      <c r="R42" s="7">
        <f t="shared" si="16"/>
        <v>8.2738964502128941E-4</v>
      </c>
      <c r="S42" s="3"/>
      <c r="T42" s="8">
        <v>171.27923076923099</v>
      </c>
      <c r="U42" s="3"/>
      <c r="V42" s="7">
        <f t="shared" si="17"/>
        <v>7.1483400221709296E-4</v>
      </c>
      <c r="W42" s="3"/>
      <c r="X42" s="8">
        <f t="shared" si="18"/>
        <v>-42.329230769231003</v>
      </c>
      <c r="Y42" s="3"/>
      <c r="Z42" s="7">
        <f t="shared" si="19"/>
        <v>-0.24713580612854508</v>
      </c>
    </row>
    <row r="43" spans="1:26" s="24" customFormat="1" hidden="1" outlineLevel="2" x14ac:dyDescent="0.3">
      <c r="A43" s="29"/>
      <c r="B43" s="11" t="str">
        <f>CONCATENATE("          ", "6115", " - ", "P.E.R.S.")</f>
        <v xml:space="preserve">          6115 - P.E.R.S.</v>
      </c>
      <c r="C43" s="11"/>
      <c r="D43" s="8">
        <v>1579.48</v>
      </c>
      <c r="E43" s="3"/>
      <c r="F43" s="7">
        <f t="shared" si="12"/>
        <v>1.0134512574782678E-2</v>
      </c>
      <c r="G43" s="3"/>
      <c r="H43" s="8">
        <v>1766.6798076923101</v>
      </c>
      <c r="I43" s="3"/>
      <c r="J43" s="7">
        <f t="shared" si="13"/>
        <v>7.373239545139792E-3</v>
      </c>
      <c r="K43" s="3"/>
      <c r="L43" s="8">
        <f t="shared" si="14"/>
        <v>-187.19980769231006</v>
      </c>
      <c r="M43" s="3"/>
      <c r="N43" s="7">
        <f t="shared" si="15"/>
        <v>-0.10596136712335895</v>
      </c>
      <c r="O43" s="11"/>
      <c r="P43" s="8">
        <v>1579.48</v>
      </c>
      <c r="Q43" s="3"/>
      <c r="R43" s="7">
        <f t="shared" si="16"/>
        <v>1.0134512574782678E-2</v>
      </c>
      <c r="S43" s="3"/>
      <c r="T43" s="8">
        <v>1766.6798076923101</v>
      </c>
      <c r="U43" s="3"/>
      <c r="V43" s="7">
        <f t="shared" si="17"/>
        <v>7.373239545139792E-3</v>
      </c>
      <c r="W43" s="3"/>
      <c r="X43" s="8">
        <f t="shared" si="18"/>
        <v>-187.19980769231006</v>
      </c>
      <c r="Y43" s="3"/>
      <c r="Z43" s="7">
        <f t="shared" si="19"/>
        <v>-0.10596136712335895</v>
      </c>
    </row>
    <row r="44" spans="1:26" s="24" customFormat="1" hidden="1" outlineLevel="2" x14ac:dyDescent="0.3">
      <c r="A44" s="29"/>
      <c r="B44" s="11" t="str">
        <f>CONCATENATE("          ", "6116", " - ", "EDUCATIONAL BENEFITS")</f>
        <v xml:space="preserve">          6116 - EDUCATIONAL BENEFITS</v>
      </c>
      <c r="C44" s="11"/>
      <c r="D44" s="8"/>
      <c r="E44" s="3"/>
      <c r="F44" s="7">
        <f t="shared" si="12"/>
        <v>0</v>
      </c>
      <c r="G44" s="3"/>
      <c r="H44" s="8">
        <v>0</v>
      </c>
      <c r="I44" s="3"/>
      <c r="J44" s="7">
        <f t="shared" si="13"/>
        <v>0</v>
      </c>
      <c r="K44" s="3"/>
      <c r="L44" s="8">
        <f t="shared" si="14"/>
        <v>0</v>
      </c>
      <c r="M44" s="3"/>
      <c r="N44" s="7">
        <f t="shared" si="15"/>
        <v>0</v>
      </c>
      <c r="O44" s="11"/>
      <c r="P44" s="8"/>
      <c r="Q44" s="3"/>
      <c r="R44" s="7">
        <f t="shared" si="16"/>
        <v>0</v>
      </c>
      <c r="S44" s="3"/>
      <c r="T44" s="8">
        <v>0</v>
      </c>
      <c r="U44" s="3"/>
      <c r="V44" s="7">
        <f t="shared" si="17"/>
        <v>0</v>
      </c>
      <c r="W44" s="3"/>
      <c r="X44" s="8">
        <f t="shared" si="18"/>
        <v>0</v>
      </c>
      <c r="Y44" s="3"/>
      <c r="Z44" s="7">
        <f t="shared" si="19"/>
        <v>0</v>
      </c>
    </row>
    <row r="45" spans="1:26" s="24" customFormat="1" hidden="1" outlineLevel="2" x14ac:dyDescent="0.3">
      <c r="A45" s="29"/>
      <c r="B45" s="11" t="str">
        <f>CONCATENATE("          ", "6118", " - ", "VACATION")</f>
        <v xml:space="preserve">          6118 - VACATION</v>
      </c>
      <c r="C45" s="11"/>
      <c r="D45" s="8">
        <v>1659.06</v>
      </c>
      <c r="E45" s="3"/>
      <c r="F45" s="7">
        <f t="shared" si="12"/>
        <v>1.064512651779E-2</v>
      </c>
      <c r="G45" s="3"/>
      <c r="H45" s="8">
        <v>1542.1394230769199</v>
      </c>
      <c r="I45" s="3"/>
      <c r="J45" s="7">
        <f t="shared" si="13"/>
        <v>6.4361200761117992E-3</v>
      </c>
      <c r="K45" s="3"/>
      <c r="L45" s="8">
        <f t="shared" si="14"/>
        <v>116.92057692308003</v>
      </c>
      <c r="M45" s="3"/>
      <c r="N45" s="7">
        <f t="shared" si="15"/>
        <v>7.5817124686298989E-2</v>
      </c>
      <c r="O45" s="11"/>
      <c r="P45" s="8">
        <v>1659.06</v>
      </c>
      <c r="Q45" s="3"/>
      <c r="R45" s="7">
        <f t="shared" si="16"/>
        <v>1.064512651779E-2</v>
      </c>
      <c r="S45" s="3"/>
      <c r="T45" s="8">
        <v>1542.1394230769199</v>
      </c>
      <c r="U45" s="3"/>
      <c r="V45" s="7">
        <f t="shared" si="17"/>
        <v>6.4361200761117992E-3</v>
      </c>
      <c r="W45" s="3"/>
      <c r="X45" s="8">
        <f t="shared" si="18"/>
        <v>116.92057692308003</v>
      </c>
      <c r="Y45" s="3"/>
      <c r="Z45" s="7">
        <f t="shared" si="19"/>
        <v>7.5817124686298989E-2</v>
      </c>
    </row>
    <row r="46" spans="1:26" s="24" customFormat="1" hidden="1" outlineLevel="2" x14ac:dyDescent="0.3">
      <c r="A46" s="29"/>
      <c r="B46" s="11" t="str">
        <f>CONCATENATE("          ", "6119", " - ", "SICK LEAVE")</f>
        <v xml:space="preserve">          6119 - SICK LEAVE</v>
      </c>
      <c r="C46" s="11"/>
      <c r="D46" s="8">
        <v>1120.42</v>
      </c>
      <c r="E46" s="3"/>
      <c r="F46" s="7">
        <f t="shared" si="12"/>
        <v>7.1890182712272448E-3</v>
      </c>
      <c r="G46" s="3"/>
      <c r="H46" s="8">
        <v>3332.5019230769199</v>
      </c>
      <c r="I46" s="3"/>
      <c r="J46" s="7">
        <f t="shared" si="13"/>
        <v>1.3908199355932505E-2</v>
      </c>
      <c r="K46" s="3"/>
      <c r="L46" s="8">
        <f t="shared" si="14"/>
        <v>-2212.0819230769198</v>
      </c>
      <c r="M46" s="3"/>
      <c r="N46" s="7">
        <f t="shared" si="15"/>
        <v>-0.66379014150260141</v>
      </c>
      <c r="O46" s="11"/>
      <c r="P46" s="8">
        <v>1120.42</v>
      </c>
      <c r="Q46" s="3"/>
      <c r="R46" s="7">
        <f t="shared" si="16"/>
        <v>7.1890182712272448E-3</v>
      </c>
      <c r="S46" s="3"/>
      <c r="T46" s="8">
        <v>3332.5019230769199</v>
      </c>
      <c r="U46" s="3"/>
      <c r="V46" s="7">
        <f t="shared" si="17"/>
        <v>1.3908199355932505E-2</v>
      </c>
      <c r="W46" s="3"/>
      <c r="X46" s="8">
        <f t="shared" si="18"/>
        <v>-2212.0819230769198</v>
      </c>
      <c r="Y46" s="3"/>
      <c r="Z46" s="7">
        <f t="shared" si="19"/>
        <v>-0.66379014150260141</v>
      </c>
    </row>
    <row r="47" spans="1:26" s="24" customFormat="1" hidden="1" outlineLevel="2" x14ac:dyDescent="0.3">
      <c r="A47" s="29"/>
      <c r="B47" s="11" t="str">
        <f>CONCATENATE("          ", "6156", " - ", "EMPLOYEE MEALS")</f>
        <v xml:space="preserve">          6156 - EMPLOYEE MEALS</v>
      </c>
      <c r="C47" s="11"/>
      <c r="D47" s="8">
        <v>387.73</v>
      </c>
      <c r="E47" s="3"/>
      <c r="F47" s="7">
        <f t="shared" si="12"/>
        <v>2.4878153320209736E-3</v>
      </c>
      <c r="G47" s="3"/>
      <c r="H47" s="8">
        <v>875</v>
      </c>
      <c r="I47" s="3"/>
      <c r="J47" s="7">
        <f t="shared" si="13"/>
        <v>3.6518131774113446E-3</v>
      </c>
      <c r="K47" s="3"/>
      <c r="L47" s="8">
        <f t="shared" si="14"/>
        <v>-487.27</v>
      </c>
      <c r="M47" s="3"/>
      <c r="N47" s="7">
        <f t="shared" si="15"/>
        <v>-0.55687999999999993</v>
      </c>
      <c r="O47" s="11"/>
      <c r="P47" s="8">
        <v>387.73</v>
      </c>
      <c r="Q47" s="3"/>
      <c r="R47" s="7">
        <f t="shared" si="16"/>
        <v>2.4878153320209736E-3</v>
      </c>
      <c r="S47" s="3"/>
      <c r="T47" s="8">
        <v>875</v>
      </c>
      <c r="U47" s="3"/>
      <c r="V47" s="7">
        <f t="shared" si="17"/>
        <v>3.6518131774113446E-3</v>
      </c>
      <c r="W47" s="3"/>
      <c r="X47" s="8">
        <f t="shared" si="18"/>
        <v>-487.27</v>
      </c>
      <c r="Y47" s="3"/>
      <c r="Z47" s="7">
        <f t="shared" si="19"/>
        <v>-0.55687999999999993</v>
      </c>
    </row>
    <row r="48" spans="1:26" s="27" customFormat="1" outlineLevel="1" collapsed="1" x14ac:dyDescent="0.3">
      <c r="A48" s="28"/>
      <c r="B48" s="14" t="str">
        <f>CONCATENATE("     ","*Payroll                                          ")</f>
        <v xml:space="preserve">     *Payroll                                          </v>
      </c>
      <c r="C48" s="14"/>
      <c r="D48" s="1">
        <f>SUM(OSRRefD22_1x_0)</f>
        <v>59216.320000000007</v>
      </c>
      <c r="E48" s="1"/>
      <c r="F48" s="5">
        <f t="shared" ref="F48:F58" si="20">IF(D$12=0,0,D48/D$12)</f>
        <v>0.37995323756701893</v>
      </c>
      <c r="G48" s="1"/>
      <c r="H48" s="1">
        <f>SUM(OSRRefH22_1x_0)</f>
        <v>77805.259615384595</v>
      </c>
      <c r="I48" s="1"/>
      <c r="J48" s="5">
        <f t="shared" ref="J48:J58" si="21">IF(H$12=0,0,H48/H$12)</f>
        <v>0.32472031124042533</v>
      </c>
      <c r="K48" s="1"/>
      <c r="L48" s="1">
        <f t="shared" ref="L48:L58" si="22">+D48-H48</f>
        <v>-18588.939615384588</v>
      </c>
      <c r="M48" s="1"/>
      <c r="N48" s="5">
        <f t="shared" ref="N48:N58" si="23">IF(H48=0,0,L48/H48)</f>
        <v>-0.23891623403450427</v>
      </c>
      <c r="O48" s="14"/>
      <c r="P48" s="1">
        <f>SUM(OSRRefP22_1x_0)</f>
        <v>59216.320000000007</v>
      </c>
      <c r="Q48" s="1"/>
      <c r="R48" s="5">
        <f t="shared" ref="R48:R58" si="24">IF(P$12=0,0,P48/P$12)</f>
        <v>0.37995323756701893</v>
      </c>
      <c r="S48" s="1"/>
      <c r="T48" s="1">
        <f>SUM(OSRRefT22_1x_0)</f>
        <v>77805.259615384595</v>
      </c>
      <c r="U48" s="1"/>
      <c r="V48" s="5">
        <f t="shared" ref="V48:V58" si="25">IF(T$12=0,0,T48/T$12)</f>
        <v>0.32472031124042533</v>
      </c>
      <c r="W48" s="1"/>
      <c r="X48" s="1">
        <f t="shared" ref="X48:X58" si="26">+P48-T48</f>
        <v>-18588.939615384588</v>
      </c>
      <c r="Y48" s="1"/>
      <c r="Z48" s="5">
        <f t="shared" ref="Z48:Z58" si="27">IF(T48=0,0,X48/T48)</f>
        <v>-0.23891623403450427</v>
      </c>
    </row>
    <row r="49" spans="1:26" s="24" customFormat="1" hidden="1" outlineLevel="2" x14ac:dyDescent="0.3">
      <c r="A49" s="29"/>
      <c r="B49" s="11" t="str">
        <f>CONCATENATE("          ", "6001", " - ", "ADMINISTRATIVE SALARIES")</f>
        <v xml:space="preserve">          6001 - ADMINISTRATIVE SALARIES</v>
      </c>
      <c r="C49" s="11"/>
      <c r="D49" s="8"/>
      <c r="E49" s="3"/>
      <c r="F49" s="7">
        <f t="shared" si="20"/>
        <v>0</v>
      </c>
      <c r="G49" s="3"/>
      <c r="H49" s="8">
        <v>0</v>
      </c>
      <c r="I49" s="3"/>
      <c r="J49" s="7">
        <f t="shared" si="21"/>
        <v>0</v>
      </c>
      <c r="K49" s="3"/>
      <c r="L49" s="8">
        <f t="shared" si="22"/>
        <v>0</v>
      </c>
      <c r="M49" s="3"/>
      <c r="N49" s="7">
        <f t="shared" si="23"/>
        <v>0</v>
      </c>
      <c r="O49" s="11"/>
      <c r="P49" s="8"/>
      <c r="Q49" s="3"/>
      <c r="R49" s="7">
        <f t="shared" si="24"/>
        <v>0</v>
      </c>
      <c r="S49" s="3"/>
      <c r="T49" s="8">
        <v>0</v>
      </c>
      <c r="U49" s="3"/>
      <c r="V49" s="7">
        <f t="shared" si="25"/>
        <v>0</v>
      </c>
      <c r="W49" s="3"/>
      <c r="X49" s="8">
        <f t="shared" si="26"/>
        <v>0</v>
      </c>
      <c r="Y49" s="3"/>
      <c r="Z49" s="7">
        <f t="shared" si="27"/>
        <v>0</v>
      </c>
    </row>
    <row r="50" spans="1:26" s="24" customFormat="1" hidden="1" outlineLevel="2" x14ac:dyDescent="0.3">
      <c r="A50" s="29"/>
      <c r="B50" s="11" t="str">
        <f>CONCATENATE("          ", "6002", " - ", "STAFF SALARIES")</f>
        <v xml:space="preserve">          6002 - STAFF SALARIES</v>
      </c>
      <c r="C50" s="11"/>
      <c r="D50" s="8">
        <v>17125.82</v>
      </c>
      <c r="E50" s="3"/>
      <c r="F50" s="7">
        <f t="shared" si="20"/>
        <v>0.10988542947265219</v>
      </c>
      <c r="G50" s="3"/>
      <c r="H50" s="8">
        <v>18488.509615384599</v>
      </c>
      <c r="I50" s="3"/>
      <c r="J50" s="7">
        <f t="shared" si="21"/>
        <v>7.716180919332323E-2</v>
      </c>
      <c r="K50" s="3"/>
      <c r="L50" s="8">
        <f t="shared" si="22"/>
        <v>-1362.6896153845992</v>
      </c>
      <c r="M50" s="3"/>
      <c r="N50" s="7">
        <f t="shared" si="23"/>
        <v>-7.3704676241219694E-2</v>
      </c>
      <c r="O50" s="11"/>
      <c r="P50" s="8">
        <v>17125.82</v>
      </c>
      <c r="Q50" s="3"/>
      <c r="R50" s="7">
        <f t="shared" si="24"/>
        <v>0.10988542947265219</v>
      </c>
      <c r="S50" s="3"/>
      <c r="T50" s="8">
        <v>18488.509615384599</v>
      </c>
      <c r="U50" s="3"/>
      <c r="V50" s="7">
        <f t="shared" si="25"/>
        <v>7.716180919332323E-2</v>
      </c>
      <c r="W50" s="3"/>
      <c r="X50" s="8">
        <f t="shared" si="26"/>
        <v>-1362.6896153845992</v>
      </c>
      <c r="Y50" s="3"/>
      <c r="Z50" s="7">
        <f t="shared" si="27"/>
        <v>-7.3704676241219694E-2</v>
      </c>
    </row>
    <row r="51" spans="1:26" s="24" customFormat="1" hidden="1" outlineLevel="2" x14ac:dyDescent="0.3">
      <c r="A51" s="29"/>
      <c r="B51" s="11" t="str">
        <f>CONCATENATE("          ", "6003", " - ", "STAFF HOURLY-9 MONTH")</f>
        <v xml:space="preserve">          6003 - STAFF HOURLY-9 MONTH</v>
      </c>
      <c r="C51" s="11"/>
      <c r="D51" s="8"/>
      <c r="E51" s="3"/>
      <c r="F51" s="7">
        <f t="shared" si="20"/>
        <v>0</v>
      </c>
      <c r="G51" s="3"/>
      <c r="H51" s="8">
        <v>0</v>
      </c>
      <c r="I51" s="3"/>
      <c r="J51" s="7">
        <f t="shared" si="21"/>
        <v>0</v>
      </c>
      <c r="K51" s="3"/>
      <c r="L51" s="8">
        <f t="shared" si="22"/>
        <v>0</v>
      </c>
      <c r="M51" s="3"/>
      <c r="N51" s="7">
        <f t="shared" si="23"/>
        <v>0</v>
      </c>
      <c r="O51" s="11"/>
      <c r="P51" s="8"/>
      <c r="Q51" s="3"/>
      <c r="R51" s="7">
        <f t="shared" si="24"/>
        <v>0</v>
      </c>
      <c r="S51" s="3"/>
      <c r="T51" s="8">
        <v>0</v>
      </c>
      <c r="U51" s="3"/>
      <c r="V51" s="7">
        <f t="shared" si="25"/>
        <v>0</v>
      </c>
      <c r="W51" s="3"/>
      <c r="X51" s="8">
        <f t="shared" si="26"/>
        <v>0</v>
      </c>
      <c r="Y51" s="3"/>
      <c r="Z51" s="7">
        <f t="shared" si="27"/>
        <v>0</v>
      </c>
    </row>
    <row r="52" spans="1:26" s="24" customFormat="1" hidden="1" outlineLevel="2" x14ac:dyDescent="0.3">
      <c r="A52" s="29"/>
      <c r="B52" s="11" t="str">
        <f>CONCATENATE("          ", "6004", " - ", "STAFF HOURLY")</f>
        <v xml:space="preserve">          6004 - STAFF HOURLY</v>
      </c>
      <c r="C52" s="11"/>
      <c r="D52" s="8">
        <v>8345.83</v>
      </c>
      <c r="E52" s="3"/>
      <c r="F52" s="7">
        <f t="shared" si="20"/>
        <v>5.3549851268771057E-2</v>
      </c>
      <c r="G52" s="3"/>
      <c r="H52" s="8">
        <v>22038</v>
      </c>
      <c r="I52" s="3"/>
      <c r="J52" s="7">
        <f t="shared" si="21"/>
        <v>9.1975610061475671E-2</v>
      </c>
      <c r="K52" s="3"/>
      <c r="L52" s="8">
        <f t="shared" si="22"/>
        <v>-13692.17</v>
      </c>
      <c r="M52" s="3"/>
      <c r="N52" s="7">
        <f t="shared" si="23"/>
        <v>-0.62129821217896364</v>
      </c>
      <c r="O52" s="11"/>
      <c r="P52" s="8">
        <v>8345.83</v>
      </c>
      <c r="Q52" s="3"/>
      <c r="R52" s="7">
        <f t="shared" si="24"/>
        <v>5.3549851268771057E-2</v>
      </c>
      <c r="S52" s="3"/>
      <c r="T52" s="8">
        <v>22038</v>
      </c>
      <c r="U52" s="3"/>
      <c r="V52" s="7">
        <f t="shared" si="25"/>
        <v>9.1975610061475671E-2</v>
      </c>
      <c r="W52" s="3"/>
      <c r="X52" s="8">
        <f t="shared" si="26"/>
        <v>-13692.17</v>
      </c>
      <c r="Y52" s="3"/>
      <c r="Z52" s="7">
        <f t="shared" si="27"/>
        <v>-0.62129821217896364</v>
      </c>
    </row>
    <row r="53" spans="1:26" s="24" customFormat="1" hidden="1" outlineLevel="2" x14ac:dyDescent="0.3">
      <c r="A53" s="29"/>
      <c r="B53" s="11" t="str">
        <f>CONCATENATE("          ", "6005", " - ", "TEMPORARY WAGES-HOURLY")</f>
        <v xml:space="preserve">          6005 - TEMPORARY WAGES-HOURLY</v>
      </c>
      <c r="C53" s="11"/>
      <c r="D53" s="8">
        <v>3365.77</v>
      </c>
      <c r="E53" s="3"/>
      <c r="F53" s="7">
        <f t="shared" si="20"/>
        <v>2.1595992598086897E-2</v>
      </c>
      <c r="G53" s="3"/>
      <c r="H53" s="8">
        <v>0</v>
      </c>
      <c r="I53" s="3"/>
      <c r="J53" s="7">
        <f t="shared" si="21"/>
        <v>0</v>
      </c>
      <c r="K53" s="3"/>
      <c r="L53" s="8">
        <f t="shared" si="22"/>
        <v>3365.77</v>
      </c>
      <c r="M53" s="3"/>
      <c r="N53" s="7">
        <f t="shared" si="23"/>
        <v>0</v>
      </c>
      <c r="O53" s="11"/>
      <c r="P53" s="8">
        <v>3365.77</v>
      </c>
      <c r="Q53" s="3"/>
      <c r="R53" s="7">
        <f t="shared" si="24"/>
        <v>2.1595992598086897E-2</v>
      </c>
      <c r="S53" s="3"/>
      <c r="T53" s="8">
        <v>0</v>
      </c>
      <c r="U53" s="3"/>
      <c r="V53" s="7">
        <f t="shared" si="25"/>
        <v>0</v>
      </c>
      <c r="W53" s="3"/>
      <c r="X53" s="8">
        <f t="shared" si="26"/>
        <v>3365.77</v>
      </c>
      <c r="Y53" s="3"/>
      <c r="Z53" s="7">
        <f t="shared" si="27"/>
        <v>0</v>
      </c>
    </row>
    <row r="54" spans="1:26" s="24" customFormat="1" hidden="1" outlineLevel="2" x14ac:dyDescent="0.3">
      <c r="A54" s="29"/>
      <c r="B54" s="11" t="str">
        <f>CONCATENATE("          ", "6006", " - ", "TEMPORARY PART TIME")</f>
        <v xml:space="preserve">          6006 - TEMPORARY PART TIME</v>
      </c>
      <c r="C54" s="11"/>
      <c r="D54" s="8"/>
      <c r="E54" s="3"/>
      <c r="F54" s="7">
        <f t="shared" si="20"/>
        <v>0</v>
      </c>
      <c r="G54" s="3"/>
      <c r="H54" s="8">
        <v>0</v>
      </c>
      <c r="I54" s="3"/>
      <c r="J54" s="7">
        <f t="shared" si="21"/>
        <v>0</v>
      </c>
      <c r="K54" s="3"/>
      <c r="L54" s="8">
        <f t="shared" si="22"/>
        <v>0</v>
      </c>
      <c r="M54" s="3"/>
      <c r="N54" s="7">
        <f t="shared" si="23"/>
        <v>0</v>
      </c>
      <c r="O54" s="11"/>
      <c r="P54" s="8"/>
      <c r="Q54" s="3"/>
      <c r="R54" s="7">
        <f t="shared" si="24"/>
        <v>0</v>
      </c>
      <c r="S54" s="3"/>
      <c r="T54" s="8">
        <v>0</v>
      </c>
      <c r="U54" s="3"/>
      <c r="V54" s="7">
        <f t="shared" si="25"/>
        <v>0</v>
      </c>
      <c r="W54" s="3"/>
      <c r="X54" s="8">
        <f t="shared" si="26"/>
        <v>0</v>
      </c>
      <c r="Y54" s="3"/>
      <c r="Z54" s="7">
        <f t="shared" si="27"/>
        <v>0</v>
      </c>
    </row>
    <row r="55" spans="1:26" s="24" customFormat="1" hidden="1" outlineLevel="2" x14ac:dyDescent="0.3">
      <c r="A55" s="29"/>
      <c r="B55" s="11" t="str">
        <f>CONCATENATE("          ", "6007", " - ", "STUDENT HOURLY")</f>
        <v xml:space="preserve">          6007 - STUDENT HOURLY</v>
      </c>
      <c r="C55" s="11"/>
      <c r="D55" s="8">
        <v>22560.71</v>
      </c>
      <c r="E55" s="3"/>
      <c r="F55" s="7">
        <f t="shared" si="20"/>
        <v>0.14475764124333659</v>
      </c>
      <c r="G55" s="3"/>
      <c r="H55" s="8">
        <v>2778.75</v>
      </c>
      <c r="I55" s="3"/>
      <c r="J55" s="7">
        <f t="shared" si="21"/>
        <v>1.1597115276264884E-2</v>
      </c>
      <c r="K55" s="3"/>
      <c r="L55" s="8">
        <f t="shared" si="22"/>
        <v>19781.96</v>
      </c>
      <c r="M55" s="3"/>
      <c r="N55" s="7">
        <f t="shared" si="23"/>
        <v>7.1190139451192076</v>
      </c>
      <c r="O55" s="11"/>
      <c r="P55" s="8">
        <v>22560.71</v>
      </c>
      <c r="Q55" s="3"/>
      <c r="R55" s="7">
        <f t="shared" si="24"/>
        <v>0.14475764124333659</v>
      </c>
      <c r="S55" s="3"/>
      <c r="T55" s="8">
        <v>2778.75</v>
      </c>
      <c r="U55" s="3"/>
      <c r="V55" s="7">
        <f t="shared" si="25"/>
        <v>1.1597115276264884E-2</v>
      </c>
      <c r="W55" s="3"/>
      <c r="X55" s="8">
        <f t="shared" si="26"/>
        <v>19781.96</v>
      </c>
      <c r="Y55" s="3"/>
      <c r="Z55" s="7">
        <f t="shared" si="27"/>
        <v>7.1190139451192076</v>
      </c>
    </row>
    <row r="56" spans="1:26" s="24" customFormat="1" hidden="1" outlineLevel="2" x14ac:dyDescent="0.3">
      <c r="A56" s="29"/>
      <c r="B56" s="11" t="str">
        <f>CONCATENATE("          ", "6008", " - ", "STUDENT HOURLY-FICA EXEMPT")</f>
        <v xml:space="preserve">          6008 - STUDENT HOURLY-FICA EXEMPT</v>
      </c>
      <c r="C56" s="11"/>
      <c r="D56" s="8">
        <v>7818.19</v>
      </c>
      <c r="E56" s="3"/>
      <c r="F56" s="7">
        <f t="shared" si="20"/>
        <v>5.0164322984172116E-2</v>
      </c>
      <c r="G56" s="3"/>
      <c r="H56" s="8">
        <v>34500</v>
      </c>
      <c r="I56" s="3"/>
      <c r="J56" s="7">
        <f t="shared" si="21"/>
        <v>0.14398577670936158</v>
      </c>
      <c r="K56" s="3"/>
      <c r="L56" s="8">
        <f t="shared" si="22"/>
        <v>-26681.81</v>
      </c>
      <c r="M56" s="3"/>
      <c r="N56" s="7">
        <f t="shared" si="23"/>
        <v>-0.77338579710144928</v>
      </c>
      <c r="O56" s="11"/>
      <c r="P56" s="8">
        <v>7818.19</v>
      </c>
      <c r="Q56" s="3"/>
      <c r="R56" s="7">
        <f t="shared" si="24"/>
        <v>5.0164322984172116E-2</v>
      </c>
      <c r="S56" s="3"/>
      <c r="T56" s="8">
        <v>34500</v>
      </c>
      <c r="U56" s="3"/>
      <c r="V56" s="7">
        <f t="shared" si="25"/>
        <v>0.14398577670936158</v>
      </c>
      <c r="W56" s="3"/>
      <c r="X56" s="8">
        <f t="shared" si="26"/>
        <v>-26681.81</v>
      </c>
      <c r="Y56" s="3"/>
      <c r="Z56" s="7">
        <f t="shared" si="27"/>
        <v>-0.77338579710144928</v>
      </c>
    </row>
    <row r="57" spans="1:26" s="24" customFormat="1" hidden="1" outlineLevel="2" x14ac:dyDescent="0.3">
      <c r="A57" s="29"/>
      <c r="B57" s="11" t="str">
        <f>CONCATENATE("          ", "6009", " - ", "TEMPORARY-SEASONAL")</f>
        <v xml:space="preserve">          6009 - TEMPORARY-SEASONAL</v>
      </c>
      <c r="C57" s="11"/>
      <c r="D57" s="8"/>
      <c r="E57" s="3"/>
      <c r="F57" s="7">
        <f t="shared" si="20"/>
        <v>0</v>
      </c>
      <c r="G57" s="3"/>
      <c r="H57" s="8">
        <v>0</v>
      </c>
      <c r="I57" s="3"/>
      <c r="J57" s="7">
        <f t="shared" si="21"/>
        <v>0</v>
      </c>
      <c r="K57" s="3"/>
      <c r="L57" s="8">
        <f t="shared" si="22"/>
        <v>0</v>
      </c>
      <c r="M57" s="3"/>
      <c r="N57" s="7">
        <f t="shared" si="23"/>
        <v>0</v>
      </c>
      <c r="O57" s="11"/>
      <c r="P57" s="8"/>
      <c r="Q57" s="3"/>
      <c r="R57" s="7">
        <f t="shared" si="24"/>
        <v>0</v>
      </c>
      <c r="S57" s="3"/>
      <c r="T57" s="8">
        <v>0</v>
      </c>
      <c r="U57" s="3"/>
      <c r="V57" s="7">
        <f t="shared" si="25"/>
        <v>0</v>
      </c>
      <c r="W57" s="3"/>
      <c r="X57" s="8">
        <f t="shared" si="26"/>
        <v>0</v>
      </c>
      <c r="Y57" s="3"/>
      <c r="Z57" s="7">
        <f t="shared" si="27"/>
        <v>0</v>
      </c>
    </row>
    <row r="58" spans="1:26" s="24" customFormat="1" hidden="1" outlineLevel="2" x14ac:dyDescent="0.3">
      <c r="A58" s="29"/>
      <c r="B58" s="11" t="str">
        <f>CONCATENATE("          ", "6010", " - ", "GRATUITY")</f>
        <v xml:space="preserve">          6010 - GRATUITY</v>
      </c>
      <c r="C58" s="11"/>
      <c r="D58" s="8"/>
      <c r="E58" s="3"/>
      <c r="F58" s="7">
        <f t="shared" si="20"/>
        <v>0</v>
      </c>
      <c r="G58" s="3"/>
      <c r="H58" s="8">
        <v>0</v>
      </c>
      <c r="I58" s="3"/>
      <c r="J58" s="7">
        <f t="shared" si="21"/>
        <v>0</v>
      </c>
      <c r="K58" s="3"/>
      <c r="L58" s="8">
        <f t="shared" si="22"/>
        <v>0</v>
      </c>
      <c r="M58" s="3"/>
      <c r="N58" s="7">
        <f t="shared" si="23"/>
        <v>0</v>
      </c>
      <c r="O58" s="11"/>
      <c r="P58" s="8"/>
      <c r="Q58" s="3"/>
      <c r="R58" s="7">
        <f t="shared" si="24"/>
        <v>0</v>
      </c>
      <c r="S58" s="3"/>
      <c r="T58" s="8">
        <v>0</v>
      </c>
      <c r="U58" s="3"/>
      <c r="V58" s="7">
        <f t="shared" si="25"/>
        <v>0</v>
      </c>
      <c r="W58" s="3"/>
      <c r="X58" s="8">
        <f t="shared" si="26"/>
        <v>0</v>
      </c>
      <c r="Y58" s="3"/>
      <c r="Z58" s="7">
        <f t="shared" si="27"/>
        <v>0</v>
      </c>
    </row>
    <row r="59" spans="1:26" s="27" customFormat="1" outlineLevel="1" collapsed="1" x14ac:dyDescent="0.3">
      <c r="A59" s="28"/>
      <c r="B59" s="14" t="str">
        <f>CONCATENATE("     ","Advertising/Promo                                 ")</f>
        <v xml:space="preserve">     Advertising/Promo                                 </v>
      </c>
      <c r="C59" s="14"/>
      <c r="D59" s="1">
        <f>SUM(OSRRefD22_2x_0)</f>
        <v>393.63</v>
      </c>
      <c r="E59" s="1"/>
      <c r="F59" s="5">
        <f t="shared" ref="F59:F69" si="28">IF(D$12=0,0,D59/D$12)</f>
        <v>2.5256718570742936E-3</v>
      </c>
      <c r="G59" s="1"/>
      <c r="H59" s="1">
        <f>SUM(OSRRefH22_2x_0)</f>
        <v>1500</v>
      </c>
      <c r="I59" s="1"/>
      <c r="J59" s="5">
        <f t="shared" ref="J59:J69" si="29">IF(H$12=0,0,H59/H$12)</f>
        <v>6.2602511612765907E-3</v>
      </c>
      <c r="K59" s="1"/>
      <c r="L59" s="1">
        <f t="shared" ref="L59:L69" si="30">+D59-H59</f>
        <v>-1106.3699999999999</v>
      </c>
      <c r="M59" s="1"/>
      <c r="N59" s="5">
        <f t="shared" ref="N59:N69" si="31">IF(H59=0,0,L59/H59)</f>
        <v>-0.7375799999999999</v>
      </c>
      <c r="O59" s="14"/>
      <c r="P59" s="1">
        <f>SUM(OSRRefP22_2x_0)</f>
        <v>393.63</v>
      </c>
      <c r="Q59" s="1"/>
      <c r="R59" s="5">
        <f t="shared" ref="R59:R69" si="32">IF(P$12=0,0,P59/P$12)</f>
        <v>2.5256718570742936E-3</v>
      </c>
      <c r="S59" s="1"/>
      <c r="T59" s="1">
        <f>SUM(OSRRefT22_2x_0)</f>
        <v>1500</v>
      </c>
      <c r="U59" s="1"/>
      <c r="V59" s="5">
        <f t="shared" ref="V59:V69" si="33">IF(T$12=0,0,T59/T$12)</f>
        <v>6.2602511612765907E-3</v>
      </c>
      <c r="W59" s="1"/>
      <c r="X59" s="1">
        <f t="shared" ref="X59:X69" si="34">+P59-T59</f>
        <v>-1106.3699999999999</v>
      </c>
      <c r="Y59" s="1"/>
      <c r="Z59" s="5">
        <f t="shared" ref="Z59:Z69" si="35">IF(T59=0,0,X59/T59)</f>
        <v>-0.7375799999999999</v>
      </c>
    </row>
    <row r="60" spans="1:26" s="24" customFormat="1" hidden="1" outlineLevel="2" x14ac:dyDescent="0.3">
      <c r="A60" s="29"/>
      <c r="B60" s="11" t="str">
        <f>CONCATENATE("          ", "6362", " - ", "ADVERTISING EXPENSE")</f>
        <v xml:space="preserve">          6362 - ADVERTISING EXPENSE</v>
      </c>
      <c r="C60" s="11"/>
      <c r="D60" s="8">
        <v>393.63</v>
      </c>
      <c r="E60" s="3"/>
      <c r="F60" s="7">
        <f t="shared" si="28"/>
        <v>2.5256718570742936E-3</v>
      </c>
      <c r="G60" s="3"/>
      <c r="H60" s="8">
        <v>1500</v>
      </c>
      <c r="I60" s="3"/>
      <c r="J60" s="7">
        <f t="shared" si="29"/>
        <v>6.2602511612765907E-3</v>
      </c>
      <c r="K60" s="3"/>
      <c r="L60" s="8">
        <f t="shared" si="30"/>
        <v>-1106.3699999999999</v>
      </c>
      <c r="M60" s="3"/>
      <c r="N60" s="7">
        <f t="shared" si="31"/>
        <v>-0.7375799999999999</v>
      </c>
      <c r="O60" s="11"/>
      <c r="P60" s="8">
        <v>393.63</v>
      </c>
      <c r="Q60" s="3"/>
      <c r="R60" s="7">
        <f t="shared" si="32"/>
        <v>2.5256718570742936E-3</v>
      </c>
      <c r="S60" s="3"/>
      <c r="T60" s="8">
        <v>1500</v>
      </c>
      <c r="U60" s="3"/>
      <c r="V60" s="7">
        <f t="shared" si="33"/>
        <v>6.2602511612765907E-3</v>
      </c>
      <c r="W60" s="3"/>
      <c r="X60" s="8">
        <f t="shared" si="34"/>
        <v>-1106.3699999999999</v>
      </c>
      <c r="Y60" s="3"/>
      <c r="Z60" s="7">
        <f t="shared" si="35"/>
        <v>-0.7375799999999999</v>
      </c>
    </row>
    <row r="61" spans="1:26" s="27" customFormat="1" outlineLevel="1" collapsed="1" x14ac:dyDescent="0.3">
      <c r="A61" s="28"/>
      <c r="B61" s="14" t="str">
        <f>CONCATENATE("     ","Bad Debts/Over/Short                              ")</f>
        <v xml:space="preserve">     Bad Debts/Over/Short                              </v>
      </c>
      <c r="C61" s="14"/>
      <c r="D61" s="1">
        <f>SUM(OSRRefD22_3x_0)</f>
        <v>0.6</v>
      </c>
      <c r="E61" s="1"/>
      <c r="F61" s="5">
        <f t="shared" si="28"/>
        <v>3.8498161071172828E-6</v>
      </c>
      <c r="G61" s="1"/>
      <c r="H61" s="1">
        <f>SUM(OSRRefH22_3x_0)</f>
        <v>10</v>
      </c>
      <c r="I61" s="1"/>
      <c r="J61" s="5">
        <f t="shared" si="29"/>
        <v>4.1735007741843936E-5</v>
      </c>
      <c r="K61" s="1"/>
      <c r="L61" s="1">
        <f t="shared" si="30"/>
        <v>-9.4</v>
      </c>
      <c r="M61" s="1"/>
      <c r="N61" s="5">
        <f t="shared" si="31"/>
        <v>-0.94000000000000006</v>
      </c>
      <c r="O61" s="14"/>
      <c r="P61" s="1">
        <f>SUM(OSRRefP22_3x_0)</f>
        <v>0.6</v>
      </c>
      <c r="Q61" s="1"/>
      <c r="R61" s="5">
        <f t="shared" si="32"/>
        <v>3.8498161071172828E-6</v>
      </c>
      <c r="S61" s="1"/>
      <c r="T61" s="1">
        <f>SUM(OSRRefT22_3x_0)</f>
        <v>10</v>
      </c>
      <c r="U61" s="1"/>
      <c r="V61" s="5">
        <f t="shared" si="33"/>
        <v>4.1735007741843936E-5</v>
      </c>
      <c r="W61" s="1"/>
      <c r="X61" s="1">
        <f t="shared" si="34"/>
        <v>-9.4</v>
      </c>
      <c r="Y61" s="1"/>
      <c r="Z61" s="5">
        <f t="shared" si="35"/>
        <v>-0.94000000000000006</v>
      </c>
    </row>
    <row r="62" spans="1:26" s="24" customFormat="1" hidden="1" outlineLevel="2" x14ac:dyDescent="0.3">
      <c r="A62" s="29"/>
      <c r="B62" s="11" t="str">
        <f>CONCATENATE("          ", "6272", " - ", "CASH (OVER/SHORT)")</f>
        <v xml:space="preserve">          6272 - CASH (OVER/SHORT)</v>
      </c>
      <c r="C62" s="11"/>
      <c r="D62" s="8">
        <v>0.6</v>
      </c>
      <c r="E62" s="3"/>
      <c r="F62" s="7">
        <f t="shared" si="28"/>
        <v>3.8498161071172828E-6</v>
      </c>
      <c r="G62" s="3"/>
      <c r="H62" s="8">
        <v>10</v>
      </c>
      <c r="I62" s="3"/>
      <c r="J62" s="7">
        <f t="shared" si="29"/>
        <v>4.1735007741843936E-5</v>
      </c>
      <c r="K62" s="3"/>
      <c r="L62" s="8">
        <f t="shared" si="30"/>
        <v>-9.4</v>
      </c>
      <c r="M62" s="3"/>
      <c r="N62" s="7">
        <f t="shared" si="31"/>
        <v>-0.94000000000000006</v>
      </c>
      <c r="O62" s="11"/>
      <c r="P62" s="8">
        <v>0.6</v>
      </c>
      <c r="Q62" s="3"/>
      <c r="R62" s="7">
        <f t="shared" si="32"/>
        <v>3.8498161071172828E-6</v>
      </c>
      <c r="S62" s="3"/>
      <c r="T62" s="8">
        <v>10</v>
      </c>
      <c r="U62" s="3"/>
      <c r="V62" s="7">
        <f t="shared" si="33"/>
        <v>4.1735007741843936E-5</v>
      </c>
      <c r="W62" s="3"/>
      <c r="X62" s="8">
        <f t="shared" si="34"/>
        <v>-9.4</v>
      </c>
      <c r="Y62" s="3"/>
      <c r="Z62" s="7">
        <f t="shared" si="35"/>
        <v>-0.94000000000000006</v>
      </c>
    </row>
    <row r="63" spans="1:26" s="27" customFormat="1" outlineLevel="1" collapsed="1" x14ac:dyDescent="0.3">
      <c r="A63" s="28"/>
      <c r="B63" s="14" t="str">
        <f>CONCATENATE("     ","Bank/card Fees                                    ")</f>
        <v xml:space="preserve">     Bank/card Fees                                    </v>
      </c>
      <c r="C63" s="14"/>
      <c r="D63" s="1">
        <f>SUM(OSRRefD22_4x_0)</f>
        <v>492.32</v>
      </c>
      <c r="E63" s="1"/>
      <c r="F63" s="5">
        <f t="shared" si="28"/>
        <v>3.1589024430933015E-3</v>
      </c>
      <c r="G63" s="1"/>
      <c r="H63" s="1">
        <f>SUM(OSRRefH22_4x_0)</f>
        <v>597</v>
      </c>
      <c r="I63" s="1"/>
      <c r="J63" s="5">
        <f t="shared" si="29"/>
        <v>2.491579962188083E-3</v>
      </c>
      <c r="K63" s="1"/>
      <c r="L63" s="1">
        <f t="shared" si="30"/>
        <v>-104.68</v>
      </c>
      <c r="M63" s="1"/>
      <c r="N63" s="5">
        <f t="shared" si="31"/>
        <v>-0.17534338358458962</v>
      </c>
      <c r="O63" s="14"/>
      <c r="P63" s="1">
        <f>SUM(OSRRefP22_4x_0)</f>
        <v>492.32</v>
      </c>
      <c r="Q63" s="1"/>
      <c r="R63" s="5">
        <f t="shared" si="32"/>
        <v>3.1589024430933015E-3</v>
      </c>
      <c r="S63" s="1"/>
      <c r="T63" s="1">
        <f>SUM(OSRRefT22_4x_0)</f>
        <v>597</v>
      </c>
      <c r="U63" s="1"/>
      <c r="V63" s="5">
        <f t="shared" si="33"/>
        <v>2.491579962188083E-3</v>
      </c>
      <c r="W63" s="1"/>
      <c r="X63" s="1">
        <f t="shared" si="34"/>
        <v>-104.68</v>
      </c>
      <c r="Y63" s="1"/>
      <c r="Z63" s="5">
        <f t="shared" si="35"/>
        <v>-0.17534338358458962</v>
      </c>
    </row>
    <row r="64" spans="1:26" s="24" customFormat="1" hidden="1" outlineLevel="2" x14ac:dyDescent="0.3">
      <c r="A64" s="29"/>
      <c r="B64" s="11" t="str">
        <f>CONCATENATE("          ", "6381", " - ", "BANK/CREDIT CARD FEES")</f>
        <v xml:space="preserve">          6381 - BANK/CREDIT CARD FEES</v>
      </c>
      <c r="C64" s="11"/>
      <c r="D64" s="8">
        <v>492.32</v>
      </c>
      <c r="E64" s="3"/>
      <c r="F64" s="7">
        <f t="shared" si="28"/>
        <v>3.1589024430933015E-3</v>
      </c>
      <c r="G64" s="3"/>
      <c r="H64" s="8">
        <v>597</v>
      </c>
      <c r="I64" s="3"/>
      <c r="J64" s="7">
        <f t="shared" si="29"/>
        <v>2.491579962188083E-3</v>
      </c>
      <c r="K64" s="3"/>
      <c r="L64" s="8">
        <f t="shared" si="30"/>
        <v>-104.68</v>
      </c>
      <c r="M64" s="3"/>
      <c r="N64" s="7">
        <f t="shared" si="31"/>
        <v>-0.17534338358458962</v>
      </c>
      <c r="O64" s="11"/>
      <c r="P64" s="8">
        <v>492.32</v>
      </c>
      <c r="Q64" s="3"/>
      <c r="R64" s="7">
        <f t="shared" si="32"/>
        <v>3.1589024430933015E-3</v>
      </c>
      <c r="S64" s="3"/>
      <c r="T64" s="8">
        <v>597</v>
      </c>
      <c r="U64" s="3"/>
      <c r="V64" s="7">
        <f t="shared" si="33"/>
        <v>2.491579962188083E-3</v>
      </c>
      <c r="W64" s="3"/>
      <c r="X64" s="8">
        <f t="shared" si="34"/>
        <v>-104.68</v>
      </c>
      <c r="Y64" s="3"/>
      <c r="Z64" s="7">
        <f t="shared" si="35"/>
        <v>-0.17534338358458962</v>
      </c>
    </row>
    <row r="65" spans="1:26" s="27" customFormat="1" outlineLevel="1" collapsed="1" x14ac:dyDescent="0.3">
      <c r="A65" s="28"/>
      <c r="B65" s="14" t="str">
        <f>CONCATENATE("     ","Employees' Appreciation                           ")</f>
        <v xml:space="preserve">     Employees' Appreciation                           </v>
      </c>
      <c r="C65" s="14"/>
      <c r="D65" s="1">
        <f>SUM(OSRRefD22_5x_0)</f>
        <v>216.44</v>
      </c>
      <c r="E65" s="1"/>
      <c r="F65" s="5">
        <f t="shared" si="28"/>
        <v>1.3887569970407747E-3</v>
      </c>
      <c r="G65" s="1"/>
      <c r="H65" s="1">
        <f>SUM(OSRRefH22_5x_0)</f>
        <v>75</v>
      </c>
      <c r="I65" s="1"/>
      <c r="J65" s="5">
        <f t="shared" si="29"/>
        <v>3.1301255806382951E-4</v>
      </c>
      <c r="K65" s="1"/>
      <c r="L65" s="1">
        <f t="shared" si="30"/>
        <v>141.44</v>
      </c>
      <c r="M65" s="1"/>
      <c r="N65" s="5">
        <f t="shared" si="31"/>
        <v>1.8858666666666666</v>
      </c>
      <c r="O65" s="14"/>
      <c r="P65" s="1">
        <f>SUM(OSRRefP22_5x_0)</f>
        <v>216.44</v>
      </c>
      <c r="Q65" s="1"/>
      <c r="R65" s="5">
        <f t="shared" si="32"/>
        <v>1.3887569970407747E-3</v>
      </c>
      <c r="S65" s="1"/>
      <c r="T65" s="1">
        <f>SUM(OSRRefT22_5x_0)</f>
        <v>75</v>
      </c>
      <c r="U65" s="1"/>
      <c r="V65" s="5">
        <f t="shared" si="33"/>
        <v>3.1301255806382951E-4</v>
      </c>
      <c r="W65" s="1"/>
      <c r="X65" s="1">
        <f t="shared" si="34"/>
        <v>141.44</v>
      </c>
      <c r="Y65" s="1"/>
      <c r="Z65" s="5">
        <f t="shared" si="35"/>
        <v>1.8858666666666666</v>
      </c>
    </row>
    <row r="66" spans="1:26" s="24" customFormat="1" hidden="1" outlineLevel="2" x14ac:dyDescent="0.3">
      <c r="A66" s="29"/>
      <c r="B66" s="11" t="str">
        <f>CONCATENATE("          ", "6277", " - ", "EMPLOYEE APPRECIATION")</f>
        <v xml:space="preserve">          6277 - EMPLOYEE APPRECIATION</v>
      </c>
      <c r="C66" s="11"/>
      <c r="D66" s="8">
        <v>216.44</v>
      </c>
      <c r="E66" s="3"/>
      <c r="F66" s="7">
        <f t="shared" si="28"/>
        <v>1.3887569970407747E-3</v>
      </c>
      <c r="G66" s="3"/>
      <c r="H66" s="8">
        <v>75</v>
      </c>
      <c r="I66" s="3"/>
      <c r="J66" s="7">
        <f t="shared" si="29"/>
        <v>3.1301255806382951E-4</v>
      </c>
      <c r="K66" s="3"/>
      <c r="L66" s="8">
        <f t="shared" si="30"/>
        <v>141.44</v>
      </c>
      <c r="M66" s="3"/>
      <c r="N66" s="7">
        <f t="shared" si="31"/>
        <v>1.8858666666666666</v>
      </c>
      <c r="O66" s="11"/>
      <c r="P66" s="8">
        <v>216.44</v>
      </c>
      <c r="Q66" s="3"/>
      <c r="R66" s="7">
        <f t="shared" si="32"/>
        <v>1.3887569970407747E-3</v>
      </c>
      <c r="S66" s="3"/>
      <c r="T66" s="8">
        <v>75</v>
      </c>
      <c r="U66" s="3"/>
      <c r="V66" s="7">
        <f t="shared" si="33"/>
        <v>3.1301255806382951E-4</v>
      </c>
      <c r="W66" s="3"/>
      <c r="X66" s="8">
        <f t="shared" si="34"/>
        <v>141.44</v>
      </c>
      <c r="Y66" s="3"/>
      <c r="Z66" s="7">
        <f t="shared" si="35"/>
        <v>1.8858666666666666</v>
      </c>
    </row>
    <row r="67" spans="1:26" s="27" customFormat="1" outlineLevel="1" collapsed="1" x14ac:dyDescent="0.3">
      <c r="A67" s="28"/>
      <c r="B67" s="14" t="str">
        <f>CONCATENATE("     ","Freight out/Postage                               ")</f>
        <v xml:space="preserve">     Freight out/Postage                               </v>
      </c>
      <c r="C67" s="14"/>
      <c r="D67" s="1">
        <f>SUM(OSRRefD22_6x_0)</f>
        <v>857.13</v>
      </c>
      <c r="E67" s="1"/>
      <c r="F67" s="5">
        <f t="shared" si="28"/>
        <v>5.4996547998223946E-3</v>
      </c>
      <c r="G67" s="1"/>
      <c r="H67" s="1">
        <f>SUM(OSRRefH22_6x_0)</f>
        <v>50</v>
      </c>
      <c r="I67" s="1"/>
      <c r="J67" s="5">
        <f t="shared" si="29"/>
        <v>2.0867503870921968E-4</v>
      </c>
      <c r="K67" s="1"/>
      <c r="L67" s="1">
        <f t="shared" si="30"/>
        <v>807.13</v>
      </c>
      <c r="M67" s="1"/>
      <c r="N67" s="5">
        <f t="shared" si="31"/>
        <v>16.142600000000002</v>
      </c>
      <c r="O67" s="14"/>
      <c r="P67" s="1">
        <f>SUM(OSRRefP22_6x_0)</f>
        <v>857.13</v>
      </c>
      <c r="Q67" s="1"/>
      <c r="R67" s="5">
        <f t="shared" si="32"/>
        <v>5.4996547998223946E-3</v>
      </c>
      <c r="S67" s="1"/>
      <c r="T67" s="1">
        <f>SUM(OSRRefT22_6x_0)</f>
        <v>50</v>
      </c>
      <c r="U67" s="1"/>
      <c r="V67" s="5">
        <f t="shared" si="33"/>
        <v>2.0867503870921968E-4</v>
      </c>
      <c r="W67" s="1"/>
      <c r="X67" s="1">
        <f t="shared" si="34"/>
        <v>807.13</v>
      </c>
      <c r="Y67" s="1"/>
      <c r="Z67" s="5">
        <f t="shared" si="35"/>
        <v>16.142600000000002</v>
      </c>
    </row>
    <row r="68" spans="1:26" s="24" customFormat="1" hidden="1" outlineLevel="2" x14ac:dyDescent="0.3">
      <c r="A68" s="29"/>
      <c r="B68" s="11" t="str">
        <f>CONCATENATE("          ", "6305", " - ", "FREIGHT OUT")</f>
        <v xml:space="preserve">          6305 - FREIGHT OUT</v>
      </c>
      <c r="C68" s="11"/>
      <c r="D68" s="8">
        <v>845.71</v>
      </c>
      <c r="E68" s="3"/>
      <c r="F68" s="7">
        <f t="shared" si="28"/>
        <v>5.4263799665835964E-3</v>
      </c>
      <c r="G68" s="3"/>
      <c r="H68" s="8">
        <v>50</v>
      </c>
      <c r="I68" s="3"/>
      <c r="J68" s="7">
        <f t="shared" si="29"/>
        <v>2.0867503870921968E-4</v>
      </c>
      <c r="K68" s="3"/>
      <c r="L68" s="8">
        <f t="shared" si="30"/>
        <v>795.71</v>
      </c>
      <c r="M68" s="3"/>
      <c r="N68" s="7">
        <f t="shared" si="31"/>
        <v>15.914200000000001</v>
      </c>
      <c r="O68" s="11"/>
      <c r="P68" s="8">
        <v>845.71</v>
      </c>
      <c r="Q68" s="3"/>
      <c r="R68" s="7">
        <f t="shared" si="32"/>
        <v>5.4263799665835964E-3</v>
      </c>
      <c r="S68" s="3"/>
      <c r="T68" s="8">
        <v>50</v>
      </c>
      <c r="U68" s="3"/>
      <c r="V68" s="7">
        <f t="shared" si="33"/>
        <v>2.0867503870921968E-4</v>
      </c>
      <c r="W68" s="3"/>
      <c r="X68" s="8">
        <f t="shared" si="34"/>
        <v>795.71</v>
      </c>
      <c r="Y68" s="3"/>
      <c r="Z68" s="7">
        <f t="shared" si="35"/>
        <v>15.914200000000001</v>
      </c>
    </row>
    <row r="69" spans="1:26" s="24" customFormat="1" hidden="1" outlineLevel="2" x14ac:dyDescent="0.3">
      <c r="A69" s="29"/>
      <c r="B69" s="11" t="str">
        <f>CONCATENATE("          ", "6307", " - ", "POSTAGE")</f>
        <v xml:space="preserve">          6307 - POSTAGE</v>
      </c>
      <c r="C69" s="11"/>
      <c r="D69" s="8">
        <v>11.42</v>
      </c>
      <c r="E69" s="3"/>
      <c r="F69" s="7">
        <f t="shared" si="28"/>
        <v>7.3274833238798953E-5</v>
      </c>
      <c r="G69" s="3"/>
      <c r="H69" s="8"/>
      <c r="I69" s="3"/>
      <c r="J69" s="7">
        <f t="shared" si="29"/>
        <v>0</v>
      </c>
      <c r="K69" s="3"/>
      <c r="L69" s="8">
        <f t="shared" si="30"/>
        <v>11.42</v>
      </c>
      <c r="M69" s="3"/>
      <c r="N69" s="7">
        <f t="shared" si="31"/>
        <v>0</v>
      </c>
      <c r="O69" s="11"/>
      <c r="P69" s="8">
        <v>11.42</v>
      </c>
      <c r="Q69" s="3"/>
      <c r="R69" s="7">
        <f t="shared" si="32"/>
        <v>7.3274833238798953E-5</v>
      </c>
      <c r="S69" s="3"/>
      <c r="T69" s="8"/>
      <c r="U69" s="3"/>
      <c r="V69" s="7">
        <f t="shared" si="33"/>
        <v>0</v>
      </c>
      <c r="W69" s="3"/>
      <c r="X69" s="8">
        <f t="shared" si="34"/>
        <v>11.42</v>
      </c>
      <c r="Y69" s="3"/>
      <c r="Z69" s="7">
        <f t="shared" si="35"/>
        <v>0</v>
      </c>
    </row>
    <row r="70" spans="1:26" s="27" customFormat="1" outlineLevel="1" collapsed="1" x14ac:dyDescent="0.3">
      <c r="A70" s="28"/>
      <c r="B70" s="14" t="str">
        <f>CONCATENATE("     ","General                                           ")</f>
        <v xml:space="preserve">     General                                           </v>
      </c>
      <c r="C70" s="14"/>
      <c r="D70" s="1">
        <f>SUM(OSRRefD22_7x_0)</f>
        <v>0</v>
      </c>
      <c r="E70" s="1"/>
      <c r="F70" s="5">
        <f t="shared" ref="F70:F72" si="36">IF(D$12=0,0,D70/D$12)</f>
        <v>0</v>
      </c>
      <c r="G70" s="1"/>
      <c r="H70" s="1">
        <f>SUM(OSRRefH22_7x_0)</f>
        <v>125</v>
      </c>
      <c r="I70" s="1"/>
      <c r="J70" s="5">
        <f t="shared" ref="J70:J72" si="37">IF(H$12=0,0,H70/H$12)</f>
        <v>5.2168759677304923E-4</v>
      </c>
      <c r="K70" s="1"/>
      <c r="L70" s="1">
        <f t="shared" ref="L70:L72" si="38">+D70-H70</f>
        <v>-125</v>
      </c>
      <c r="M70" s="1"/>
      <c r="N70" s="5">
        <f t="shared" ref="N70:N72" si="39">IF(H70=0,0,L70/H70)</f>
        <v>-1</v>
      </c>
      <c r="O70" s="14"/>
      <c r="P70" s="1">
        <f>SUM(OSRRefP22_7x_0)</f>
        <v>0</v>
      </c>
      <c r="Q70" s="1"/>
      <c r="R70" s="5">
        <f t="shared" ref="R70:R72" si="40">IF(P$12=0,0,P70/P$12)</f>
        <v>0</v>
      </c>
      <c r="S70" s="1"/>
      <c r="T70" s="1">
        <f>SUM(OSRRefT22_7x_0)</f>
        <v>125</v>
      </c>
      <c r="U70" s="1"/>
      <c r="V70" s="5">
        <f t="shared" ref="V70:V72" si="41">IF(T$12=0,0,T70/T$12)</f>
        <v>5.2168759677304923E-4</v>
      </c>
      <c r="W70" s="1"/>
      <c r="X70" s="1">
        <f t="shared" ref="X70:X72" si="42">+P70-T70</f>
        <v>-125</v>
      </c>
      <c r="Y70" s="1"/>
      <c r="Z70" s="5">
        <f t="shared" ref="Z70:Z72" si="43">IF(T70=0,0,X70/T70)</f>
        <v>-1</v>
      </c>
    </row>
    <row r="71" spans="1:26" s="24" customFormat="1" hidden="1" outlineLevel="2" x14ac:dyDescent="0.3">
      <c r="A71" s="29"/>
      <c r="B71" s="11" t="str">
        <f>CONCATENATE("          ", "6276", " - ", "PROPERTY TAX")</f>
        <v xml:space="preserve">          6276 - PROPERTY TAX</v>
      </c>
      <c r="C71" s="11"/>
      <c r="D71" s="8"/>
      <c r="E71" s="3"/>
      <c r="F71" s="7">
        <f t="shared" si="36"/>
        <v>0</v>
      </c>
      <c r="G71" s="3"/>
      <c r="H71" s="8">
        <v>125</v>
      </c>
      <c r="I71" s="3"/>
      <c r="J71" s="7">
        <f t="shared" si="37"/>
        <v>5.2168759677304923E-4</v>
      </c>
      <c r="K71" s="3"/>
      <c r="L71" s="8">
        <f t="shared" si="38"/>
        <v>-125</v>
      </c>
      <c r="M71" s="3"/>
      <c r="N71" s="7">
        <f t="shared" si="39"/>
        <v>-1</v>
      </c>
      <c r="O71" s="11"/>
      <c r="P71" s="8"/>
      <c r="Q71" s="3"/>
      <c r="R71" s="7">
        <f t="shared" si="40"/>
        <v>0</v>
      </c>
      <c r="S71" s="3"/>
      <c r="T71" s="8">
        <v>125</v>
      </c>
      <c r="U71" s="3"/>
      <c r="V71" s="7">
        <f t="shared" si="41"/>
        <v>5.2168759677304923E-4</v>
      </c>
      <c r="W71" s="3"/>
      <c r="X71" s="8">
        <f t="shared" si="42"/>
        <v>-125</v>
      </c>
      <c r="Y71" s="3"/>
      <c r="Z71" s="7">
        <f t="shared" si="43"/>
        <v>-1</v>
      </c>
    </row>
    <row r="72" spans="1:26" s="24" customFormat="1" hidden="1" outlineLevel="2" x14ac:dyDescent="0.3">
      <c r="A72" s="29"/>
      <c r="B72" s="11" t="str">
        <f>CONCATENATE("          ", "6279", " - ", "GENERAL EXPENSE")</f>
        <v xml:space="preserve">          6279 - GENERAL EXPENSE</v>
      </c>
      <c r="C72" s="11"/>
      <c r="D72" s="8"/>
      <c r="E72" s="3"/>
      <c r="F72" s="7">
        <f t="shared" si="36"/>
        <v>0</v>
      </c>
      <c r="G72" s="3"/>
      <c r="H72" s="8">
        <v>0</v>
      </c>
      <c r="I72" s="3"/>
      <c r="J72" s="7">
        <f t="shared" si="37"/>
        <v>0</v>
      </c>
      <c r="K72" s="3"/>
      <c r="L72" s="8">
        <f t="shared" si="38"/>
        <v>0</v>
      </c>
      <c r="M72" s="3"/>
      <c r="N72" s="7">
        <f t="shared" si="39"/>
        <v>0</v>
      </c>
      <c r="O72" s="11"/>
      <c r="P72" s="8"/>
      <c r="Q72" s="3"/>
      <c r="R72" s="7">
        <f t="shared" si="40"/>
        <v>0</v>
      </c>
      <c r="S72" s="3"/>
      <c r="T72" s="8">
        <v>0</v>
      </c>
      <c r="U72" s="3"/>
      <c r="V72" s="7">
        <f t="shared" si="41"/>
        <v>0</v>
      </c>
      <c r="W72" s="3"/>
      <c r="X72" s="8">
        <f t="shared" si="42"/>
        <v>0</v>
      </c>
      <c r="Y72" s="3"/>
      <c r="Z72" s="7">
        <f t="shared" si="43"/>
        <v>0</v>
      </c>
    </row>
    <row r="73" spans="1:26" s="27" customFormat="1" outlineLevel="1" collapsed="1" x14ac:dyDescent="0.3">
      <c r="A73" s="28"/>
      <c r="B73" s="14" t="str">
        <f>CONCATENATE("     ","Insurance                                         ")</f>
        <v xml:space="preserve">     Insurance                                         </v>
      </c>
      <c r="C73" s="14"/>
      <c r="D73" s="1">
        <f>SUM(OSRRefD22_8x_0)</f>
        <v>219.08</v>
      </c>
      <c r="E73" s="1"/>
      <c r="F73" s="5">
        <f t="shared" ref="F73:F83" si="44">IF(D$12=0,0,D73/D$12)</f>
        <v>1.4056961879120907E-3</v>
      </c>
      <c r="G73" s="1"/>
      <c r="H73" s="1">
        <f>SUM(OSRRefH22_8x_0)</f>
        <v>175</v>
      </c>
      <c r="I73" s="1"/>
      <c r="J73" s="5">
        <f t="shared" ref="J73:J83" si="45">IF(H$12=0,0,H73/H$12)</f>
        <v>7.3036263548226883E-4</v>
      </c>
      <c r="K73" s="1"/>
      <c r="L73" s="1">
        <f t="shared" ref="L73:L83" si="46">+D73-H73</f>
        <v>44.080000000000013</v>
      </c>
      <c r="M73" s="1"/>
      <c r="N73" s="5">
        <f t="shared" ref="N73:N83" si="47">IF(H73=0,0,L73/H73)</f>
        <v>0.25188571428571438</v>
      </c>
      <c r="O73" s="14"/>
      <c r="P73" s="1">
        <f>SUM(OSRRefP22_8x_0)</f>
        <v>219.08</v>
      </c>
      <c r="Q73" s="1"/>
      <c r="R73" s="5">
        <f t="shared" ref="R73:R83" si="48">IF(P$12=0,0,P73/P$12)</f>
        <v>1.4056961879120907E-3</v>
      </c>
      <c r="S73" s="1"/>
      <c r="T73" s="1">
        <f>SUM(OSRRefT22_8x_0)</f>
        <v>175</v>
      </c>
      <c r="U73" s="1"/>
      <c r="V73" s="5">
        <f t="shared" ref="V73:V83" si="49">IF(T$12=0,0,T73/T$12)</f>
        <v>7.3036263548226883E-4</v>
      </c>
      <c r="W73" s="1"/>
      <c r="X73" s="1">
        <f t="shared" ref="X73:X83" si="50">+P73-T73</f>
        <v>44.080000000000013</v>
      </c>
      <c r="Y73" s="1"/>
      <c r="Z73" s="5">
        <f t="shared" ref="Z73:Z83" si="51">IF(T73=0,0,X73/T73)</f>
        <v>0.25188571428571438</v>
      </c>
    </row>
    <row r="74" spans="1:26" s="24" customFormat="1" hidden="1" outlineLevel="2" x14ac:dyDescent="0.3">
      <c r="A74" s="29"/>
      <c r="B74" s="11" t="str">
        <f>CONCATENATE("          ", "6314", " - ", "LIABILITY INSURANCE")</f>
        <v xml:space="preserve">          6314 - LIABILITY INSURANCE</v>
      </c>
      <c r="C74" s="11"/>
      <c r="D74" s="8">
        <v>219.08</v>
      </c>
      <c r="E74" s="3"/>
      <c r="F74" s="7">
        <f t="shared" si="44"/>
        <v>1.4056961879120907E-3</v>
      </c>
      <c r="G74" s="3"/>
      <c r="H74" s="8">
        <v>175</v>
      </c>
      <c r="I74" s="3"/>
      <c r="J74" s="7">
        <f t="shared" si="45"/>
        <v>7.3036263548226883E-4</v>
      </c>
      <c r="K74" s="3"/>
      <c r="L74" s="8">
        <f t="shared" si="46"/>
        <v>44.080000000000013</v>
      </c>
      <c r="M74" s="3"/>
      <c r="N74" s="7">
        <f t="shared" si="47"/>
        <v>0.25188571428571438</v>
      </c>
      <c r="O74" s="11"/>
      <c r="P74" s="8">
        <v>219.08</v>
      </c>
      <c r="Q74" s="3"/>
      <c r="R74" s="7">
        <f t="shared" si="48"/>
        <v>1.4056961879120907E-3</v>
      </c>
      <c r="S74" s="3"/>
      <c r="T74" s="8">
        <v>175</v>
      </c>
      <c r="U74" s="3"/>
      <c r="V74" s="7">
        <f t="shared" si="49"/>
        <v>7.3036263548226883E-4</v>
      </c>
      <c r="W74" s="3"/>
      <c r="X74" s="8">
        <f t="shared" si="50"/>
        <v>44.080000000000013</v>
      </c>
      <c r="Y74" s="3"/>
      <c r="Z74" s="7">
        <f t="shared" si="51"/>
        <v>0.25188571428571438</v>
      </c>
    </row>
    <row r="75" spans="1:26" s="27" customFormat="1" outlineLevel="1" collapsed="1" x14ac:dyDescent="0.3">
      <c r="A75" s="28"/>
      <c r="B75" s="14" t="str">
        <f>CONCATENATE("     ","Inventory Adjustment                              ")</f>
        <v xml:space="preserve">     Inventory Adjustment                              </v>
      </c>
      <c r="C75" s="14"/>
      <c r="D75" s="1">
        <f>SUM(OSRRefD22_9x_0)</f>
        <v>3450</v>
      </c>
      <c r="E75" s="1"/>
      <c r="F75" s="5">
        <f t="shared" si="44"/>
        <v>2.213644261592438E-2</v>
      </c>
      <c r="G75" s="1"/>
      <c r="H75" s="1">
        <f>SUM(OSRRefH22_9x_0)</f>
        <v>3450</v>
      </c>
      <c r="I75" s="1"/>
      <c r="J75" s="5">
        <f t="shared" si="45"/>
        <v>1.4398577670936158E-2</v>
      </c>
      <c r="K75" s="1"/>
      <c r="L75" s="1">
        <f t="shared" si="46"/>
        <v>0</v>
      </c>
      <c r="M75" s="1"/>
      <c r="N75" s="5">
        <f t="shared" si="47"/>
        <v>0</v>
      </c>
      <c r="O75" s="14"/>
      <c r="P75" s="1">
        <f>SUM(OSRRefP22_9x_0)</f>
        <v>3450</v>
      </c>
      <c r="Q75" s="1"/>
      <c r="R75" s="5">
        <f t="shared" si="48"/>
        <v>2.213644261592438E-2</v>
      </c>
      <c r="S75" s="1"/>
      <c r="T75" s="1">
        <f>SUM(OSRRefT22_9x_0)</f>
        <v>3450</v>
      </c>
      <c r="U75" s="1"/>
      <c r="V75" s="5">
        <f t="shared" si="49"/>
        <v>1.4398577670936158E-2</v>
      </c>
      <c r="W75" s="1"/>
      <c r="X75" s="1">
        <f t="shared" si="50"/>
        <v>0</v>
      </c>
      <c r="Y75" s="1"/>
      <c r="Z75" s="5">
        <f t="shared" si="51"/>
        <v>0</v>
      </c>
    </row>
    <row r="76" spans="1:26" s="24" customFormat="1" hidden="1" outlineLevel="2" x14ac:dyDescent="0.3">
      <c r="A76" s="29"/>
      <c r="B76" s="11" t="str">
        <f>CONCATENATE("          ", "6408", " - ", "INVENTORY ADJUSTMENT")</f>
        <v xml:space="preserve">          6408 - INVENTORY ADJUSTMENT</v>
      </c>
      <c r="C76" s="11"/>
      <c r="D76" s="8">
        <v>3450</v>
      </c>
      <c r="E76" s="3"/>
      <c r="F76" s="7">
        <f t="shared" si="44"/>
        <v>2.213644261592438E-2</v>
      </c>
      <c r="G76" s="3"/>
      <c r="H76" s="8">
        <v>3450</v>
      </c>
      <c r="I76" s="3"/>
      <c r="J76" s="7">
        <f t="shared" si="45"/>
        <v>1.4398577670936158E-2</v>
      </c>
      <c r="K76" s="3"/>
      <c r="L76" s="8">
        <f t="shared" si="46"/>
        <v>0</v>
      </c>
      <c r="M76" s="3"/>
      <c r="N76" s="7">
        <f t="shared" si="47"/>
        <v>0</v>
      </c>
      <c r="O76" s="11"/>
      <c r="P76" s="8">
        <v>3450</v>
      </c>
      <c r="Q76" s="3"/>
      <c r="R76" s="7">
        <f t="shared" si="48"/>
        <v>2.213644261592438E-2</v>
      </c>
      <c r="S76" s="3"/>
      <c r="T76" s="8">
        <v>3450</v>
      </c>
      <c r="U76" s="3"/>
      <c r="V76" s="7">
        <f t="shared" si="49"/>
        <v>1.4398577670936158E-2</v>
      </c>
      <c r="W76" s="3"/>
      <c r="X76" s="8">
        <f t="shared" si="50"/>
        <v>0</v>
      </c>
      <c r="Y76" s="3"/>
      <c r="Z76" s="7">
        <f t="shared" si="51"/>
        <v>0</v>
      </c>
    </row>
    <row r="77" spans="1:26" s="27" customFormat="1" outlineLevel="1" collapsed="1" x14ac:dyDescent="0.3">
      <c r="A77" s="28"/>
      <c r="B77" s="14" t="str">
        <f>CONCATENATE("     ","Professional Services                             ")</f>
        <v xml:space="preserve">     Professional Services                             </v>
      </c>
      <c r="C77" s="14"/>
      <c r="D77" s="1">
        <f>SUM(OSRRefD22_10x_0)</f>
        <v>0</v>
      </c>
      <c r="E77" s="1"/>
      <c r="F77" s="5">
        <f t="shared" si="44"/>
        <v>0</v>
      </c>
      <c r="G77" s="1"/>
      <c r="H77" s="1">
        <f>SUM(OSRRefH22_10x_0)</f>
        <v>1000</v>
      </c>
      <c r="I77" s="1"/>
      <c r="J77" s="5">
        <f t="shared" si="45"/>
        <v>4.1735007741843938E-3</v>
      </c>
      <c r="K77" s="1"/>
      <c r="L77" s="1">
        <f t="shared" si="46"/>
        <v>-1000</v>
      </c>
      <c r="M77" s="1"/>
      <c r="N77" s="5">
        <f t="shared" si="47"/>
        <v>-1</v>
      </c>
      <c r="O77" s="14"/>
      <c r="P77" s="1">
        <f>SUM(OSRRefP22_10x_0)</f>
        <v>0</v>
      </c>
      <c r="Q77" s="1"/>
      <c r="R77" s="5">
        <f t="shared" si="48"/>
        <v>0</v>
      </c>
      <c r="S77" s="1"/>
      <c r="T77" s="1">
        <f>SUM(OSRRefT22_10x_0)</f>
        <v>1000</v>
      </c>
      <c r="U77" s="1"/>
      <c r="V77" s="5">
        <f t="shared" si="49"/>
        <v>4.1735007741843938E-3</v>
      </c>
      <c r="W77" s="1"/>
      <c r="X77" s="1">
        <f t="shared" si="50"/>
        <v>-1000</v>
      </c>
      <c r="Y77" s="1"/>
      <c r="Z77" s="5">
        <f t="shared" si="51"/>
        <v>-1</v>
      </c>
    </row>
    <row r="78" spans="1:26" s="24" customFormat="1" hidden="1" outlineLevel="2" x14ac:dyDescent="0.3">
      <c r="A78" s="29"/>
      <c r="B78" s="11" t="str">
        <f>CONCATENATE("          ", "6336", " - ", "PROFESSIONAL SERVICES")</f>
        <v xml:space="preserve">          6336 - PROFESSIONAL SERVICES</v>
      </c>
      <c r="C78" s="11"/>
      <c r="D78" s="8"/>
      <c r="E78" s="3"/>
      <c r="F78" s="7">
        <f t="shared" si="44"/>
        <v>0</v>
      </c>
      <c r="G78" s="3"/>
      <c r="H78" s="8">
        <v>1000</v>
      </c>
      <c r="I78" s="3"/>
      <c r="J78" s="7">
        <f t="shared" si="45"/>
        <v>4.1735007741843938E-3</v>
      </c>
      <c r="K78" s="3"/>
      <c r="L78" s="8">
        <f t="shared" si="46"/>
        <v>-1000</v>
      </c>
      <c r="M78" s="3"/>
      <c r="N78" s="7">
        <f t="shared" si="47"/>
        <v>-1</v>
      </c>
      <c r="O78" s="11"/>
      <c r="P78" s="8"/>
      <c r="Q78" s="3"/>
      <c r="R78" s="7">
        <f t="shared" si="48"/>
        <v>0</v>
      </c>
      <c r="S78" s="3"/>
      <c r="T78" s="8">
        <v>1000</v>
      </c>
      <c r="U78" s="3"/>
      <c r="V78" s="7">
        <f t="shared" si="49"/>
        <v>4.1735007741843938E-3</v>
      </c>
      <c r="W78" s="3"/>
      <c r="X78" s="8">
        <f t="shared" si="50"/>
        <v>-1000</v>
      </c>
      <c r="Y78" s="3"/>
      <c r="Z78" s="7">
        <f t="shared" si="51"/>
        <v>-1</v>
      </c>
    </row>
    <row r="79" spans="1:26" s="27" customFormat="1" outlineLevel="1" collapsed="1" x14ac:dyDescent="0.3">
      <c r="A79" s="28"/>
      <c r="B79" s="14" t="str">
        <f>CONCATENATE("     ","Rent                                              ")</f>
        <v xml:space="preserve">     Rent                                              </v>
      </c>
      <c r="C79" s="14"/>
      <c r="D79" s="1">
        <f>SUM(OSRRefD22_11x_0)</f>
        <v>6900</v>
      </c>
      <c r="E79" s="1"/>
      <c r="F79" s="5">
        <f t="shared" si="44"/>
        <v>4.427288523184876E-2</v>
      </c>
      <c r="G79" s="1"/>
      <c r="H79" s="1">
        <f>SUM(OSRRefH22_11x_0)</f>
        <v>6900</v>
      </c>
      <c r="I79" s="1"/>
      <c r="J79" s="5">
        <f t="shared" si="45"/>
        <v>2.8797155341872317E-2</v>
      </c>
      <c r="K79" s="1"/>
      <c r="L79" s="1">
        <f t="shared" si="46"/>
        <v>0</v>
      </c>
      <c r="M79" s="1"/>
      <c r="N79" s="5">
        <f t="shared" si="47"/>
        <v>0</v>
      </c>
      <c r="O79" s="14"/>
      <c r="P79" s="1">
        <f>SUM(OSRRefP22_11x_0)</f>
        <v>6900</v>
      </c>
      <c r="Q79" s="1"/>
      <c r="R79" s="5">
        <f t="shared" si="48"/>
        <v>4.427288523184876E-2</v>
      </c>
      <c r="S79" s="1"/>
      <c r="T79" s="1">
        <f>SUM(OSRRefT22_11x_0)</f>
        <v>6900</v>
      </c>
      <c r="U79" s="1"/>
      <c r="V79" s="5">
        <f t="shared" si="49"/>
        <v>2.8797155341872317E-2</v>
      </c>
      <c r="W79" s="1"/>
      <c r="X79" s="1">
        <f t="shared" si="50"/>
        <v>0</v>
      </c>
      <c r="Y79" s="1"/>
      <c r="Z79" s="5">
        <f t="shared" si="51"/>
        <v>0</v>
      </c>
    </row>
    <row r="80" spans="1:26" s="24" customFormat="1" hidden="1" outlineLevel="2" x14ac:dyDescent="0.3">
      <c r="A80" s="29"/>
      <c r="B80" s="11" t="str">
        <f>CONCATENATE("          ", "6273", " - ", "RENT")</f>
        <v xml:space="preserve">          6273 - RENT</v>
      </c>
      <c r="C80" s="11"/>
      <c r="D80" s="8">
        <v>6900</v>
      </c>
      <c r="E80" s="3"/>
      <c r="F80" s="7">
        <f t="shared" si="44"/>
        <v>4.427288523184876E-2</v>
      </c>
      <c r="G80" s="3"/>
      <c r="H80" s="8">
        <v>6900</v>
      </c>
      <c r="I80" s="3"/>
      <c r="J80" s="7">
        <f t="shared" si="45"/>
        <v>2.8797155341872317E-2</v>
      </c>
      <c r="K80" s="3"/>
      <c r="L80" s="8">
        <f t="shared" si="46"/>
        <v>0</v>
      </c>
      <c r="M80" s="3"/>
      <c r="N80" s="7">
        <f t="shared" si="47"/>
        <v>0</v>
      </c>
      <c r="O80" s="11"/>
      <c r="P80" s="8">
        <v>6900</v>
      </c>
      <c r="Q80" s="3"/>
      <c r="R80" s="7">
        <f t="shared" si="48"/>
        <v>4.427288523184876E-2</v>
      </c>
      <c r="S80" s="3"/>
      <c r="T80" s="8">
        <v>6900</v>
      </c>
      <c r="U80" s="3"/>
      <c r="V80" s="7">
        <f t="shared" si="49"/>
        <v>2.8797155341872317E-2</v>
      </c>
      <c r="W80" s="3"/>
      <c r="X80" s="8">
        <f t="shared" si="50"/>
        <v>0</v>
      </c>
      <c r="Y80" s="3"/>
      <c r="Z80" s="7">
        <f t="shared" si="51"/>
        <v>0</v>
      </c>
    </row>
    <row r="81" spans="1:26" s="27" customFormat="1" outlineLevel="1" collapsed="1" x14ac:dyDescent="0.3">
      <c r="A81" s="28"/>
      <c r="B81" s="14" t="str">
        <f>CONCATENATE("     ","Repair and Maintenance                            ")</f>
        <v xml:space="preserve">     Repair and Maintenance                            </v>
      </c>
      <c r="C81" s="14"/>
      <c r="D81" s="1">
        <f>SUM(OSRRefD22_12x_0)</f>
        <v>0</v>
      </c>
      <c r="E81" s="1"/>
      <c r="F81" s="5">
        <f t="shared" si="44"/>
        <v>0</v>
      </c>
      <c r="G81" s="1"/>
      <c r="H81" s="1">
        <f>SUM(OSRRefH22_12x_0)</f>
        <v>115</v>
      </c>
      <c r="I81" s="1"/>
      <c r="J81" s="5">
        <f t="shared" si="45"/>
        <v>4.7995258903120528E-4</v>
      </c>
      <c r="K81" s="1"/>
      <c r="L81" s="1">
        <f t="shared" si="46"/>
        <v>-115</v>
      </c>
      <c r="M81" s="1"/>
      <c r="N81" s="5">
        <f t="shared" si="47"/>
        <v>-1</v>
      </c>
      <c r="O81" s="14"/>
      <c r="P81" s="1">
        <f>SUM(OSRRefP22_12x_0)</f>
        <v>0</v>
      </c>
      <c r="Q81" s="1"/>
      <c r="R81" s="5">
        <f t="shared" si="48"/>
        <v>0</v>
      </c>
      <c r="S81" s="1"/>
      <c r="T81" s="1">
        <f>SUM(OSRRefT22_12x_0)</f>
        <v>115</v>
      </c>
      <c r="U81" s="1"/>
      <c r="V81" s="5">
        <f t="shared" si="49"/>
        <v>4.7995258903120528E-4</v>
      </c>
      <c r="W81" s="1"/>
      <c r="X81" s="1">
        <f t="shared" si="50"/>
        <v>-115</v>
      </c>
      <c r="Y81" s="1"/>
      <c r="Z81" s="5">
        <f t="shared" si="51"/>
        <v>-1</v>
      </c>
    </row>
    <row r="82" spans="1:26" s="24" customFormat="1" hidden="1" outlineLevel="2" x14ac:dyDescent="0.3">
      <c r="A82" s="29"/>
      <c r="B82" s="11" t="str">
        <f>CONCATENATE("          ", "6373", " - ", "MAINTENANCE CONTRACTS")</f>
        <v xml:space="preserve">          6373 - MAINTENANCE CONTRACTS</v>
      </c>
      <c r="C82" s="11"/>
      <c r="D82" s="8"/>
      <c r="E82" s="3"/>
      <c r="F82" s="7">
        <f t="shared" si="44"/>
        <v>0</v>
      </c>
      <c r="G82" s="3"/>
      <c r="H82" s="8">
        <v>115</v>
      </c>
      <c r="I82" s="3"/>
      <c r="J82" s="7">
        <f t="shared" si="45"/>
        <v>4.7995258903120528E-4</v>
      </c>
      <c r="K82" s="3"/>
      <c r="L82" s="8">
        <f t="shared" si="46"/>
        <v>-115</v>
      </c>
      <c r="M82" s="3"/>
      <c r="N82" s="7">
        <f t="shared" si="47"/>
        <v>-1</v>
      </c>
      <c r="O82" s="11"/>
      <c r="P82" s="8"/>
      <c r="Q82" s="3"/>
      <c r="R82" s="7">
        <f t="shared" si="48"/>
        <v>0</v>
      </c>
      <c r="S82" s="3"/>
      <c r="T82" s="8">
        <v>115</v>
      </c>
      <c r="U82" s="3"/>
      <c r="V82" s="7">
        <f t="shared" si="49"/>
        <v>4.7995258903120528E-4</v>
      </c>
      <c r="W82" s="3"/>
      <c r="X82" s="8">
        <f t="shared" si="50"/>
        <v>-115</v>
      </c>
      <c r="Y82" s="3"/>
      <c r="Z82" s="7">
        <f t="shared" si="51"/>
        <v>-1</v>
      </c>
    </row>
    <row r="83" spans="1:26" s="24" customFormat="1" hidden="1" outlineLevel="2" x14ac:dyDescent="0.3">
      <c r="A83" s="29"/>
      <c r="B83" s="11" t="str">
        <f>CONCATENATE("          ", "6375", " - ", "OUTSIDE REPAIRS &amp; MAINTENANCE")</f>
        <v xml:space="preserve">          6375 - OUTSIDE REPAIRS &amp; MAINTENANCE</v>
      </c>
      <c r="C83" s="11"/>
      <c r="D83" s="8"/>
      <c r="E83" s="3"/>
      <c r="F83" s="7">
        <f t="shared" si="44"/>
        <v>0</v>
      </c>
      <c r="G83" s="3"/>
      <c r="H83" s="8">
        <v>0</v>
      </c>
      <c r="I83" s="3"/>
      <c r="J83" s="7">
        <f t="shared" si="45"/>
        <v>0</v>
      </c>
      <c r="K83" s="3"/>
      <c r="L83" s="8">
        <f t="shared" si="46"/>
        <v>0</v>
      </c>
      <c r="M83" s="3"/>
      <c r="N83" s="7">
        <f t="shared" si="47"/>
        <v>0</v>
      </c>
      <c r="O83" s="11"/>
      <c r="P83" s="8"/>
      <c r="Q83" s="3"/>
      <c r="R83" s="7">
        <f t="shared" si="48"/>
        <v>0</v>
      </c>
      <c r="S83" s="3"/>
      <c r="T83" s="8">
        <v>0</v>
      </c>
      <c r="U83" s="3"/>
      <c r="V83" s="7">
        <f t="shared" si="49"/>
        <v>0</v>
      </c>
      <c r="W83" s="3"/>
      <c r="X83" s="8">
        <f t="shared" si="50"/>
        <v>0</v>
      </c>
      <c r="Y83" s="3"/>
      <c r="Z83" s="7">
        <f t="shared" si="51"/>
        <v>0</v>
      </c>
    </row>
    <row r="84" spans="1:26" s="27" customFormat="1" outlineLevel="1" collapsed="1" x14ac:dyDescent="0.3">
      <c r="A84" s="28"/>
      <c r="B84" s="14" t="str">
        <f>CONCATENATE("     ","Royalty &amp; Commissions                             ")</f>
        <v xml:space="preserve">     Royalty &amp; Commissions                             </v>
      </c>
      <c r="C84" s="14"/>
      <c r="D84" s="1">
        <f>SUM(OSRRefD22_13x_0)</f>
        <v>7349.0400000000009</v>
      </c>
      <c r="E84" s="1"/>
      <c r="F84" s="5">
        <f t="shared" ref="F84:F87" si="52">IF(D$12=0,0,D84/D$12)</f>
        <v>4.7154087606415339E-2</v>
      </c>
      <c r="G84" s="1"/>
      <c r="H84" s="1">
        <f>SUM(OSRRefH22_13x_0)</f>
        <v>6514</v>
      </c>
      <c r="I84" s="1"/>
      <c r="J84" s="5">
        <f t="shared" ref="J84:J87" si="53">IF(H$12=0,0,H84/H$12)</f>
        <v>2.7186184043037138E-2</v>
      </c>
      <c r="K84" s="1"/>
      <c r="L84" s="1">
        <f t="shared" ref="L84:L87" si="54">+D84-H84</f>
        <v>835.04000000000087</v>
      </c>
      <c r="M84" s="1"/>
      <c r="N84" s="5">
        <f t="shared" ref="N84:N87" si="55">IF(H84=0,0,L84/H84)</f>
        <v>0.12819158735032252</v>
      </c>
      <c r="O84" s="14"/>
      <c r="P84" s="1">
        <f>SUM(OSRRefP22_13x_0)</f>
        <v>7349.0400000000009</v>
      </c>
      <c r="Q84" s="1"/>
      <c r="R84" s="5">
        <f t="shared" ref="R84:R87" si="56">IF(P$12=0,0,P84/P$12)</f>
        <v>4.7154087606415339E-2</v>
      </c>
      <c r="S84" s="1"/>
      <c r="T84" s="1">
        <f>SUM(OSRRefT22_13x_0)</f>
        <v>6514</v>
      </c>
      <c r="U84" s="1"/>
      <c r="V84" s="5">
        <f t="shared" ref="V84:V87" si="57">IF(T$12=0,0,T84/T$12)</f>
        <v>2.7186184043037138E-2</v>
      </c>
      <c r="W84" s="1"/>
      <c r="X84" s="1">
        <f t="shared" ref="X84:X87" si="58">+P84-T84</f>
        <v>835.04000000000087</v>
      </c>
      <c r="Y84" s="1"/>
      <c r="Z84" s="5">
        <f t="shared" ref="Z84:Z87" si="59">IF(T84=0,0,X84/T84)</f>
        <v>0.12819158735032252</v>
      </c>
    </row>
    <row r="85" spans="1:26" s="24" customFormat="1" hidden="1" outlineLevel="2" x14ac:dyDescent="0.3">
      <c r="A85" s="29"/>
      <c r="B85" s="11" t="str">
        <f>CONCATENATE("          ", "6252", " - ", "ROYALTY DUE CSTV")</f>
        <v xml:space="preserve">          6252 - ROYALTY DUE CSTV</v>
      </c>
      <c r="C85" s="11"/>
      <c r="D85" s="8"/>
      <c r="E85" s="3"/>
      <c r="F85" s="7">
        <f t="shared" si="52"/>
        <v>0</v>
      </c>
      <c r="G85" s="3"/>
      <c r="H85" s="8">
        <v>842</v>
      </c>
      <c r="I85" s="3"/>
      <c r="J85" s="7">
        <f t="shared" si="53"/>
        <v>3.5140876518632595E-3</v>
      </c>
      <c r="K85" s="3"/>
      <c r="L85" s="8">
        <f t="shared" si="54"/>
        <v>-842</v>
      </c>
      <c r="M85" s="3"/>
      <c r="N85" s="7">
        <f t="shared" si="55"/>
        <v>-1</v>
      </c>
      <c r="O85" s="11"/>
      <c r="P85" s="8"/>
      <c r="Q85" s="3"/>
      <c r="R85" s="7">
        <f t="shared" si="56"/>
        <v>0</v>
      </c>
      <c r="S85" s="3"/>
      <c r="T85" s="8">
        <v>842</v>
      </c>
      <c r="U85" s="3"/>
      <c r="V85" s="7">
        <f t="shared" si="57"/>
        <v>3.5140876518632595E-3</v>
      </c>
      <c r="W85" s="3"/>
      <c r="X85" s="8">
        <f t="shared" si="58"/>
        <v>-842</v>
      </c>
      <c r="Y85" s="3"/>
      <c r="Z85" s="7">
        <f t="shared" si="59"/>
        <v>-1</v>
      </c>
    </row>
    <row r="86" spans="1:26" s="24" customFormat="1" hidden="1" outlineLevel="2" x14ac:dyDescent="0.3">
      <c r="A86" s="29"/>
      <c r="B86" s="11" t="str">
        <f>CONCATENATE("          ", "6253", " - ", "ROYALTY DUE ATHLETICS-LRG")</f>
        <v xml:space="preserve">          6253 - ROYALTY DUE ATHLETICS-LRG</v>
      </c>
      <c r="C86" s="11"/>
      <c r="D86" s="8">
        <v>14376.54</v>
      </c>
      <c r="E86" s="3"/>
      <c r="F86" s="7">
        <f t="shared" si="52"/>
        <v>9.224505876102651E-2</v>
      </c>
      <c r="G86" s="3"/>
      <c r="H86" s="8">
        <v>5672</v>
      </c>
      <c r="I86" s="3"/>
      <c r="J86" s="7">
        <f t="shared" si="53"/>
        <v>2.3672096391173882E-2</v>
      </c>
      <c r="K86" s="3"/>
      <c r="L86" s="8">
        <f t="shared" si="54"/>
        <v>8704.5400000000009</v>
      </c>
      <c r="M86" s="3"/>
      <c r="N86" s="7">
        <f t="shared" si="55"/>
        <v>1.5346509167842033</v>
      </c>
      <c r="O86" s="11"/>
      <c r="P86" s="8">
        <v>14376.54</v>
      </c>
      <c r="Q86" s="3"/>
      <c r="R86" s="7">
        <f t="shared" si="56"/>
        <v>9.224505876102651E-2</v>
      </c>
      <c r="S86" s="3"/>
      <c r="T86" s="8">
        <v>5672</v>
      </c>
      <c r="U86" s="3"/>
      <c r="V86" s="7">
        <f t="shared" si="57"/>
        <v>2.3672096391173882E-2</v>
      </c>
      <c r="W86" s="3"/>
      <c r="X86" s="8">
        <f t="shared" si="58"/>
        <v>8704.5400000000009</v>
      </c>
      <c r="Y86" s="3"/>
      <c r="Z86" s="7">
        <f t="shared" si="59"/>
        <v>1.5346509167842033</v>
      </c>
    </row>
    <row r="87" spans="1:26" s="24" customFormat="1" hidden="1" outlineLevel="2" x14ac:dyDescent="0.3">
      <c r="A87" s="29"/>
      <c r="B87" s="11" t="str">
        <f>CONCATENATE("          ", "6254", " - ", "ROYALTY &amp; COMMISSIONS")</f>
        <v xml:space="preserve">          6254 - ROYALTY &amp; COMMISSIONS</v>
      </c>
      <c r="C87" s="11"/>
      <c r="D87" s="8">
        <v>-7027.5</v>
      </c>
      <c r="E87" s="3"/>
      <c r="F87" s="7">
        <f t="shared" si="52"/>
        <v>-4.5090971154611179E-2</v>
      </c>
      <c r="G87" s="3"/>
      <c r="H87" s="8">
        <v>0</v>
      </c>
      <c r="I87" s="3"/>
      <c r="J87" s="7">
        <f t="shared" si="53"/>
        <v>0</v>
      </c>
      <c r="K87" s="3"/>
      <c r="L87" s="8">
        <f t="shared" si="54"/>
        <v>-7027.5</v>
      </c>
      <c r="M87" s="3"/>
      <c r="N87" s="7">
        <f t="shared" si="55"/>
        <v>0</v>
      </c>
      <c r="O87" s="11"/>
      <c r="P87" s="8">
        <v>-7027.5</v>
      </c>
      <c r="Q87" s="3"/>
      <c r="R87" s="7">
        <f t="shared" si="56"/>
        <v>-4.5090971154611179E-2</v>
      </c>
      <c r="S87" s="3"/>
      <c r="T87" s="8">
        <v>0</v>
      </c>
      <c r="U87" s="3"/>
      <c r="V87" s="7">
        <f t="shared" si="57"/>
        <v>0</v>
      </c>
      <c r="W87" s="3"/>
      <c r="X87" s="8">
        <f t="shared" si="58"/>
        <v>-7027.5</v>
      </c>
      <c r="Y87" s="3"/>
      <c r="Z87" s="7">
        <f t="shared" si="59"/>
        <v>0</v>
      </c>
    </row>
    <row r="88" spans="1:26" s="27" customFormat="1" outlineLevel="1" collapsed="1" x14ac:dyDescent="0.3">
      <c r="A88" s="28"/>
      <c r="B88" s="14" t="str">
        <f>CONCATENATE("     ","Services                                          ")</f>
        <v xml:space="preserve">     Services                                          </v>
      </c>
      <c r="C88" s="14"/>
      <c r="D88" s="1">
        <f>SUM(OSRRefD22_14x_0)</f>
        <v>155.59</v>
      </c>
      <c r="E88" s="1"/>
      <c r="F88" s="5">
        <f t="shared" ref="F88:F90" si="60">IF(D$12=0,0,D88/D$12)</f>
        <v>9.9832148017729694E-4</v>
      </c>
      <c r="G88" s="1"/>
      <c r="H88" s="1">
        <f>SUM(OSRRefH22_14x_0)</f>
        <v>60</v>
      </c>
      <c r="I88" s="1"/>
      <c r="J88" s="5">
        <f t="shared" ref="J88:J90" si="61">IF(H$12=0,0,H88/H$12)</f>
        <v>2.504100464510636E-4</v>
      </c>
      <c r="K88" s="1"/>
      <c r="L88" s="1">
        <f t="shared" ref="L88:L90" si="62">+D88-H88</f>
        <v>95.59</v>
      </c>
      <c r="M88" s="1"/>
      <c r="N88" s="5">
        <f t="shared" ref="N88:N90" si="63">IF(H88=0,0,L88/H88)</f>
        <v>1.5931666666666666</v>
      </c>
      <c r="O88" s="14"/>
      <c r="P88" s="1">
        <f>SUM(OSRRefP22_14x_0)</f>
        <v>155.59</v>
      </c>
      <c r="Q88" s="1"/>
      <c r="R88" s="5">
        <f t="shared" ref="R88:R90" si="64">IF(P$12=0,0,P88/P$12)</f>
        <v>9.9832148017729694E-4</v>
      </c>
      <c r="S88" s="1"/>
      <c r="T88" s="1">
        <f>SUM(OSRRefT22_14x_0)</f>
        <v>60</v>
      </c>
      <c r="U88" s="1"/>
      <c r="V88" s="5">
        <f t="shared" ref="V88:V90" si="65">IF(T$12=0,0,T88/T$12)</f>
        <v>2.504100464510636E-4</v>
      </c>
      <c r="W88" s="1"/>
      <c r="X88" s="1">
        <f t="shared" ref="X88:X90" si="66">+P88-T88</f>
        <v>95.59</v>
      </c>
      <c r="Y88" s="1"/>
      <c r="Z88" s="5">
        <f t="shared" ref="Z88:Z90" si="67">IF(T88=0,0,X88/T88)</f>
        <v>1.5931666666666666</v>
      </c>
    </row>
    <row r="89" spans="1:26" s="24" customFormat="1" hidden="1" outlineLevel="2" x14ac:dyDescent="0.3">
      <c r="A89" s="29"/>
      <c r="B89" s="11" t="str">
        <f>CONCATENATE("          ", "6284", " - ", "TRASH REMOVAL EXPENSE")</f>
        <v xml:space="preserve">          6284 - TRASH REMOVAL EXPENSE</v>
      </c>
      <c r="C89" s="11"/>
      <c r="D89" s="8">
        <v>142.57</v>
      </c>
      <c r="E89" s="3"/>
      <c r="F89" s="7">
        <f t="shared" si="60"/>
        <v>9.1478047065285178E-4</v>
      </c>
      <c r="G89" s="3"/>
      <c r="H89" s="8">
        <v>60</v>
      </c>
      <c r="I89" s="3"/>
      <c r="J89" s="7">
        <f t="shared" si="61"/>
        <v>2.504100464510636E-4</v>
      </c>
      <c r="K89" s="3"/>
      <c r="L89" s="8">
        <f t="shared" si="62"/>
        <v>82.57</v>
      </c>
      <c r="M89" s="3"/>
      <c r="N89" s="7">
        <f t="shared" si="63"/>
        <v>1.3761666666666665</v>
      </c>
      <c r="O89" s="11"/>
      <c r="P89" s="8">
        <v>142.57</v>
      </c>
      <c r="Q89" s="3"/>
      <c r="R89" s="7">
        <f t="shared" si="64"/>
        <v>9.1478047065285178E-4</v>
      </c>
      <c r="S89" s="3"/>
      <c r="T89" s="8">
        <v>60</v>
      </c>
      <c r="U89" s="3"/>
      <c r="V89" s="7">
        <f t="shared" si="65"/>
        <v>2.504100464510636E-4</v>
      </c>
      <c r="W89" s="3"/>
      <c r="X89" s="8">
        <f t="shared" si="66"/>
        <v>82.57</v>
      </c>
      <c r="Y89" s="3"/>
      <c r="Z89" s="7">
        <f t="shared" si="67"/>
        <v>1.3761666666666665</v>
      </c>
    </row>
    <row r="90" spans="1:26" s="24" customFormat="1" hidden="1" outlineLevel="2" x14ac:dyDescent="0.3">
      <c r="A90" s="29"/>
      <c r="B90" s="11" t="str">
        <f>CONCATENATE("          ", "6285", " - ", "JANITORIAL SERVICES")</f>
        <v xml:space="preserve">          6285 - JANITORIAL SERVICES</v>
      </c>
      <c r="C90" s="11"/>
      <c r="D90" s="8">
        <v>13.02</v>
      </c>
      <c r="E90" s="3"/>
      <c r="F90" s="7">
        <f t="shared" si="60"/>
        <v>8.354100952444504E-5</v>
      </c>
      <c r="G90" s="3"/>
      <c r="H90" s="8"/>
      <c r="I90" s="3"/>
      <c r="J90" s="7">
        <f t="shared" si="61"/>
        <v>0</v>
      </c>
      <c r="K90" s="3"/>
      <c r="L90" s="8">
        <f t="shared" si="62"/>
        <v>13.02</v>
      </c>
      <c r="M90" s="3"/>
      <c r="N90" s="7">
        <f t="shared" si="63"/>
        <v>0</v>
      </c>
      <c r="O90" s="11"/>
      <c r="P90" s="8">
        <v>13.02</v>
      </c>
      <c r="Q90" s="3"/>
      <c r="R90" s="7">
        <f t="shared" si="64"/>
        <v>8.354100952444504E-5</v>
      </c>
      <c r="S90" s="3"/>
      <c r="T90" s="8"/>
      <c r="U90" s="3"/>
      <c r="V90" s="7">
        <f t="shared" si="65"/>
        <v>0</v>
      </c>
      <c r="W90" s="3"/>
      <c r="X90" s="8">
        <f t="shared" si="66"/>
        <v>13.02</v>
      </c>
      <c r="Y90" s="3"/>
      <c r="Z90" s="7">
        <f t="shared" si="67"/>
        <v>0</v>
      </c>
    </row>
    <row r="91" spans="1:26" s="27" customFormat="1" outlineLevel="1" collapsed="1" x14ac:dyDescent="0.3">
      <c r="A91" s="28"/>
      <c r="B91" s="14" t="str">
        <f>CONCATENATE("     ","Subscriptions &amp; Dues                              ")</f>
        <v xml:space="preserve">     Subscriptions &amp; Dues                              </v>
      </c>
      <c r="C91" s="14"/>
      <c r="D91" s="1">
        <f>SUM(OSRRefD22_15x_0)</f>
        <v>0</v>
      </c>
      <c r="E91" s="1"/>
      <c r="F91" s="5">
        <f t="shared" ref="F91:F93" si="68">IF(D$12=0,0,D91/D$12)</f>
        <v>0</v>
      </c>
      <c r="G91" s="1"/>
      <c r="H91" s="1">
        <f>SUM(OSRRefH22_15x_0)</f>
        <v>1476</v>
      </c>
      <c r="I91" s="1"/>
      <c r="J91" s="5">
        <f t="shared" ref="J91:J93" si="69">IF(H$12=0,0,H91/H$12)</f>
        <v>6.1600871426961646E-3</v>
      </c>
      <c r="K91" s="1"/>
      <c r="L91" s="1">
        <f t="shared" ref="L91:L93" si="70">+D91-H91</f>
        <v>-1476</v>
      </c>
      <c r="M91" s="1"/>
      <c r="N91" s="5">
        <f t="shared" ref="N91:N93" si="71">IF(H91=0,0,L91/H91)</f>
        <v>-1</v>
      </c>
      <c r="O91" s="14"/>
      <c r="P91" s="1">
        <f>SUM(OSRRefP22_15x_0)</f>
        <v>0</v>
      </c>
      <c r="Q91" s="1"/>
      <c r="R91" s="5">
        <f t="shared" ref="R91:R93" si="72">IF(P$12=0,0,P91/P$12)</f>
        <v>0</v>
      </c>
      <c r="S91" s="1"/>
      <c r="T91" s="1">
        <f>SUM(OSRRefT22_15x_0)</f>
        <v>1476</v>
      </c>
      <c r="U91" s="1"/>
      <c r="V91" s="5">
        <f t="shared" ref="V91:V93" si="73">IF(T$12=0,0,T91/T$12)</f>
        <v>6.1600871426961646E-3</v>
      </c>
      <c r="W91" s="1"/>
      <c r="X91" s="1">
        <f t="shared" ref="X91:X93" si="74">+P91-T91</f>
        <v>-1476</v>
      </c>
      <c r="Y91" s="1"/>
      <c r="Z91" s="5">
        <f t="shared" ref="Z91:Z93" si="75">IF(T91=0,0,X91/T91)</f>
        <v>-1</v>
      </c>
    </row>
    <row r="92" spans="1:26" s="24" customFormat="1" hidden="1" outlineLevel="2" x14ac:dyDescent="0.3">
      <c r="A92" s="29"/>
      <c r="B92" s="11" t="str">
        <f>CONCATENATE("          ", "6258", " - ", "MEMBERSHIP DUES")</f>
        <v xml:space="preserve">          6258 - MEMBERSHIP DUES</v>
      </c>
      <c r="C92" s="11"/>
      <c r="D92" s="8"/>
      <c r="E92" s="3"/>
      <c r="F92" s="7">
        <f t="shared" si="68"/>
        <v>0</v>
      </c>
      <c r="G92" s="3"/>
      <c r="H92" s="8">
        <v>1395</v>
      </c>
      <c r="I92" s="3"/>
      <c r="J92" s="7">
        <f t="shared" si="69"/>
        <v>5.8220335799872291E-3</v>
      </c>
      <c r="K92" s="3"/>
      <c r="L92" s="8">
        <f t="shared" si="70"/>
        <v>-1395</v>
      </c>
      <c r="M92" s="3"/>
      <c r="N92" s="7">
        <f t="shared" si="71"/>
        <v>-1</v>
      </c>
      <c r="O92" s="11"/>
      <c r="P92" s="8"/>
      <c r="Q92" s="3"/>
      <c r="R92" s="7">
        <f t="shared" si="72"/>
        <v>0</v>
      </c>
      <c r="S92" s="3"/>
      <c r="T92" s="8">
        <v>1395</v>
      </c>
      <c r="U92" s="3"/>
      <c r="V92" s="7">
        <f t="shared" si="73"/>
        <v>5.8220335799872291E-3</v>
      </c>
      <c r="W92" s="3"/>
      <c r="X92" s="8">
        <f t="shared" si="74"/>
        <v>-1395</v>
      </c>
      <c r="Y92" s="3"/>
      <c r="Z92" s="7">
        <f t="shared" si="75"/>
        <v>-1</v>
      </c>
    </row>
    <row r="93" spans="1:26" s="24" customFormat="1" hidden="1" outlineLevel="2" x14ac:dyDescent="0.3">
      <c r="A93" s="29"/>
      <c r="B93" s="11" t="str">
        <f>CONCATENATE("          ", "6275", " - ", "SUBSCRIPTIONS")</f>
        <v xml:space="preserve">          6275 - SUBSCRIPTIONS</v>
      </c>
      <c r="C93" s="11"/>
      <c r="D93" s="8"/>
      <c r="E93" s="3"/>
      <c r="F93" s="7">
        <f t="shared" si="68"/>
        <v>0</v>
      </c>
      <c r="G93" s="3"/>
      <c r="H93" s="8">
        <v>81</v>
      </c>
      <c r="I93" s="3"/>
      <c r="J93" s="7">
        <f t="shared" si="69"/>
        <v>3.3805356270893587E-4</v>
      </c>
      <c r="K93" s="3"/>
      <c r="L93" s="8">
        <f t="shared" si="70"/>
        <v>-81</v>
      </c>
      <c r="M93" s="3"/>
      <c r="N93" s="7">
        <f t="shared" si="71"/>
        <v>-1</v>
      </c>
      <c r="O93" s="11"/>
      <c r="P93" s="8"/>
      <c r="Q93" s="3"/>
      <c r="R93" s="7">
        <f t="shared" si="72"/>
        <v>0</v>
      </c>
      <c r="S93" s="3"/>
      <c r="T93" s="8">
        <v>81</v>
      </c>
      <c r="U93" s="3"/>
      <c r="V93" s="7">
        <f t="shared" si="73"/>
        <v>3.3805356270893587E-4</v>
      </c>
      <c r="W93" s="3"/>
      <c r="X93" s="8">
        <f t="shared" si="74"/>
        <v>-81</v>
      </c>
      <c r="Y93" s="3"/>
      <c r="Z93" s="7">
        <f t="shared" si="75"/>
        <v>-1</v>
      </c>
    </row>
    <row r="94" spans="1:26" s="27" customFormat="1" outlineLevel="1" collapsed="1" x14ac:dyDescent="0.3">
      <c r="A94" s="28"/>
      <c r="B94" s="14" t="str">
        <f>CONCATENATE("     ","Supplies                                          ")</f>
        <v xml:space="preserve">     Supplies                                          </v>
      </c>
      <c r="C94" s="14"/>
      <c r="D94" s="1">
        <f>SUM(OSRRefD22_16x_0)</f>
        <v>2772.92</v>
      </c>
      <c r="E94" s="1"/>
      <c r="F94" s="5">
        <f t="shared" ref="F94:F98" si="76">IF(D$12=0,0,D94/D$12)</f>
        <v>1.7792053466246096E-2</v>
      </c>
      <c r="G94" s="1"/>
      <c r="H94" s="1">
        <f>SUM(OSRRefH22_16x_0)</f>
        <v>145</v>
      </c>
      <c r="I94" s="1"/>
      <c r="J94" s="5">
        <f t="shared" ref="J94:J98" si="77">IF(H$12=0,0,H94/H$12)</f>
        <v>6.0515761225673711E-4</v>
      </c>
      <c r="K94" s="1"/>
      <c r="L94" s="1">
        <f t="shared" ref="L94:L98" si="78">+D94-H94</f>
        <v>2627.92</v>
      </c>
      <c r="M94" s="1"/>
      <c r="N94" s="5">
        <f t="shared" ref="N94:N98" si="79">IF(H94=0,0,L94/H94)</f>
        <v>18.123586206896551</v>
      </c>
      <c r="O94" s="14"/>
      <c r="P94" s="1">
        <f>SUM(OSRRefP22_16x_0)</f>
        <v>2772.92</v>
      </c>
      <c r="Q94" s="1"/>
      <c r="R94" s="5">
        <f t="shared" ref="R94:R98" si="80">IF(P$12=0,0,P94/P$12)</f>
        <v>1.7792053466246096E-2</v>
      </c>
      <c r="S94" s="1"/>
      <c r="T94" s="1">
        <f>SUM(OSRRefT22_16x_0)</f>
        <v>145</v>
      </c>
      <c r="U94" s="1"/>
      <c r="V94" s="5">
        <f t="shared" ref="V94:V98" si="81">IF(T$12=0,0,T94/T$12)</f>
        <v>6.0515761225673711E-4</v>
      </c>
      <c r="W94" s="1"/>
      <c r="X94" s="1">
        <f t="shared" ref="X94:X98" si="82">+P94-T94</f>
        <v>2627.92</v>
      </c>
      <c r="Y94" s="1"/>
      <c r="Z94" s="5">
        <f t="shared" ref="Z94:Z98" si="83">IF(T94=0,0,X94/T94)</f>
        <v>18.123586206896551</v>
      </c>
    </row>
    <row r="95" spans="1:26" s="24" customFormat="1" hidden="1" outlineLevel="2" x14ac:dyDescent="0.3">
      <c r="A95" s="29"/>
      <c r="B95" s="11" t="str">
        <f>CONCATENATE("          ", "6235", " - ", "COVID-19 EXPENSES")</f>
        <v xml:space="preserve">          6235 - COVID-19 EXPENSES</v>
      </c>
      <c r="C95" s="11"/>
      <c r="D95" s="8"/>
      <c r="E95" s="3"/>
      <c r="F95" s="7">
        <f t="shared" si="76"/>
        <v>0</v>
      </c>
      <c r="G95" s="3"/>
      <c r="H95" s="8">
        <v>0</v>
      </c>
      <c r="I95" s="3"/>
      <c r="J95" s="7">
        <f t="shared" si="77"/>
        <v>0</v>
      </c>
      <c r="K95" s="3"/>
      <c r="L95" s="8">
        <f t="shared" si="78"/>
        <v>0</v>
      </c>
      <c r="M95" s="3"/>
      <c r="N95" s="7">
        <f t="shared" si="79"/>
        <v>0</v>
      </c>
      <c r="O95" s="11"/>
      <c r="P95" s="8"/>
      <c r="Q95" s="3"/>
      <c r="R95" s="7">
        <f t="shared" si="80"/>
        <v>0</v>
      </c>
      <c r="S95" s="3"/>
      <c r="T95" s="8">
        <v>0</v>
      </c>
      <c r="U95" s="3"/>
      <c r="V95" s="7">
        <f t="shared" si="81"/>
        <v>0</v>
      </c>
      <c r="W95" s="3"/>
      <c r="X95" s="8">
        <f t="shared" si="82"/>
        <v>0</v>
      </c>
      <c r="Y95" s="3"/>
      <c r="Z95" s="7">
        <f t="shared" si="83"/>
        <v>0</v>
      </c>
    </row>
    <row r="96" spans="1:26" s="24" customFormat="1" hidden="1" outlineLevel="2" x14ac:dyDescent="0.3">
      <c r="A96" s="29"/>
      <c r="B96" s="11" t="str">
        <f>CONCATENATE("          ", "6237", " - ", "JANITORIAL SUPPLIES")</f>
        <v xml:space="preserve">          6237 - JANITORIAL SUPPLIES</v>
      </c>
      <c r="C96" s="11"/>
      <c r="D96" s="8"/>
      <c r="E96" s="3"/>
      <c r="F96" s="7">
        <f t="shared" si="76"/>
        <v>0</v>
      </c>
      <c r="G96" s="3"/>
      <c r="H96" s="8">
        <v>50</v>
      </c>
      <c r="I96" s="3"/>
      <c r="J96" s="7">
        <f t="shared" si="77"/>
        <v>2.0867503870921968E-4</v>
      </c>
      <c r="K96" s="3"/>
      <c r="L96" s="8">
        <f t="shared" si="78"/>
        <v>-50</v>
      </c>
      <c r="M96" s="3"/>
      <c r="N96" s="7">
        <f t="shared" si="79"/>
        <v>-1</v>
      </c>
      <c r="O96" s="11"/>
      <c r="P96" s="8"/>
      <c r="Q96" s="3"/>
      <c r="R96" s="7">
        <f t="shared" si="80"/>
        <v>0</v>
      </c>
      <c r="S96" s="3"/>
      <c r="T96" s="8">
        <v>50</v>
      </c>
      <c r="U96" s="3"/>
      <c r="V96" s="7">
        <f t="shared" si="81"/>
        <v>2.0867503870921968E-4</v>
      </c>
      <c r="W96" s="3"/>
      <c r="X96" s="8">
        <f t="shared" si="82"/>
        <v>-50</v>
      </c>
      <c r="Y96" s="3"/>
      <c r="Z96" s="7">
        <f t="shared" si="83"/>
        <v>-1</v>
      </c>
    </row>
    <row r="97" spans="1:26" s="24" customFormat="1" hidden="1" outlineLevel="2" x14ac:dyDescent="0.3">
      <c r="A97" s="29"/>
      <c r="B97" s="11" t="str">
        <f>CONCATENATE("          ", "6241", " - ", "OFFICE EXPENSE")</f>
        <v xml:space="preserve">          6241 - OFFICE EXPENSE</v>
      </c>
      <c r="C97" s="11"/>
      <c r="D97" s="8">
        <v>131.47999999999999</v>
      </c>
      <c r="E97" s="3"/>
      <c r="F97" s="7">
        <f t="shared" si="76"/>
        <v>8.4362303627296721E-4</v>
      </c>
      <c r="G97" s="3"/>
      <c r="H97" s="8">
        <v>45</v>
      </c>
      <c r="I97" s="3"/>
      <c r="J97" s="7">
        <f t="shared" si="77"/>
        <v>1.8780753483829771E-4</v>
      </c>
      <c r="K97" s="3"/>
      <c r="L97" s="8">
        <f t="shared" si="78"/>
        <v>86.47999999999999</v>
      </c>
      <c r="M97" s="3"/>
      <c r="N97" s="7">
        <f t="shared" si="79"/>
        <v>1.9217777777777776</v>
      </c>
      <c r="O97" s="11"/>
      <c r="P97" s="8">
        <v>131.47999999999999</v>
      </c>
      <c r="Q97" s="3"/>
      <c r="R97" s="7">
        <f t="shared" si="80"/>
        <v>8.4362303627296721E-4</v>
      </c>
      <c r="S97" s="3"/>
      <c r="T97" s="8">
        <v>45</v>
      </c>
      <c r="U97" s="3"/>
      <c r="V97" s="7">
        <f t="shared" si="81"/>
        <v>1.8780753483829771E-4</v>
      </c>
      <c r="W97" s="3"/>
      <c r="X97" s="8">
        <f t="shared" si="82"/>
        <v>86.47999999999999</v>
      </c>
      <c r="Y97" s="3"/>
      <c r="Z97" s="7">
        <f t="shared" si="83"/>
        <v>1.9217777777777776</v>
      </c>
    </row>
    <row r="98" spans="1:26" s="24" customFormat="1" hidden="1" outlineLevel="2" x14ac:dyDescent="0.3">
      <c r="A98" s="29"/>
      <c r="B98" s="11" t="str">
        <f>CONCATENATE("          ", "6247", " - ", "STORE SUPPLIES")</f>
        <v xml:space="preserve">          6247 - STORE SUPPLIES</v>
      </c>
      <c r="C98" s="11"/>
      <c r="D98" s="8">
        <v>2641.44</v>
      </c>
      <c r="E98" s="3"/>
      <c r="F98" s="7">
        <f t="shared" si="76"/>
        <v>1.6948430429973127E-2</v>
      </c>
      <c r="G98" s="3"/>
      <c r="H98" s="8">
        <v>50</v>
      </c>
      <c r="I98" s="3"/>
      <c r="J98" s="7">
        <f t="shared" si="77"/>
        <v>2.0867503870921968E-4</v>
      </c>
      <c r="K98" s="3"/>
      <c r="L98" s="8">
        <f t="shared" si="78"/>
        <v>2591.44</v>
      </c>
      <c r="M98" s="3"/>
      <c r="N98" s="7">
        <f t="shared" si="79"/>
        <v>51.828800000000001</v>
      </c>
      <c r="O98" s="11"/>
      <c r="P98" s="8">
        <v>2641.44</v>
      </c>
      <c r="Q98" s="3"/>
      <c r="R98" s="7">
        <f t="shared" si="80"/>
        <v>1.6948430429973127E-2</v>
      </c>
      <c r="S98" s="3"/>
      <c r="T98" s="8">
        <v>50</v>
      </c>
      <c r="U98" s="3"/>
      <c r="V98" s="7">
        <f t="shared" si="81"/>
        <v>2.0867503870921968E-4</v>
      </c>
      <c r="W98" s="3"/>
      <c r="X98" s="8">
        <f t="shared" si="82"/>
        <v>2591.44</v>
      </c>
      <c r="Y98" s="3"/>
      <c r="Z98" s="7">
        <f t="shared" si="83"/>
        <v>51.828800000000001</v>
      </c>
    </row>
    <row r="99" spans="1:26" s="27" customFormat="1" outlineLevel="1" collapsed="1" x14ac:dyDescent="0.3">
      <c r="A99" s="28"/>
      <c r="B99" s="14" t="str">
        <f>CONCATENATE("     ","Telephone/Data Lines                              ")</f>
        <v xml:space="preserve">     Telephone/Data Lines                              </v>
      </c>
      <c r="C99" s="14"/>
      <c r="D99" s="1">
        <f>SUM(OSRRefD22_17x_0)</f>
        <v>266.89</v>
      </c>
      <c r="E99" s="1"/>
      <c r="F99" s="5">
        <f t="shared" ref="F99:F103" si="84">IF(D$12=0,0,D99/D$12)</f>
        <v>1.7124623680475528E-3</v>
      </c>
      <c r="G99" s="1"/>
      <c r="H99" s="1">
        <f>SUM(OSRRefH22_17x_0)</f>
        <v>550</v>
      </c>
      <c r="I99" s="1"/>
      <c r="J99" s="5">
        <f t="shared" ref="J99:J103" si="85">IF(H$12=0,0,H99/H$12)</f>
        <v>2.2954254258014165E-3</v>
      </c>
      <c r="K99" s="1"/>
      <c r="L99" s="1">
        <f t="shared" ref="L99:L103" si="86">+D99-H99</f>
        <v>-283.11</v>
      </c>
      <c r="M99" s="1"/>
      <c r="N99" s="5">
        <f t="shared" ref="N99:N103" si="87">IF(H99=0,0,L99/H99)</f>
        <v>-0.51474545454545462</v>
      </c>
      <c r="O99" s="14"/>
      <c r="P99" s="1">
        <f>SUM(OSRRefP22_17x_0)</f>
        <v>266.89</v>
      </c>
      <c r="Q99" s="1"/>
      <c r="R99" s="5">
        <f t="shared" ref="R99:R103" si="88">IF(P$12=0,0,P99/P$12)</f>
        <v>1.7124623680475528E-3</v>
      </c>
      <c r="S99" s="1"/>
      <c r="T99" s="1">
        <f>SUM(OSRRefT22_17x_0)</f>
        <v>550</v>
      </c>
      <c r="U99" s="1"/>
      <c r="V99" s="5">
        <f t="shared" ref="V99:V103" si="89">IF(T$12=0,0,T99/T$12)</f>
        <v>2.2954254258014165E-3</v>
      </c>
      <c r="W99" s="1"/>
      <c r="X99" s="1">
        <f t="shared" ref="X99:X103" si="90">+P99-T99</f>
        <v>-283.11</v>
      </c>
      <c r="Y99" s="1"/>
      <c r="Z99" s="5">
        <f t="shared" ref="Z99:Z103" si="91">IF(T99=0,0,X99/T99)</f>
        <v>-0.51474545454545462</v>
      </c>
    </row>
    <row r="100" spans="1:26" s="24" customFormat="1" hidden="1" outlineLevel="2" x14ac:dyDescent="0.3">
      <c r="A100" s="29"/>
      <c r="B100" s="11" t="str">
        <f>CONCATENATE("          ", "6309", " - ", "TELEPHONE")</f>
        <v xml:space="preserve">          6309 - TELEPHONE</v>
      </c>
      <c r="C100" s="11"/>
      <c r="D100" s="8">
        <v>266.89</v>
      </c>
      <c r="E100" s="3"/>
      <c r="F100" s="7">
        <f t="shared" si="84"/>
        <v>1.7124623680475528E-3</v>
      </c>
      <c r="G100" s="3"/>
      <c r="H100" s="8">
        <v>550</v>
      </c>
      <c r="I100" s="3"/>
      <c r="J100" s="7">
        <f t="shared" si="85"/>
        <v>2.2954254258014165E-3</v>
      </c>
      <c r="K100" s="3"/>
      <c r="L100" s="8">
        <f t="shared" si="86"/>
        <v>-283.11</v>
      </c>
      <c r="M100" s="3"/>
      <c r="N100" s="7">
        <f t="shared" si="87"/>
        <v>-0.51474545454545462</v>
      </c>
      <c r="O100" s="11"/>
      <c r="P100" s="8">
        <v>266.89</v>
      </c>
      <c r="Q100" s="3"/>
      <c r="R100" s="7">
        <f t="shared" si="88"/>
        <v>1.7124623680475528E-3</v>
      </c>
      <c r="S100" s="3"/>
      <c r="T100" s="8">
        <v>550</v>
      </c>
      <c r="U100" s="3"/>
      <c r="V100" s="7">
        <f t="shared" si="89"/>
        <v>2.2954254258014165E-3</v>
      </c>
      <c r="W100" s="3"/>
      <c r="X100" s="8">
        <f t="shared" si="90"/>
        <v>-283.11</v>
      </c>
      <c r="Y100" s="3"/>
      <c r="Z100" s="7">
        <f t="shared" si="91"/>
        <v>-0.51474545454545462</v>
      </c>
    </row>
    <row r="101" spans="1:26" s="27" customFormat="1" outlineLevel="1" collapsed="1" x14ac:dyDescent="0.3">
      <c r="A101" s="28"/>
      <c r="B101" s="14" t="str">
        <f>CONCATENATE("     ","Travel                                            ")</f>
        <v xml:space="preserve">     Travel                                            </v>
      </c>
      <c r="C101" s="14"/>
      <c r="D101" s="1">
        <f>SUM(OSRRefD22_18x_0)</f>
        <v>188.14</v>
      </c>
      <c r="E101" s="1"/>
      <c r="F101" s="5">
        <f t="shared" si="84"/>
        <v>1.2071740039884093E-3</v>
      </c>
      <c r="G101" s="1"/>
      <c r="H101" s="1">
        <f>SUM(OSRRefH22_18x_0)</f>
        <v>50</v>
      </c>
      <c r="I101" s="1"/>
      <c r="J101" s="5">
        <f t="shared" si="85"/>
        <v>2.0867503870921968E-4</v>
      </c>
      <c r="K101" s="1"/>
      <c r="L101" s="1">
        <f t="shared" si="86"/>
        <v>138.13999999999999</v>
      </c>
      <c r="M101" s="1"/>
      <c r="N101" s="5">
        <f t="shared" si="87"/>
        <v>2.7627999999999999</v>
      </c>
      <c r="O101" s="14"/>
      <c r="P101" s="1">
        <f>SUM(OSRRefP22_18x_0)</f>
        <v>188.14</v>
      </c>
      <c r="Q101" s="1"/>
      <c r="R101" s="5">
        <f t="shared" si="88"/>
        <v>1.2071740039884093E-3</v>
      </c>
      <c r="S101" s="1"/>
      <c r="T101" s="1">
        <f>SUM(OSRRefT22_18x_0)</f>
        <v>50</v>
      </c>
      <c r="U101" s="1"/>
      <c r="V101" s="5">
        <f t="shared" si="89"/>
        <v>2.0867503870921968E-4</v>
      </c>
      <c r="W101" s="1"/>
      <c r="X101" s="1">
        <f t="shared" si="90"/>
        <v>138.13999999999999</v>
      </c>
      <c r="Y101" s="1"/>
      <c r="Z101" s="5">
        <f t="shared" si="91"/>
        <v>2.7627999999999999</v>
      </c>
    </row>
    <row r="102" spans="1:26" s="24" customFormat="1" hidden="1" outlineLevel="2" x14ac:dyDescent="0.3">
      <c r="A102" s="29"/>
      <c r="B102" s="11" t="str">
        <f>CONCATENATE("          ", "6294", " - ", "TRAVEL OPERATIONAL")</f>
        <v xml:space="preserve">          6294 - TRAVEL OPERATIONAL</v>
      </c>
      <c r="C102" s="11"/>
      <c r="D102" s="8">
        <v>188.14</v>
      </c>
      <c r="E102" s="3"/>
      <c r="F102" s="7">
        <f t="shared" si="84"/>
        <v>1.2071740039884093E-3</v>
      </c>
      <c r="G102" s="3"/>
      <c r="H102" s="8">
        <v>25</v>
      </c>
      <c r="I102" s="3"/>
      <c r="J102" s="7">
        <f t="shared" si="85"/>
        <v>1.0433751935460984E-4</v>
      </c>
      <c r="K102" s="3"/>
      <c r="L102" s="8">
        <f t="shared" si="86"/>
        <v>163.13999999999999</v>
      </c>
      <c r="M102" s="3"/>
      <c r="N102" s="7">
        <f t="shared" si="87"/>
        <v>6.5255999999999998</v>
      </c>
      <c r="O102" s="11"/>
      <c r="P102" s="8">
        <v>188.14</v>
      </c>
      <c r="Q102" s="3"/>
      <c r="R102" s="7">
        <f t="shared" si="88"/>
        <v>1.2071740039884093E-3</v>
      </c>
      <c r="S102" s="3"/>
      <c r="T102" s="8">
        <v>25</v>
      </c>
      <c r="U102" s="3"/>
      <c r="V102" s="7">
        <f t="shared" si="89"/>
        <v>1.0433751935460984E-4</v>
      </c>
      <c r="W102" s="3"/>
      <c r="X102" s="8">
        <f t="shared" si="90"/>
        <v>163.13999999999999</v>
      </c>
      <c r="Y102" s="3"/>
      <c r="Z102" s="7">
        <f t="shared" si="91"/>
        <v>6.5255999999999998</v>
      </c>
    </row>
    <row r="103" spans="1:26" s="24" customFormat="1" hidden="1" outlineLevel="2" x14ac:dyDescent="0.3">
      <c r="A103" s="29"/>
      <c r="B103" s="11" t="str">
        <f>CONCATENATE("          ", "6298", " - ", "VEHICLE MILEAGE")</f>
        <v xml:space="preserve">          6298 - VEHICLE MILEAGE</v>
      </c>
      <c r="C103" s="11"/>
      <c r="D103" s="8"/>
      <c r="E103" s="3"/>
      <c r="F103" s="7">
        <f t="shared" si="84"/>
        <v>0</v>
      </c>
      <c r="G103" s="3"/>
      <c r="H103" s="8">
        <v>25</v>
      </c>
      <c r="I103" s="3"/>
      <c r="J103" s="7">
        <f t="shared" si="85"/>
        <v>1.0433751935460984E-4</v>
      </c>
      <c r="K103" s="3"/>
      <c r="L103" s="8">
        <f t="shared" si="86"/>
        <v>-25</v>
      </c>
      <c r="M103" s="3"/>
      <c r="N103" s="7">
        <f t="shared" si="87"/>
        <v>-1</v>
      </c>
      <c r="O103" s="11"/>
      <c r="P103" s="8"/>
      <c r="Q103" s="3"/>
      <c r="R103" s="7">
        <f t="shared" si="88"/>
        <v>0</v>
      </c>
      <c r="S103" s="3"/>
      <c r="T103" s="8">
        <v>25</v>
      </c>
      <c r="U103" s="3"/>
      <c r="V103" s="7">
        <f t="shared" si="89"/>
        <v>1.0433751935460984E-4</v>
      </c>
      <c r="W103" s="3"/>
      <c r="X103" s="8">
        <f t="shared" si="90"/>
        <v>-25</v>
      </c>
      <c r="Y103" s="3"/>
      <c r="Z103" s="7">
        <f t="shared" si="91"/>
        <v>-1</v>
      </c>
    </row>
    <row r="104" spans="1:26" s="27" customFormat="1" outlineLevel="1" collapsed="1" x14ac:dyDescent="0.3">
      <c r="A104" s="28"/>
      <c r="B104" s="14" t="str">
        <f>CONCATENATE("     ","Utilities                                         ")</f>
        <v xml:space="preserve">     Utilities                                         </v>
      </c>
      <c r="C104" s="14"/>
      <c r="D104" s="1">
        <f>SUM(OSRRefD22_19x_0)</f>
        <v>36.49</v>
      </c>
      <c r="E104" s="1"/>
      <c r="F104" s="5">
        <f t="shared" ref="F104:F105" si="92">IF(D$12=0,0,D104/D$12)</f>
        <v>2.3413298291451612E-4</v>
      </c>
      <c r="G104" s="1"/>
      <c r="H104" s="1">
        <f>SUM(OSRRefH22_19x_0)</f>
        <v>120</v>
      </c>
      <c r="I104" s="1"/>
      <c r="J104" s="5">
        <f t="shared" ref="J104:J105" si="93">IF(H$12=0,0,H104/H$12)</f>
        <v>5.008200929021272E-4</v>
      </c>
      <c r="K104" s="1"/>
      <c r="L104" s="1">
        <f t="shared" ref="L104:L105" si="94">+D104-H104</f>
        <v>-83.509999999999991</v>
      </c>
      <c r="M104" s="1"/>
      <c r="N104" s="5">
        <f t="shared" ref="N104:N105" si="95">IF(H104=0,0,L104/H104)</f>
        <v>-0.69591666666666663</v>
      </c>
      <c r="O104" s="14"/>
      <c r="P104" s="1">
        <f>SUM(OSRRefP22_19x_0)</f>
        <v>36.49</v>
      </c>
      <c r="Q104" s="1"/>
      <c r="R104" s="5">
        <f t="shared" ref="R104:R105" si="96">IF(P$12=0,0,P104/P$12)</f>
        <v>2.3413298291451612E-4</v>
      </c>
      <c r="S104" s="1"/>
      <c r="T104" s="1">
        <f>SUM(OSRRefT22_19x_0)</f>
        <v>120</v>
      </c>
      <c r="U104" s="1"/>
      <c r="V104" s="5">
        <f t="shared" ref="V104:V105" si="97">IF(T$12=0,0,T104/T$12)</f>
        <v>5.008200929021272E-4</v>
      </c>
      <c r="W104" s="1"/>
      <c r="X104" s="1">
        <f t="shared" ref="X104:X105" si="98">+P104-T104</f>
        <v>-83.509999999999991</v>
      </c>
      <c r="Y104" s="1"/>
      <c r="Z104" s="5">
        <f t="shared" ref="Z104:Z105" si="99">IF(T104=0,0,X104/T104)</f>
        <v>-0.69591666666666663</v>
      </c>
    </row>
    <row r="105" spans="1:26" s="24" customFormat="1" hidden="1" outlineLevel="2" x14ac:dyDescent="0.3">
      <c r="A105" s="29"/>
      <c r="B105" s="11" t="str">
        <f>CONCATENATE("          ", "6274", " - ", "UTILITIES")</f>
        <v xml:space="preserve">          6274 - UTILITIES</v>
      </c>
      <c r="C105" s="11"/>
      <c r="D105" s="8">
        <v>36.49</v>
      </c>
      <c r="E105" s="3"/>
      <c r="F105" s="7">
        <f t="shared" si="92"/>
        <v>2.3413298291451612E-4</v>
      </c>
      <c r="G105" s="3"/>
      <c r="H105" s="8">
        <v>120</v>
      </c>
      <c r="I105" s="3"/>
      <c r="J105" s="7">
        <f t="shared" si="93"/>
        <v>5.008200929021272E-4</v>
      </c>
      <c r="K105" s="3"/>
      <c r="L105" s="8">
        <f t="shared" si="94"/>
        <v>-83.509999999999991</v>
      </c>
      <c r="M105" s="3"/>
      <c r="N105" s="7">
        <f t="shared" si="95"/>
        <v>-0.69591666666666663</v>
      </c>
      <c r="O105" s="11"/>
      <c r="P105" s="8">
        <v>36.49</v>
      </c>
      <c r="Q105" s="3"/>
      <c r="R105" s="7">
        <f t="shared" si="96"/>
        <v>2.3413298291451612E-4</v>
      </c>
      <c r="S105" s="3"/>
      <c r="T105" s="8">
        <v>120</v>
      </c>
      <c r="U105" s="3"/>
      <c r="V105" s="7">
        <f t="shared" si="97"/>
        <v>5.008200929021272E-4</v>
      </c>
      <c r="W105" s="3"/>
      <c r="X105" s="8">
        <f t="shared" si="98"/>
        <v>-83.509999999999991</v>
      </c>
      <c r="Y105" s="3"/>
      <c r="Z105" s="7">
        <f t="shared" si="99"/>
        <v>-0.69591666666666663</v>
      </c>
    </row>
    <row r="106" spans="1:26" s="62" customFormat="1" x14ac:dyDescent="0.3">
      <c r="A106" s="36"/>
      <c r="B106" s="36"/>
      <c r="C106" s="36"/>
      <c r="D106" s="1"/>
      <c r="E106" s="1"/>
      <c r="F106" s="5"/>
      <c r="G106" s="1"/>
      <c r="H106" s="1"/>
      <c r="I106" s="1"/>
      <c r="J106" s="5"/>
      <c r="K106" s="1"/>
      <c r="L106" s="1"/>
      <c r="M106" s="1"/>
      <c r="N106" s="5"/>
      <c r="O106" s="36"/>
      <c r="P106" s="1"/>
      <c r="Q106" s="1"/>
      <c r="R106" s="5"/>
      <c r="S106" s="1"/>
      <c r="T106" s="1"/>
      <c r="U106" s="1"/>
      <c r="V106" s="5"/>
      <c r="W106" s="1"/>
      <c r="X106" s="1"/>
      <c r="Y106" s="1"/>
      <c r="Z106" s="5"/>
    </row>
    <row r="107" spans="1:26" s="23" customFormat="1" collapsed="1" x14ac:dyDescent="0.3">
      <c r="A107" s="10"/>
      <c r="B107" s="25" t="s">
        <v>293</v>
      </c>
      <c r="C107" s="10"/>
      <c r="D107" s="4">
        <f>SUM(OSRRefD25x_0)</f>
        <v>35082.020000000004</v>
      </c>
      <c r="E107" s="4"/>
      <c r="F107" s="12">
        <f t="shared" ref="F107:F110" si="100">IF(D$12=0,0,D107/D$12)</f>
        <v>0.22509887611035115</v>
      </c>
      <c r="G107" s="4"/>
      <c r="H107" s="4">
        <f>SUM(OSRRefH25x_0)</f>
        <v>11344</v>
      </c>
      <c r="I107" s="4"/>
      <c r="J107" s="12">
        <f t="shared" ref="J107:J110" si="101">IF(H$12=0,0,H107/H$12)</f>
        <v>4.7344192782347763E-2</v>
      </c>
      <c r="K107" s="4"/>
      <c r="L107" s="4">
        <f t="shared" ref="L107:L110" si="102">+D107-H107</f>
        <v>23738.020000000004</v>
      </c>
      <c r="M107" s="4"/>
      <c r="N107" s="12">
        <f t="shared" ref="N107:N110" si="103">IF(H107=0,0,L107/H107)</f>
        <v>2.0925617066290552</v>
      </c>
      <c r="O107" s="10"/>
      <c r="P107" s="4">
        <f>SUM(OSRRefP25x_0)</f>
        <v>35082.020000000004</v>
      </c>
      <c r="Q107" s="4"/>
      <c r="R107" s="12">
        <f t="shared" ref="R107:R110" si="104">IF(P$12=0,0,P107/P$12)</f>
        <v>0.22509887611035115</v>
      </c>
      <c r="S107" s="4"/>
      <c r="T107" s="4">
        <f>SUM(OSRRefT25x_0)</f>
        <v>11344</v>
      </c>
      <c r="U107" s="4"/>
      <c r="V107" s="12">
        <f t="shared" ref="V107:V110" si="105">IF(T$12=0,0,T107/T$12)</f>
        <v>4.7344192782347763E-2</v>
      </c>
      <c r="W107" s="4"/>
      <c r="X107" s="4">
        <f t="shared" ref="X107:X110" si="106">+P107-T107</f>
        <v>23738.020000000004</v>
      </c>
      <c r="Y107" s="4"/>
      <c r="Z107" s="12">
        <f t="shared" ref="Z107:Z110" si="107">IF(T107=0,0,X107/T107)</f>
        <v>2.0925617066290552</v>
      </c>
    </row>
    <row r="108" spans="1:26" s="24" customFormat="1" hidden="1" outlineLevel="1" x14ac:dyDescent="0.3">
      <c r="A108" s="44"/>
      <c r="B108" s="11" t="str">
        <f>CONCATENATE("          ", "9150", " - ", "MISC. INCOME")</f>
        <v xml:space="preserve">          9150 - MISC. INCOME</v>
      </c>
      <c r="C108" s="11"/>
      <c r="D108" s="3">
        <f>--28753.08</f>
        <v>28753.08</v>
      </c>
      <c r="E108" s="3"/>
      <c r="F108" s="19">
        <f t="shared" si="100"/>
        <v>0.18449011752205302</v>
      </c>
      <c r="G108" s="3"/>
      <c r="H108" s="3">
        <v>11344</v>
      </c>
      <c r="I108" s="3"/>
      <c r="J108" s="19">
        <f t="shared" si="101"/>
        <v>4.7344192782347763E-2</v>
      </c>
      <c r="K108" s="3"/>
      <c r="L108" s="3">
        <f t="shared" si="102"/>
        <v>17409.080000000002</v>
      </c>
      <c r="M108" s="3"/>
      <c r="N108" s="19">
        <f t="shared" si="103"/>
        <v>1.5346509167842033</v>
      </c>
      <c r="O108" s="11"/>
      <c r="P108" s="3">
        <f>--28753.08</f>
        <v>28753.08</v>
      </c>
      <c r="Q108" s="3"/>
      <c r="R108" s="19">
        <f t="shared" si="104"/>
        <v>0.18449011752205302</v>
      </c>
      <c r="S108" s="3"/>
      <c r="T108" s="3">
        <v>11344</v>
      </c>
      <c r="U108" s="3"/>
      <c r="V108" s="19">
        <f t="shared" si="105"/>
        <v>4.7344192782347763E-2</v>
      </c>
      <c r="W108" s="3"/>
      <c r="X108" s="3">
        <f t="shared" si="106"/>
        <v>17409.080000000002</v>
      </c>
      <c r="Y108" s="3"/>
      <c r="Z108" s="19">
        <f t="shared" si="107"/>
        <v>1.5346509167842033</v>
      </c>
    </row>
    <row r="109" spans="1:26" s="24" customFormat="1" hidden="1" outlineLevel="1" x14ac:dyDescent="0.3">
      <c r="A109" s="44"/>
      <c r="B109" s="11" t="str">
        <f>CONCATENATE("          ", "9160", " - ", "MISC. INCOME")</f>
        <v xml:space="preserve">          9160 - MISC. INCOME</v>
      </c>
      <c r="C109" s="11"/>
      <c r="D109" s="3">
        <f>0</f>
        <v>0</v>
      </c>
      <c r="E109" s="3"/>
      <c r="F109" s="19">
        <f t="shared" si="100"/>
        <v>0</v>
      </c>
      <c r="G109" s="3"/>
      <c r="H109" s="3">
        <v>0</v>
      </c>
      <c r="I109" s="3"/>
      <c r="J109" s="19">
        <f t="shared" si="101"/>
        <v>0</v>
      </c>
      <c r="K109" s="3"/>
      <c r="L109" s="3">
        <f t="shared" si="102"/>
        <v>0</v>
      </c>
      <c r="M109" s="3"/>
      <c r="N109" s="19">
        <f t="shared" si="103"/>
        <v>0</v>
      </c>
      <c r="O109" s="11"/>
      <c r="P109" s="3">
        <f>0</f>
        <v>0</v>
      </c>
      <c r="Q109" s="3"/>
      <c r="R109" s="19">
        <f t="shared" si="104"/>
        <v>0</v>
      </c>
      <c r="S109" s="3"/>
      <c r="T109" s="3">
        <v>0</v>
      </c>
      <c r="U109" s="3"/>
      <c r="V109" s="19">
        <f t="shared" si="105"/>
        <v>0</v>
      </c>
      <c r="W109" s="3"/>
      <c r="X109" s="3">
        <f t="shared" si="106"/>
        <v>0</v>
      </c>
      <c r="Y109" s="3"/>
      <c r="Z109" s="19">
        <f t="shared" si="107"/>
        <v>0</v>
      </c>
    </row>
    <row r="110" spans="1:26" s="24" customFormat="1" hidden="1" outlineLevel="1" x14ac:dyDescent="0.3">
      <c r="A110" s="44"/>
      <c r="B110" s="11" t="str">
        <f>CONCATENATE("          ", "9163", " - ", "MISC. INCOME")</f>
        <v xml:space="preserve">          9163 - MISC. INCOME</v>
      </c>
      <c r="C110" s="11"/>
      <c r="D110" s="3">
        <f>--6328.94</f>
        <v>6328.94</v>
      </c>
      <c r="E110" s="3"/>
      <c r="F110" s="19">
        <f t="shared" si="100"/>
        <v>4.0608758588298093E-2</v>
      </c>
      <c r="G110" s="3"/>
      <c r="H110" s="3"/>
      <c r="I110" s="3"/>
      <c r="J110" s="19">
        <f t="shared" si="101"/>
        <v>0</v>
      </c>
      <c r="K110" s="3"/>
      <c r="L110" s="3">
        <f t="shared" si="102"/>
        <v>6328.94</v>
      </c>
      <c r="M110" s="3"/>
      <c r="N110" s="19">
        <f t="shared" si="103"/>
        <v>0</v>
      </c>
      <c r="O110" s="11"/>
      <c r="P110" s="3">
        <f>--6328.94</f>
        <v>6328.94</v>
      </c>
      <c r="Q110" s="3"/>
      <c r="R110" s="19">
        <f t="shared" si="104"/>
        <v>4.0608758588298093E-2</v>
      </c>
      <c r="S110" s="3"/>
      <c r="T110" s="3"/>
      <c r="U110" s="3"/>
      <c r="V110" s="19">
        <f t="shared" si="105"/>
        <v>0</v>
      </c>
      <c r="W110" s="3"/>
      <c r="X110" s="3">
        <f t="shared" si="106"/>
        <v>6328.94</v>
      </c>
      <c r="Y110" s="3"/>
      <c r="Z110" s="19">
        <f t="shared" si="107"/>
        <v>0</v>
      </c>
    </row>
    <row r="111" spans="1:26" x14ac:dyDescent="0.3">
      <c r="A111" s="9"/>
      <c r="B111" s="10"/>
      <c r="C111" s="10"/>
      <c r="D111" s="2"/>
      <c r="E111" s="2"/>
      <c r="F111" s="6"/>
      <c r="G111" s="2"/>
      <c r="H111" s="2"/>
      <c r="I111" s="2"/>
      <c r="J111" s="6"/>
      <c r="K111" s="2"/>
      <c r="L111" s="2"/>
      <c r="M111" s="2"/>
      <c r="N111" s="6"/>
      <c r="O111" s="10"/>
      <c r="P111" s="2"/>
      <c r="Q111" s="2"/>
      <c r="R111" s="6"/>
      <c r="S111" s="2"/>
      <c r="T111" s="2"/>
      <c r="U111" s="2"/>
      <c r="V111" s="6"/>
      <c r="W111" s="2"/>
      <c r="X111" s="2"/>
      <c r="Y111" s="2"/>
      <c r="Z111" s="6"/>
    </row>
    <row r="112" spans="1:26" s="23" customFormat="1" x14ac:dyDescent="0.3">
      <c r="A112" s="10"/>
      <c r="B112" s="26" t="s">
        <v>277</v>
      </c>
      <c r="C112" s="26"/>
      <c r="D112" s="21">
        <f>+D35-D37+D107</f>
        <v>12021.13999999997</v>
      </c>
      <c r="E112" s="13"/>
      <c r="F112" s="22">
        <f>IF(D$12=0,0,D112/D$12)</f>
        <v>7.7131963996519573E-2</v>
      </c>
      <c r="G112" s="13"/>
      <c r="H112" s="21">
        <f>+H35-H37+H107</f>
        <v>-11270.993384615373</v>
      </c>
      <c r="I112" s="13"/>
      <c r="J112" s="22">
        <f>IF(H$12=0,0,H112/H$12)</f>
        <v>-4.7039499616519438E-2</v>
      </c>
      <c r="K112" s="16"/>
      <c r="L112" s="21">
        <f>+D112-H112</f>
        <v>23292.133384615343</v>
      </c>
      <c r="M112" s="16"/>
      <c r="N112" s="22">
        <f>IF(H112=0,0,L112/H112)</f>
        <v>-2.0665555013463615</v>
      </c>
      <c r="O112" s="25"/>
      <c r="P112" s="21">
        <f>+P35-P37+P107</f>
        <v>12021.13999999997</v>
      </c>
      <c r="Q112" s="13"/>
      <c r="R112" s="22">
        <f>IF(P$12=0,0,P112/P$12)</f>
        <v>7.7131963996519573E-2</v>
      </c>
      <c r="S112" s="13"/>
      <c r="T112" s="21">
        <f>+T35-T37+T107</f>
        <v>-11270.993384615373</v>
      </c>
      <c r="U112" s="13"/>
      <c r="V112" s="22">
        <f>IF(T$12=0,0,T112/T$12)</f>
        <v>-4.7039499616519438E-2</v>
      </c>
      <c r="W112" s="16"/>
      <c r="X112" s="21">
        <f>+P112-T112</f>
        <v>23292.133384615343</v>
      </c>
      <c r="Y112" s="16"/>
      <c r="Z112" s="22">
        <f>IF(T112=0,0,X112/T112)</f>
        <v>-2.0665555013463615</v>
      </c>
    </row>
    <row r="113" spans="1:26" x14ac:dyDescent="0.3">
      <c r="A113" s="9"/>
      <c r="B113" s="10"/>
      <c r="C113" s="9"/>
      <c r="D113" s="2"/>
      <c r="E113" s="2"/>
      <c r="F113" s="6"/>
      <c r="G113" s="2"/>
      <c r="H113" s="2"/>
      <c r="I113" s="2"/>
      <c r="J113" s="6"/>
      <c r="K113" s="2"/>
      <c r="L113" s="2"/>
      <c r="M113" s="2"/>
      <c r="N113" s="6"/>
      <c r="P113" s="2"/>
      <c r="Q113" s="2"/>
      <c r="R113" s="6"/>
      <c r="S113" s="2"/>
      <c r="T113" s="2"/>
      <c r="U113" s="2"/>
      <c r="V113" s="6"/>
      <c r="W113" s="2"/>
      <c r="X113" s="2"/>
      <c r="Y113" s="2"/>
      <c r="Z113" s="6"/>
    </row>
    <row r="114" spans="1:26" s="23" customFormat="1" x14ac:dyDescent="0.3">
      <c r="A114" s="52"/>
      <c r="B114" s="10" t="s">
        <v>128</v>
      </c>
      <c r="C114" s="10"/>
      <c r="D114" s="4">
        <v>72002.8</v>
      </c>
      <c r="E114" s="4"/>
      <c r="F114" s="12">
        <f>IF(D$12=0,0,D114/D$12)</f>
        <v>0.4619958986625739</v>
      </c>
      <c r="G114" s="4"/>
      <c r="H114" s="4">
        <v>86774</v>
      </c>
      <c r="I114" s="4"/>
      <c r="J114" s="12">
        <f>IF(H$12=0,0,H114/H$12)</f>
        <v>0.36215135617907657</v>
      </c>
      <c r="K114" s="4"/>
      <c r="L114" s="4">
        <f>+D114-H114</f>
        <v>-14771.199999999997</v>
      </c>
      <c r="M114" s="4"/>
      <c r="N114" s="12">
        <f>IF(H114=0,0,L114/H114)</f>
        <v>-0.17022610459354182</v>
      </c>
      <c r="O114" s="10"/>
      <c r="P114" s="4">
        <v>72002.8</v>
      </c>
      <c r="Q114" s="4"/>
      <c r="R114" s="12">
        <f>IF(P$12=0,0,P114/P$12)</f>
        <v>0.4619958986625739</v>
      </c>
      <c r="S114" s="4"/>
      <c r="T114" s="4">
        <v>86774</v>
      </c>
      <c r="U114" s="4"/>
      <c r="V114" s="12">
        <f>IF(T$12=0,0,T114/T$12)</f>
        <v>0.36215135617907657</v>
      </c>
      <c r="W114" s="4"/>
      <c r="X114" s="4">
        <f>+P114-T114</f>
        <v>-14771.199999999997</v>
      </c>
      <c r="Y114" s="4"/>
      <c r="Z114" s="12">
        <f>IF(T114=0,0,X114/T114)</f>
        <v>-0.17022610459354182</v>
      </c>
    </row>
    <row r="115" spans="1:26" x14ac:dyDescent="0.3">
      <c r="A115" s="9"/>
      <c r="B115" s="10"/>
      <c r="C115" s="10"/>
      <c r="D115" s="2"/>
      <c r="E115" s="2"/>
      <c r="F115" s="6"/>
      <c r="G115" s="2"/>
      <c r="H115" s="2"/>
      <c r="I115" s="2"/>
      <c r="J115" s="6"/>
      <c r="K115" s="2"/>
      <c r="L115" s="2"/>
      <c r="M115" s="2"/>
      <c r="N115" s="6"/>
      <c r="O115" s="10"/>
      <c r="P115" s="2"/>
      <c r="Q115" s="2"/>
      <c r="R115" s="6"/>
      <c r="S115" s="2"/>
      <c r="T115" s="2"/>
      <c r="U115" s="2"/>
      <c r="V115" s="6"/>
      <c r="W115" s="2"/>
      <c r="X115" s="2"/>
      <c r="Y115" s="2"/>
      <c r="Z115" s="6"/>
    </row>
    <row r="116" spans="1:26" s="23" customFormat="1" ht="15" thickBot="1" x14ac:dyDescent="0.35">
      <c r="A116" s="10"/>
      <c r="B116" s="26" t="s">
        <v>126</v>
      </c>
      <c r="C116" s="26"/>
      <c r="D116" s="35">
        <f>+D112-D114</f>
        <v>-59981.660000000033</v>
      </c>
      <c r="E116" s="13"/>
      <c r="F116" s="30">
        <f>IF(D$12=0,0,D116/D$12)</f>
        <v>-0.38486393466605429</v>
      </c>
      <c r="G116" s="13"/>
      <c r="H116" s="35">
        <f>+H112-H114</f>
        <v>-98044.993384615373</v>
      </c>
      <c r="I116" s="13"/>
      <c r="J116" s="30">
        <f>IF(H$12=0,0,H116/H$12)</f>
        <v>-0.409190855795596</v>
      </c>
      <c r="K116" s="16"/>
      <c r="L116" s="35">
        <f>D116-H116</f>
        <v>38063.33338461534</v>
      </c>
      <c r="M116" s="16"/>
      <c r="N116" s="30">
        <f>IF(H116=0,0,L116/H116)</f>
        <v>-0.38822312155500649</v>
      </c>
      <c r="O116" s="25"/>
      <c r="P116" s="35">
        <f>+P112-P114</f>
        <v>-59981.660000000033</v>
      </c>
      <c r="Q116" s="13"/>
      <c r="R116" s="30">
        <f>IF(P$12=0,0,P116/P$12)</f>
        <v>-0.38486393466605429</v>
      </c>
      <c r="S116" s="13"/>
      <c r="T116" s="35">
        <f>+T112-T114</f>
        <v>-98044.993384615373</v>
      </c>
      <c r="U116" s="13"/>
      <c r="V116" s="30">
        <f>IF(T$12=0,0,T116/T$12)</f>
        <v>-0.409190855795596</v>
      </c>
      <c r="W116" s="16"/>
      <c r="X116" s="35">
        <f>P116-T116</f>
        <v>38063.33338461534</v>
      </c>
      <c r="Y116" s="16"/>
      <c r="Z116" s="30">
        <f>IF(T116=0,0,X116/T116)</f>
        <v>-0.38822312155500649</v>
      </c>
    </row>
    <row r="117" spans="1:26" ht="15" thickTop="1" x14ac:dyDescent="0.3">
      <c r="A117" s="9"/>
      <c r="B117" s="9"/>
      <c r="C117" s="9"/>
      <c r="D117" s="2"/>
      <c r="E117" s="2"/>
      <c r="F117" s="6"/>
      <c r="G117" s="2"/>
      <c r="H117" s="2"/>
      <c r="I117" s="2"/>
      <c r="J117" s="6"/>
      <c r="K117" s="2"/>
      <c r="L117" s="2"/>
      <c r="M117" s="2"/>
      <c r="N117" s="6"/>
      <c r="P117" s="2"/>
      <c r="Q117" s="2"/>
      <c r="R117" s="6"/>
      <c r="S117" s="2"/>
      <c r="T117" s="2"/>
      <c r="U117" s="2"/>
      <c r="V117" s="6"/>
      <c r="W117" s="2"/>
      <c r="X117" s="2"/>
      <c r="Y117" s="2"/>
      <c r="Z117" s="6"/>
    </row>
    <row r="118" spans="1:26" x14ac:dyDescent="0.3">
      <c r="A118" s="9"/>
      <c r="B118" s="9"/>
      <c r="C118" s="9"/>
      <c r="D118" s="2"/>
      <c r="E118" s="2"/>
      <c r="F118" s="6"/>
      <c r="G118" s="2"/>
      <c r="H118" s="2"/>
      <c r="I118" s="2"/>
      <c r="J118" s="6"/>
      <c r="K118" s="2"/>
      <c r="L118" s="2"/>
      <c r="M118" s="2"/>
      <c r="N118" s="6"/>
      <c r="P118" s="2"/>
      <c r="Q118" s="2"/>
      <c r="R118" s="6"/>
      <c r="S118" s="2"/>
      <c r="T118" s="2"/>
      <c r="U118" s="2"/>
      <c r="V118" s="6"/>
      <c r="W118" s="2"/>
      <c r="X118" s="2"/>
      <c r="Y118" s="2"/>
      <c r="Z118" s="6"/>
    </row>
    <row r="119" spans="1:26" s="23" customFormat="1" ht="15" thickBot="1" x14ac:dyDescent="0.35">
      <c r="A119" s="10"/>
      <c r="B119" s="26" t="s">
        <v>294</v>
      </c>
      <c r="C119" s="26"/>
      <c r="D119" s="33">
        <f>SUM(D116:D118)</f>
        <v>-59981.660000000033</v>
      </c>
      <c r="E119" s="13"/>
      <c r="F119" s="31">
        <f>IF(D$12=0,0,D119/D$12)</f>
        <v>-0.38486393466605429</v>
      </c>
      <c r="G119" s="13"/>
      <c r="H119" s="33">
        <f>SUM(H116:H118)</f>
        <v>-98044.993384615373</v>
      </c>
      <c r="I119" s="13"/>
      <c r="J119" s="31">
        <f>IF(H$12=0,0,H119/H$12)</f>
        <v>-0.409190855795596</v>
      </c>
      <c r="K119" s="16"/>
      <c r="L119" s="33">
        <f>+D119-H119</f>
        <v>38063.33338461534</v>
      </c>
      <c r="M119" s="16"/>
      <c r="N119" s="31">
        <f>IF(H119=0,0,L119/H119)</f>
        <v>-0.38822312155500649</v>
      </c>
      <c r="O119" s="25"/>
      <c r="P119" s="33">
        <f>SUM(P116:P118)</f>
        <v>-59981.660000000033</v>
      </c>
      <c r="Q119" s="13"/>
      <c r="R119" s="31">
        <f>IF(P$12=0,0,P119/P$12)</f>
        <v>-0.38486393466605429</v>
      </c>
      <c r="S119" s="13"/>
      <c r="T119" s="33">
        <f>SUM(T116:T118)</f>
        <v>-98044.993384615373</v>
      </c>
      <c r="U119" s="13"/>
      <c r="V119" s="31">
        <f>IF(T$12=0,0,T119/T$12)</f>
        <v>-0.409190855795596</v>
      </c>
      <c r="W119" s="16"/>
      <c r="X119" s="33">
        <f>+P119-T119</f>
        <v>38063.33338461534</v>
      </c>
      <c r="Y119" s="16"/>
      <c r="Z119" s="31">
        <f>IF(T119=0,0,X119/T119)</f>
        <v>-0.38822312155500649</v>
      </c>
    </row>
    <row r="120" spans="1:26" ht="15" thickTop="1" x14ac:dyDescent="0.3">
      <c r="A120" s="9"/>
      <c r="C120" s="9"/>
      <c r="D120" s="18"/>
      <c r="E120" s="18"/>
      <c r="G120" s="18"/>
      <c r="H120" s="18"/>
      <c r="I120" s="18"/>
      <c r="J120" s="43"/>
      <c r="K120" s="18"/>
      <c r="L120" s="18"/>
      <c r="M120" s="18"/>
      <c r="P120" s="18"/>
      <c r="Q120" s="18"/>
      <c r="R120" s="43"/>
      <c r="S120" s="18"/>
      <c r="T120" s="18"/>
      <c r="U120" s="18"/>
      <c r="V120" s="43"/>
      <c r="W120" s="18"/>
      <c r="X120" s="18"/>
    </row>
    <row r="121" spans="1:26" x14ac:dyDescent="0.3">
      <c r="A121" s="9"/>
      <c r="B121" s="54">
        <v>44462.645469479168</v>
      </c>
      <c r="D121" s="18"/>
      <c r="E121" s="18"/>
      <c r="G121" s="18"/>
      <c r="H121" s="18"/>
      <c r="I121" s="18"/>
      <c r="J121" s="43"/>
      <c r="K121" s="18"/>
      <c r="L121" s="18"/>
      <c r="M121" s="18"/>
      <c r="P121" s="18"/>
      <c r="Q121" s="18"/>
      <c r="R121" s="43"/>
      <c r="S121" s="18"/>
      <c r="T121" s="18"/>
      <c r="U121" s="18"/>
      <c r="V121" s="43"/>
      <c r="W121" s="18"/>
      <c r="X121" s="18"/>
    </row>
    <row r="122" spans="1:26" x14ac:dyDescent="0.3">
      <c r="A122" s="9"/>
      <c r="B122" s="59" t="s">
        <v>56</v>
      </c>
      <c r="D122" s="18"/>
      <c r="E122" s="18"/>
      <c r="G122" s="18"/>
      <c r="H122" s="18"/>
      <c r="I122" s="18"/>
      <c r="J122" s="43"/>
      <c r="K122" s="18"/>
      <c r="L122" s="18"/>
      <c r="M122" s="18"/>
      <c r="P122" s="18"/>
      <c r="Q122" s="18"/>
      <c r="R122" s="43"/>
      <c r="S122" s="18"/>
      <c r="T122" s="18"/>
      <c r="U122" s="18"/>
      <c r="V122" s="43"/>
      <c r="W122" s="18"/>
      <c r="X122" s="18"/>
    </row>
    <row r="123" spans="1:26" x14ac:dyDescent="0.3">
      <c r="A123" s="9"/>
      <c r="B123" s="55"/>
      <c r="D123" s="18"/>
      <c r="E123" s="18"/>
      <c r="G123" s="18"/>
      <c r="H123" s="18"/>
      <c r="I123" s="18"/>
      <c r="J123" s="43"/>
      <c r="K123" s="18"/>
      <c r="L123" s="18"/>
      <c r="M123" s="18"/>
      <c r="P123" s="18"/>
      <c r="Q123" s="18"/>
      <c r="R123" s="43"/>
      <c r="S123" s="18"/>
      <c r="T123" s="18"/>
      <c r="U123" s="18"/>
      <c r="V123" s="43"/>
      <c r="W123" s="18"/>
      <c r="X123" s="18"/>
    </row>
    <row r="124" spans="1:26" x14ac:dyDescent="0.3">
      <c r="D124" s="18"/>
      <c r="E124" s="18"/>
      <c r="G124" s="18"/>
      <c r="H124" s="18"/>
      <c r="I124" s="18"/>
      <c r="J124" s="43"/>
      <c r="K124" s="18"/>
      <c r="L124" s="18"/>
      <c r="M124" s="18"/>
      <c r="P124" s="18"/>
      <c r="Q124" s="18"/>
      <c r="R124" s="43"/>
      <c r="S124" s="18"/>
      <c r="T124" s="18"/>
      <c r="U124" s="18"/>
      <c r="V124" s="43"/>
      <c r="W124" s="18"/>
      <c r="X124" s="18"/>
    </row>
  </sheetData>
  <pageMargins left="0.25" right="0.25" top="0.75" bottom="0.75" header="0.3" footer="0.3"/>
  <pageSetup scale="55" fitToWidth="2" orientation="landscape"/>
  <drawing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>
    <tabColor rgb="FF92D050"/>
    <outlinePr summaryBelow="0" summaryRight="0"/>
  </sheetPr>
  <dimension ref="A2:Z11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50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7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50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7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7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7" customWidth="1" outlineLevel="1"/>
  </cols>
  <sheetData>
    <row r="2" spans="1:26" x14ac:dyDescent="0.3">
      <c r="D2" s="57" t="s">
        <v>23</v>
      </c>
    </row>
    <row r="3" spans="1:26" x14ac:dyDescent="0.3">
      <c r="D3" s="57" t="s">
        <v>237</v>
      </c>
      <c r="E3" s="17"/>
      <c r="F3" s="51"/>
      <c r="G3" s="17"/>
      <c r="H3" s="17"/>
      <c r="I3" s="17"/>
      <c r="J3" s="39"/>
      <c r="K3" s="17"/>
      <c r="L3" s="17"/>
      <c r="M3" s="17"/>
      <c r="N3" s="51"/>
      <c r="O3" s="61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3">
      <c r="D4" s="57" t="str">
        <f>CONCATENATE("Period ",RIGHT(202201,2),", ",2022)</f>
        <v>Period 01, 2022</v>
      </c>
      <c r="E4" s="17"/>
      <c r="F4" s="51"/>
      <c r="G4" s="17"/>
      <c r="H4" s="17"/>
      <c r="I4" s="17"/>
      <c r="J4" s="39"/>
      <c r="K4" s="17"/>
      <c r="L4" s="17"/>
      <c r="M4" s="17"/>
      <c r="N4" s="51"/>
      <c r="O4" s="61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3">
      <c r="A5" s="23"/>
      <c r="D5" s="64">
        <v>44408</v>
      </c>
      <c r="E5" s="17"/>
      <c r="F5" s="51"/>
      <c r="G5" s="17"/>
      <c r="H5" s="17"/>
      <c r="I5" s="17"/>
      <c r="J5" s="39"/>
      <c r="K5" s="17"/>
      <c r="L5" s="17"/>
      <c r="M5" s="17"/>
      <c r="N5" s="51"/>
      <c r="O5" s="61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3">
      <c r="A6" s="23"/>
      <c r="B6" s="47"/>
      <c r="C6" s="47"/>
      <c r="D6" s="23" t="str">
        <f>CONCATENATE("Department ","315", " - ", "Bookstore Retail")</f>
        <v>Department 315 - Bookstore Retail</v>
      </c>
      <c r="E6" s="17"/>
      <c r="F6" s="51"/>
      <c r="G6" s="17"/>
      <c r="H6" s="17"/>
      <c r="I6" s="17"/>
      <c r="J6" s="39"/>
      <c r="K6" s="17"/>
      <c r="L6" s="17"/>
      <c r="M6" s="17"/>
      <c r="N6" s="51"/>
      <c r="O6" s="60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3">
      <c r="B7" s="63"/>
    </row>
    <row r="8" spans="1:26" x14ac:dyDescent="0.3">
      <c r="B8" s="63"/>
    </row>
    <row r="9" spans="1:26" x14ac:dyDescent="0.3">
      <c r="B9" s="9"/>
      <c r="C9" s="9"/>
      <c r="D9" s="15" t="s">
        <v>292</v>
      </c>
      <c r="E9" s="15"/>
      <c r="F9" s="38"/>
      <c r="G9" s="15"/>
      <c r="H9" s="15"/>
      <c r="I9" s="15"/>
      <c r="J9" s="49"/>
      <c r="K9" s="15"/>
      <c r="L9" s="15"/>
      <c r="M9" s="15"/>
      <c r="N9" s="38"/>
      <c r="P9" s="15" t="s">
        <v>39</v>
      </c>
      <c r="Q9" s="15"/>
      <c r="R9" s="38"/>
      <c r="S9" s="15"/>
      <c r="T9" s="15"/>
      <c r="U9" s="15"/>
      <c r="V9" s="49"/>
      <c r="W9" s="15"/>
      <c r="X9" s="15"/>
      <c r="Y9" s="15"/>
      <c r="Z9" s="38"/>
    </row>
    <row r="10" spans="1:26" x14ac:dyDescent="0.3">
      <c r="A10" s="10"/>
      <c r="B10" s="53"/>
      <c r="C10" s="10"/>
      <c r="D10" s="42" t="s">
        <v>57</v>
      </c>
      <c r="E10" s="34"/>
      <c r="F10" s="40" t="s">
        <v>40</v>
      </c>
      <c r="G10" s="34"/>
      <c r="H10" s="45" t="s">
        <v>238</v>
      </c>
      <c r="I10" s="34"/>
      <c r="J10" s="48" t="s">
        <v>58</v>
      </c>
      <c r="K10" s="10"/>
      <c r="L10" s="42" t="s">
        <v>127</v>
      </c>
      <c r="M10" s="10"/>
      <c r="N10" s="40" t="s">
        <v>258</v>
      </c>
      <c r="O10" s="10"/>
      <c r="P10" s="56" t="s">
        <v>57</v>
      </c>
      <c r="Q10" s="34"/>
      <c r="R10" s="40" t="s">
        <v>40</v>
      </c>
      <c r="S10" s="34"/>
      <c r="T10" s="45" t="s">
        <v>238</v>
      </c>
      <c r="U10" s="34"/>
      <c r="V10" s="48" t="s">
        <v>58</v>
      </c>
      <c r="W10" s="10"/>
      <c r="X10" s="42" t="s">
        <v>127</v>
      </c>
      <c r="Y10" s="10"/>
      <c r="Z10" s="40" t="s">
        <v>258</v>
      </c>
    </row>
    <row r="11" spans="1:26" ht="15.6" x14ac:dyDescent="0.3">
      <c r="A11" s="9"/>
      <c r="B11" s="58"/>
      <c r="C11" s="9"/>
      <c r="D11" s="9"/>
      <c r="E11" s="9"/>
      <c r="F11" s="6"/>
      <c r="G11" s="9"/>
      <c r="H11" s="9"/>
      <c r="I11" s="9"/>
      <c r="J11" s="46"/>
      <c r="K11" s="9"/>
      <c r="L11" s="9"/>
      <c r="M11" s="9"/>
      <c r="N11" s="6"/>
      <c r="P11" s="9"/>
      <c r="Q11" s="9"/>
      <c r="R11" s="6"/>
      <c r="S11" s="9"/>
      <c r="T11" s="9"/>
      <c r="U11" s="9"/>
      <c r="V11" s="46"/>
      <c r="W11" s="9"/>
      <c r="X11" s="9"/>
      <c r="Y11" s="9"/>
      <c r="Z11" s="6"/>
    </row>
    <row r="12" spans="1:26" s="23" customFormat="1" collapsed="1" x14ac:dyDescent="0.3">
      <c r="A12" s="10"/>
      <c r="B12" s="25" t="s">
        <v>140</v>
      </c>
      <c r="C12" s="10"/>
      <c r="D12" s="4">
        <f>SUM(OSRRefD13x_0)</f>
        <v>124040.73</v>
      </c>
      <c r="E12" s="4"/>
      <c r="F12" s="12"/>
      <c r="G12" s="4"/>
      <c r="H12" s="4">
        <f>SUM(OSRRefH13x_0)</f>
        <v>208490</v>
      </c>
      <c r="I12" s="4"/>
      <c r="J12" s="12"/>
      <c r="K12" s="4"/>
      <c r="L12" s="4">
        <f t="shared" ref="L12:L16" si="0">+D12-H12</f>
        <v>-84449.27</v>
      </c>
      <c r="M12" s="4"/>
      <c r="N12" s="12">
        <f t="shared" ref="N12:N16" si="1">IF(H12=0,0,L12/H12)</f>
        <v>-0.40505189697347599</v>
      </c>
      <c r="O12" s="10"/>
      <c r="P12" s="4">
        <f>SUM(OSRRefP13x_0)</f>
        <v>124040.73</v>
      </c>
      <c r="Q12" s="4"/>
      <c r="R12" s="12"/>
      <c r="S12" s="4"/>
      <c r="T12" s="4">
        <f>SUM(OSRRefT13x_0)</f>
        <v>208490</v>
      </c>
      <c r="U12" s="4"/>
      <c r="V12" s="12"/>
      <c r="W12" s="4"/>
      <c r="X12" s="4">
        <f t="shared" ref="X12:X16" si="2">+P12-T12</f>
        <v>-84449.27</v>
      </c>
      <c r="Y12" s="4"/>
      <c r="Z12" s="12">
        <f t="shared" ref="Z12:Z16" si="3">IF(T12=0,0,X12/T12)</f>
        <v>-0.40505189697347599</v>
      </c>
    </row>
    <row r="13" spans="1:26" s="24" customFormat="1" hidden="1" outlineLevel="1" x14ac:dyDescent="0.3">
      <c r="A13" s="44"/>
      <c r="B13" s="11" t="str">
        <f>CONCATENATE("          ", "4000", " - ", "TAXABLE SALES")</f>
        <v xml:space="preserve">          4000 - TAXABLE SALES</v>
      </c>
      <c r="C13" s="11"/>
      <c r="D13" s="3">
        <f>--118177.59</f>
        <v>118177.59</v>
      </c>
      <c r="E13" s="3"/>
      <c r="F13" s="19"/>
      <c r="G13" s="3"/>
      <c r="H13" s="3">
        <v>208490</v>
      </c>
      <c r="I13" s="3"/>
      <c r="J13" s="19"/>
      <c r="K13" s="3"/>
      <c r="L13" s="3">
        <f t="shared" si="0"/>
        <v>-90312.41</v>
      </c>
      <c r="M13" s="3"/>
      <c r="N13" s="19">
        <f t="shared" si="1"/>
        <v>-0.43317382128639265</v>
      </c>
      <c r="O13" s="11"/>
      <c r="P13" s="3">
        <f>--118177.59</f>
        <v>118177.59</v>
      </c>
      <c r="Q13" s="3"/>
      <c r="R13" s="19"/>
      <c r="S13" s="3"/>
      <c r="T13" s="3">
        <v>208490</v>
      </c>
      <c r="U13" s="3"/>
      <c r="V13" s="19"/>
      <c r="W13" s="3"/>
      <c r="X13" s="3">
        <f t="shared" si="2"/>
        <v>-90312.41</v>
      </c>
      <c r="Y13" s="3"/>
      <c r="Z13" s="19">
        <f t="shared" si="3"/>
        <v>-0.43317382128639265</v>
      </c>
    </row>
    <row r="14" spans="1:26" s="24" customFormat="1" hidden="1" outlineLevel="1" x14ac:dyDescent="0.3">
      <c r="A14" s="44"/>
      <c r="B14" s="11" t="str">
        <f>CONCATENATE("          ", "4100", " - ", "NON-TAXABLE SALES")</f>
        <v xml:space="preserve">          4100 - NON-TAXABLE SALES</v>
      </c>
      <c r="C14" s="11"/>
      <c r="D14" s="3">
        <f>--9614.79</f>
        <v>9614.7900000000009</v>
      </c>
      <c r="E14" s="3"/>
      <c r="F14" s="19"/>
      <c r="G14" s="3"/>
      <c r="H14" s="3"/>
      <c r="I14" s="3"/>
      <c r="J14" s="19"/>
      <c r="K14" s="3"/>
      <c r="L14" s="3">
        <f t="shared" si="0"/>
        <v>9614.7900000000009</v>
      </c>
      <c r="M14" s="3"/>
      <c r="N14" s="19">
        <f t="shared" si="1"/>
        <v>0</v>
      </c>
      <c r="O14" s="11"/>
      <c r="P14" s="3">
        <f>--9614.79</f>
        <v>9614.7900000000009</v>
      </c>
      <c r="Q14" s="3"/>
      <c r="R14" s="19"/>
      <c r="S14" s="3"/>
      <c r="T14" s="3"/>
      <c r="U14" s="3"/>
      <c r="V14" s="19"/>
      <c r="W14" s="3"/>
      <c r="X14" s="3">
        <f t="shared" si="2"/>
        <v>9614.7900000000009</v>
      </c>
      <c r="Y14" s="3"/>
      <c r="Z14" s="19">
        <f t="shared" si="3"/>
        <v>0</v>
      </c>
    </row>
    <row r="15" spans="1:26" s="24" customFormat="1" hidden="1" outlineLevel="1" x14ac:dyDescent="0.3">
      <c r="A15" s="44"/>
      <c r="B15" s="11" t="str">
        <f>CONCATENATE("          ", "4200", " - ", "TAXABLE RETURNS")</f>
        <v xml:space="preserve">          4200 - TAXABLE RETURNS</v>
      </c>
      <c r="C15" s="11"/>
      <c r="D15" s="3">
        <f>-3631.8</f>
        <v>-3631.8</v>
      </c>
      <c r="E15" s="3"/>
      <c r="F15" s="19"/>
      <c r="G15" s="3"/>
      <c r="H15" s="3"/>
      <c r="I15" s="3"/>
      <c r="J15" s="19"/>
      <c r="K15" s="3"/>
      <c r="L15" s="3">
        <f t="shared" si="0"/>
        <v>-3631.8</v>
      </c>
      <c r="M15" s="3"/>
      <c r="N15" s="19">
        <f t="shared" si="1"/>
        <v>0</v>
      </c>
      <c r="O15" s="11"/>
      <c r="P15" s="3">
        <f>-3631.8</f>
        <v>-3631.8</v>
      </c>
      <c r="Q15" s="3"/>
      <c r="R15" s="19"/>
      <c r="S15" s="3"/>
      <c r="T15" s="3"/>
      <c r="U15" s="3"/>
      <c r="V15" s="19"/>
      <c r="W15" s="3"/>
      <c r="X15" s="3">
        <f t="shared" si="2"/>
        <v>-3631.8</v>
      </c>
      <c r="Y15" s="3"/>
      <c r="Z15" s="19">
        <f t="shared" si="3"/>
        <v>0</v>
      </c>
    </row>
    <row r="16" spans="1:26" s="24" customFormat="1" hidden="1" outlineLevel="1" x14ac:dyDescent="0.3">
      <c r="A16" s="44"/>
      <c r="B16" s="11" t="str">
        <f>CONCATENATE("          ", "4300", " - ", "NON-TAX RETURNS")</f>
        <v xml:space="preserve">          4300 - NON-TAX RETURNS</v>
      </c>
      <c r="C16" s="11"/>
      <c r="D16" s="3">
        <f>-119.85</f>
        <v>-119.85</v>
      </c>
      <c r="E16" s="3"/>
      <c r="F16" s="19"/>
      <c r="G16" s="3"/>
      <c r="H16" s="3"/>
      <c r="I16" s="3"/>
      <c r="J16" s="19"/>
      <c r="K16" s="3"/>
      <c r="L16" s="3">
        <f t="shared" si="0"/>
        <v>-119.85</v>
      </c>
      <c r="M16" s="3"/>
      <c r="N16" s="19">
        <f t="shared" si="1"/>
        <v>0</v>
      </c>
      <c r="O16" s="11"/>
      <c r="P16" s="3">
        <f>-119.85</f>
        <v>-119.85</v>
      </c>
      <c r="Q16" s="3"/>
      <c r="R16" s="19"/>
      <c r="S16" s="3"/>
      <c r="T16" s="3"/>
      <c r="U16" s="3"/>
      <c r="V16" s="19"/>
      <c r="W16" s="3"/>
      <c r="X16" s="3">
        <f t="shared" si="2"/>
        <v>-119.85</v>
      </c>
      <c r="Y16" s="3"/>
      <c r="Z16" s="19">
        <f t="shared" si="3"/>
        <v>0</v>
      </c>
    </row>
    <row r="17" spans="1:26" x14ac:dyDescent="0.3">
      <c r="A17" s="9"/>
      <c r="B17" s="10"/>
      <c r="C17" s="9"/>
      <c r="D17" s="2"/>
      <c r="E17" s="2"/>
      <c r="F17" s="6"/>
      <c r="G17" s="2"/>
      <c r="H17" s="2"/>
      <c r="I17" s="2"/>
      <c r="J17" s="6"/>
      <c r="K17" s="2"/>
      <c r="L17" s="2"/>
      <c r="M17" s="2"/>
      <c r="N17" s="6"/>
      <c r="P17" s="2"/>
      <c r="Q17" s="2"/>
      <c r="R17" s="6"/>
      <c r="S17" s="2"/>
      <c r="T17" s="2"/>
      <c r="U17" s="2"/>
      <c r="V17" s="6"/>
      <c r="W17" s="2"/>
      <c r="X17" s="2"/>
      <c r="Y17" s="2"/>
      <c r="Z17" s="6"/>
    </row>
    <row r="18" spans="1:26" s="23" customFormat="1" collapsed="1" x14ac:dyDescent="0.3">
      <c r="A18" s="10"/>
      <c r="B18" s="25" t="s">
        <v>257</v>
      </c>
      <c r="C18" s="10"/>
      <c r="D18" s="4">
        <f>SUM(OSRRefD16x_0)</f>
        <v>66737.360000000015</v>
      </c>
      <c r="E18" s="4"/>
      <c r="F18" s="12">
        <f t="shared" ref="F18:F33" si="4">IF(D$12=0,0,D18/D$12)</f>
        <v>0.53802779135530743</v>
      </c>
      <c r="G18" s="4"/>
      <c r="H18" s="4">
        <f>SUM(OSRRefH16x_0)</f>
        <v>126558</v>
      </c>
      <c r="I18" s="4"/>
      <c r="J18" s="12">
        <f t="shared" ref="J18:J33" si="5">IF(H$12=0,0,H18/H$12)</f>
        <v>0.60702191951652362</v>
      </c>
      <c r="K18" s="4"/>
      <c r="L18" s="4">
        <f t="shared" ref="L18:L33" si="6">+D18-H18</f>
        <v>-59820.639999999985</v>
      </c>
      <c r="M18" s="4"/>
      <c r="N18" s="12">
        <f t="shared" ref="N18:N33" si="7">IF(H18=0,0,L18/H18)</f>
        <v>-0.47267371481850207</v>
      </c>
      <c r="O18" s="10"/>
      <c r="P18" s="4">
        <f>SUM(OSRRefP16x_0)</f>
        <v>66737.360000000015</v>
      </c>
      <c r="Q18" s="4"/>
      <c r="R18" s="12">
        <f t="shared" ref="R18:R33" si="8">IF(P$12=0,0,P18/P$12)</f>
        <v>0.53802779135530743</v>
      </c>
      <c r="S18" s="4"/>
      <c r="T18" s="4">
        <f>SUM(OSRRefT16x_0)</f>
        <v>126558</v>
      </c>
      <c r="U18" s="4"/>
      <c r="V18" s="12">
        <f t="shared" ref="V18:V33" si="9">IF(T$12=0,0,T18/T$12)</f>
        <v>0.60702191951652362</v>
      </c>
      <c r="W18" s="4"/>
      <c r="X18" s="4">
        <f t="shared" ref="X18:X33" si="10">+P18-T18</f>
        <v>-59820.639999999985</v>
      </c>
      <c r="Y18" s="4"/>
      <c r="Z18" s="12">
        <f t="shared" ref="Z18:Z33" si="11">IF(T18=0,0,X18/T18)</f>
        <v>-0.47267371481850207</v>
      </c>
    </row>
    <row r="19" spans="1:26" s="24" customFormat="1" hidden="1" outlineLevel="1" x14ac:dyDescent="0.3">
      <c r="A19" s="44"/>
      <c r="B19" s="11" t="str">
        <f>CONCATENATE("          ", "5000", " - ", "PURCHASES @ COST")</f>
        <v xml:space="preserve">          5000 - PURCHASES @ COST</v>
      </c>
      <c r="C19" s="11"/>
      <c r="D19" s="3">
        <v>80555.63</v>
      </c>
      <c r="E19" s="3"/>
      <c r="F19" s="19">
        <f t="shared" si="4"/>
        <v>0.64942886098783847</v>
      </c>
      <c r="G19" s="3"/>
      <c r="H19" s="3">
        <v>126558</v>
      </c>
      <c r="I19" s="3"/>
      <c r="J19" s="19">
        <f t="shared" si="5"/>
        <v>0.60702191951652362</v>
      </c>
      <c r="K19" s="3"/>
      <c r="L19" s="3">
        <f t="shared" si="6"/>
        <v>-46002.369999999995</v>
      </c>
      <c r="M19" s="3"/>
      <c r="N19" s="19">
        <f t="shared" si="7"/>
        <v>-0.36348844008280784</v>
      </c>
      <c r="O19" s="11"/>
      <c r="P19" s="3">
        <v>80555.63</v>
      </c>
      <c r="Q19" s="3"/>
      <c r="R19" s="19">
        <f t="shared" si="8"/>
        <v>0.64942886098783847</v>
      </c>
      <c r="S19" s="3"/>
      <c r="T19" s="3">
        <v>126558</v>
      </c>
      <c r="U19" s="3"/>
      <c r="V19" s="19">
        <f t="shared" si="9"/>
        <v>0.60702191951652362</v>
      </c>
      <c r="W19" s="3"/>
      <c r="X19" s="3">
        <f t="shared" si="10"/>
        <v>-46002.369999999995</v>
      </c>
      <c r="Y19" s="3"/>
      <c r="Z19" s="19">
        <f t="shared" si="11"/>
        <v>-0.36348844008280784</v>
      </c>
    </row>
    <row r="20" spans="1:26" s="24" customFormat="1" hidden="1" outlineLevel="1" x14ac:dyDescent="0.3">
      <c r="A20" s="44"/>
      <c r="B20" s="11" t="str">
        <f>CONCATENATE("          ", "5040", " - ", "PURCHASES @ COST-LOGO CLOTHING")</f>
        <v xml:space="preserve">          5040 - PURCHASES @ COST-LOGO CLOTHING</v>
      </c>
      <c r="C20" s="11"/>
      <c r="D20" s="3">
        <v>0</v>
      </c>
      <c r="E20" s="3"/>
      <c r="F20" s="19">
        <f t="shared" si="4"/>
        <v>0</v>
      </c>
      <c r="G20" s="3"/>
      <c r="H20" s="3"/>
      <c r="I20" s="3"/>
      <c r="J20" s="19">
        <f t="shared" si="5"/>
        <v>0</v>
      </c>
      <c r="K20" s="3"/>
      <c r="L20" s="3">
        <f t="shared" si="6"/>
        <v>0</v>
      </c>
      <c r="M20" s="3"/>
      <c r="N20" s="19">
        <f t="shared" si="7"/>
        <v>0</v>
      </c>
      <c r="O20" s="11"/>
      <c r="P20" s="3">
        <v>0</v>
      </c>
      <c r="Q20" s="3"/>
      <c r="R20" s="19">
        <f t="shared" si="8"/>
        <v>0</v>
      </c>
      <c r="S20" s="3"/>
      <c r="T20" s="3"/>
      <c r="U20" s="3"/>
      <c r="V20" s="19">
        <f t="shared" si="9"/>
        <v>0</v>
      </c>
      <c r="W20" s="3"/>
      <c r="X20" s="3">
        <f t="shared" si="10"/>
        <v>0</v>
      </c>
      <c r="Y20" s="3"/>
      <c r="Z20" s="19">
        <f t="shared" si="11"/>
        <v>0</v>
      </c>
    </row>
    <row r="21" spans="1:26" s="24" customFormat="1" hidden="1" outlineLevel="1" x14ac:dyDescent="0.3">
      <c r="A21" s="44"/>
      <c r="B21" s="11" t="str">
        <f>CONCATENATE("          ", "5041", " - ", "PURCHASES @ COST-LOGO GIFTS")</f>
        <v xml:space="preserve">          5041 - PURCHASES @ COST-LOGO GIFTS</v>
      </c>
      <c r="C21" s="11"/>
      <c r="D21" s="3">
        <v>0</v>
      </c>
      <c r="E21" s="3"/>
      <c r="F21" s="19">
        <f t="shared" si="4"/>
        <v>0</v>
      </c>
      <c r="G21" s="3"/>
      <c r="H21" s="3"/>
      <c r="I21" s="3"/>
      <c r="J21" s="19">
        <f t="shared" si="5"/>
        <v>0</v>
      </c>
      <c r="K21" s="3"/>
      <c r="L21" s="3">
        <f t="shared" si="6"/>
        <v>0</v>
      </c>
      <c r="M21" s="3"/>
      <c r="N21" s="19">
        <f t="shared" si="7"/>
        <v>0</v>
      </c>
      <c r="O21" s="11"/>
      <c r="P21" s="3">
        <v>0</v>
      </c>
      <c r="Q21" s="3"/>
      <c r="R21" s="19">
        <f t="shared" si="8"/>
        <v>0</v>
      </c>
      <c r="S21" s="3"/>
      <c r="T21" s="3"/>
      <c r="U21" s="3"/>
      <c r="V21" s="19">
        <f t="shared" si="9"/>
        <v>0</v>
      </c>
      <c r="W21" s="3"/>
      <c r="X21" s="3">
        <f t="shared" si="10"/>
        <v>0</v>
      </c>
      <c r="Y21" s="3"/>
      <c r="Z21" s="19">
        <f t="shared" si="11"/>
        <v>0</v>
      </c>
    </row>
    <row r="22" spans="1:26" s="24" customFormat="1" hidden="1" outlineLevel="1" x14ac:dyDescent="0.3">
      <c r="A22" s="44"/>
      <c r="B22" s="11" t="str">
        <f>CONCATENATE("          ", "5042", " - ", "PURCHASES @ COST-EVERYDAY GIFT")</f>
        <v xml:space="preserve">          5042 - PURCHASES @ COST-EVERYDAY GIFT</v>
      </c>
      <c r="C22" s="11"/>
      <c r="D22" s="3">
        <v>0</v>
      </c>
      <c r="E22" s="3"/>
      <c r="F22" s="19">
        <f t="shared" si="4"/>
        <v>0</v>
      </c>
      <c r="G22" s="3"/>
      <c r="H22" s="3"/>
      <c r="I22" s="3"/>
      <c r="J22" s="19">
        <f t="shared" si="5"/>
        <v>0</v>
      </c>
      <c r="K22" s="3"/>
      <c r="L22" s="3">
        <f t="shared" si="6"/>
        <v>0</v>
      </c>
      <c r="M22" s="3"/>
      <c r="N22" s="19">
        <f t="shared" si="7"/>
        <v>0</v>
      </c>
      <c r="O22" s="11"/>
      <c r="P22" s="3">
        <v>0</v>
      </c>
      <c r="Q22" s="3"/>
      <c r="R22" s="19">
        <f t="shared" si="8"/>
        <v>0</v>
      </c>
      <c r="S22" s="3"/>
      <c r="T22" s="3"/>
      <c r="U22" s="3"/>
      <c r="V22" s="19">
        <f t="shared" si="9"/>
        <v>0</v>
      </c>
      <c r="W22" s="3"/>
      <c r="X22" s="3">
        <f t="shared" si="10"/>
        <v>0</v>
      </c>
      <c r="Y22" s="3"/>
      <c r="Z22" s="19">
        <f t="shared" si="11"/>
        <v>0</v>
      </c>
    </row>
    <row r="23" spans="1:26" s="24" customFormat="1" hidden="1" outlineLevel="1" x14ac:dyDescent="0.3">
      <c r="A23" s="44"/>
      <c r="B23" s="11" t="str">
        <f>CONCATENATE("          ", "5043", " - ", "PURCHASES @ COST-CARDS")</f>
        <v xml:space="preserve">          5043 - PURCHASES @ COST-CARDS</v>
      </c>
      <c r="C23" s="11"/>
      <c r="D23" s="3">
        <v>0</v>
      </c>
      <c r="E23" s="3"/>
      <c r="F23" s="19">
        <f t="shared" si="4"/>
        <v>0</v>
      </c>
      <c r="G23" s="3"/>
      <c r="H23" s="3"/>
      <c r="I23" s="3"/>
      <c r="J23" s="19">
        <f t="shared" si="5"/>
        <v>0</v>
      </c>
      <c r="K23" s="3"/>
      <c r="L23" s="3">
        <f t="shared" si="6"/>
        <v>0</v>
      </c>
      <c r="M23" s="3"/>
      <c r="N23" s="19">
        <f t="shared" si="7"/>
        <v>0</v>
      </c>
      <c r="O23" s="11"/>
      <c r="P23" s="3">
        <v>0</v>
      </c>
      <c r="Q23" s="3"/>
      <c r="R23" s="19">
        <f t="shared" si="8"/>
        <v>0</v>
      </c>
      <c r="S23" s="3"/>
      <c r="T23" s="3"/>
      <c r="U23" s="3"/>
      <c r="V23" s="19">
        <f t="shared" si="9"/>
        <v>0</v>
      </c>
      <c r="W23" s="3"/>
      <c r="X23" s="3">
        <f t="shared" si="10"/>
        <v>0</v>
      </c>
      <c r="Y23" s="3"/>
      <c r="Z23" s="19">
        <f t="shared" si="11"/>
        <v>0</v>
      </c>
    </row>
    <row r="24" spans="1:26" s="24" customFormat="1" hidden="1" outlineLevel="1" x14ac:dyDescent="0.3">
      <c r="A24" s="44"/>
      <c r="B24" s="11" t="str">
        <f>CONCATENATE("          ", "5044", " - ", "PURCHASES @ COST-ACCESSORIES")</f>
        <v xml:space="preserve">          5044 - PURCHASES @ COST-ACCESSORIES</v>
      </c>
      <c r="C24" s="11"/>
      <c r="D24" s="3">
        <v>0</v>
      </c>
      <c r="E24" s="3"/>
      <c r="F24" s="19">
        <f t="shared" si="4"/>
        <v>0</v>
      </c>
      <c r="G24" s="3"/>
      <c r="H24" s="3"/>
      <c r="I24" s="3"/>
      <c r="J24" s="19">
        <f t="shared" si="5"/>
        <v>0</v>
      </c>
      <c r="K24" s="3"/>
      <c r="L24" s="3">
        <f t="shared" si="6"/>
        <v>0</v>
      </c>
      <c r="M24" s="3"/>
      <c r="N24" s="19">
        <f t="shared" si="7"/>
        <v>0</v>
      </c>
      <c r="O24" s="11"/>
      <c r="P24" s="3">
        <v>0</v>
      </c>
      <c r="Q24" s="3"/>
      <c r="R24" s="19">
        <f t="shared" si="8"/>
        <v>0</v>
      </c>
      <c r="S24" s="3"/>
      <c r="T24" s="3"/>
      <c r="U24" s="3"/>
      <c r="V24" s="19">
        <f t="shared" si="9"/>
        <v>0</v>
      </c>
      <c r="W24" s="3"/>
      <c r="X24" s="3">
        <f t="shared" si="10"/>
        <v>0</v>
      </c>
      <c r="Y24" s="3"/>
      <c r="Z24" s="19">
        <f t="shared" si="11"/>
        <v>0</v>
      </c>
    </row>
    <row r="25" spans="1:26" s="24" customFormat="1" hidden="1" outlineLevel="1" x14ac:dyDescent="0.3">
      <c r="A25" s="44"/>
      <c r="B25" s="11" t="str">
        <f>CONCATENATE("          ", "5045", " - ", "PURCHASES @ COST-SPECIAL ORDER")</f>
        <v xml:space="preserve">          5045 - PURCHASES @ COST-SPECIAL ORDER</v>
      </c>
      <c r="C25" s="11"/>
      <c r="D25" s="3">
        <v>0</v>
      </c>
      <c r="E25" s="3"/>
      <c r="F25" s="19">
        <f t="shared" si="4"/>
        <v>0</v>
      </c>
      <c r="G25" s="3"/>
      <c r="H25" s="3"/>
      <c r="I25" s="3"/>
      <c r="J25" s="19">
        <f t="shared" si="5"/>
        <v>0</v>
      </c>
      <c r="K25" s="3"/>
      <c r="L25" s="3">
        <f t="shared" si="6"/>
        <v>0</v>
      </c>
      <c r="M25" s="3"/>
      <c r="N25" s="19">
        <f t="shared" si="7"/>
        <v>0</v>
      </c>
      <c r="O25" s="11"/>
      <c r="P25" s="3">
        <v>0</v>
      </c>
      <c r="Q25" s="3"/>
      <c r="R25" s="19">
        <f t="shared" si="8"/>
        <v>0</v>
      </c>
      <c r="S25" s="3"/>
      <c r="T25" s="3"/>
      <c r="U25" s="3"/>
      <c r="V25" s="19">
        <f t="shared" si="9"/>
        <v>0</v>
      </c>
      <c r="W25" s="3"/>
      <c r="X25" s="3">
        <f t="shared" si="10"/>
        <v>0</v>
      </c>
      <c r="Y25" s="3"/>
      <c r="Z25" s="19">
        <f t="shared" si="11"/>
        <v>0</v>
      </c>
    </row>
    <row r="26" spans="1:26" s="24" customFormat="1" hidden="1" outlineLevel="1" x14ac:dyDescent="0.3">
      <c r="A26" s="44"/>
      <c r="B26" s="11" t="str">
        <f>CONCATENATE("          ", "5200", " - ", "PURCHASES OFFSET")</f>
        <v xml:space="preserve">          5200 - PURCHASES OFFSET</v>
      </c>
      <c r="C26" s="11"/>
      <c r="D26" s="3">
        <v>-81956.95</v>
      </c>
      <c r="E26" s="3"/>
      <c r="F26" s="19">
        <f t="shared" si="4"/>
        <v>-0.66072611794529101</v>
      </c>
      <c r="G26" s="3"/>
      <c r="H26" s="3"/>
      <c r="I26" s="3"/>
      <c r="J26" s="19">
        <f t="shared" si="5"/>
        <v>0</v>
      </c>
      <c r="K26" s="3"/>
      <c r="L26" s="3">
        <f t="shared" si="6"/>
        <v>-81956.95</v>
      </c>
      <c r="M26" s="3"/>
      <c r="N26" s="19">
        <f t="shared" si="7"/>
        <v>0</v>
      </c>
      <c r="O26" s="11"/>
      <c r="P26" s="3">
        <v>-81956.95</v>
      </c>
      <c r="Q26" s="3"/>
      <c r="R26" s="19">
        <f t="shared" si="8"/>
        <v>-0.66072611794529101</v>
      </c>
      <c r="S26" s="3"/>
      <c r="T26" s="3"/>
      <c r="U26" s="3"/>
      <c r="V26" s="19">
        <f t="shared" si="9"/>
        <v>0</v>
      </c>
      <c r="W26" s="3"/>
      <c r="X26" s="3">
        <f t="shared" si="10"/>
        <v>-81956.95</v>
      </c>
      <c r="Y26" s="3"/>
      <c r="Z26" s="19">
        <f t="shared" si="11"/>
        <v>0</v>
      </c>
    </row>
    <row r="27" spans="1:26" s="24" customFormat="1" hidden="1" outlineLevel="1" x14ac:dyDescent="0.3">
      <c r="A27" s="44"/>
      <c r="B27" s="11" t="str">
        <f>CONCATENATE("          ", "5300", " - ", "COG$ OFFSET")</f>
        <v xml:space="preserve">          5300 - COG$ OFFSET</v>
      </c>
      <c r="C27" s="11"/>
      <c r="D27" s="3">
        <v>66737.36</v>
      </c>
      <c r="E27" s="3"/>
      <c r="F27" s="19">
        <f t="shared" si="4"/>
        <v>0.53802779135530732</v>
      </c>
      <c r="G27" s="3"/>
      <c r="H27" s="3"/>
      <c r="I27" s="3"/>
      <c r="J27" s="19">
        <f t="shared" si="5"/>
        <v>0</v>
      </c>
      <c r="K27" s="3"/>
      <c r="L27" s="3">
        <f t="shared" si="6"/>
        <v>66737.36</v>
      </c>
      <c r="M27" s="3"/>
      <c r="N27" s="19">
        <f t="shared" si="7"/>
        <v>0</v>
      </c>
      <c r="O27" s="11"/>
      <c r="P27" s="3">
        <v>66737.36</v>
      </c>
      <c r="Q27" s="3"/>
      <c r="R27" s="19">
        <f t="shared" si="8"/>
        <v>0.53802779135530732</v>
      </c>
      <c r="S27" s="3"/>
      <c r="T27" s="3"/>
      <c r="U27" s="3"/>
      <c r="V27" s="19">
        <f t="shared" si="9"/>
        <v>0</v>
      </c>
      <c r="W27" s="3"/>
      <c r="X27" s="3">
        <f t="shared" si="10"/>
        <v>66737.36</v>
      </c>
      <c r="Y27" s="3"/>
      <c r="Z27" s="19">
        <f t="shared" si="11"/>
        <v>0</v>
      </c>
    </row>
    <row r="28" spans="1:26" s="24" customFormat="1" hidden="1" outlineLevel="1" x14ac:dyDescent="0.3">
      <c r="A28" s="44"/>
      <c r="B28" s="11" t="str">
        <f>CONCATENATE("          ", "5500", " - ", "FREIGHT-IN")</f>
        <v xml:space="preserve">          5500 - FREIGHT-IN</v>
      </c>
      <c r="C28" s="11"/>
      <c r="D28" s="3">
        <v>1401.32</v>
      </c>
      <c r="E28" s="3"/>
      <c r="F28" s="19">
        <f t="shared" si="4"/>
        <v>1.1297256957452604E-2</v>
      </c>
      <c r="G28" s="3"/>
      <c r="H28" s="3"/>
      <c r="I28" s="3"/>
      <c r="J28" s="19">
        <f t="shared" si="5"/>
        <v>0</v>
      </c>
      <c r="K28" s="3"/>
      <c r="L28" s="3">
        <f t="shared" si="6"/>
        <v>1401.32</v>
      </c>
      <c r="M28" s="3"/>
      <c r="N28" s="19">
        <f t="shared" si="7"/>
        <v>0</v>
      </c>
      <c r="O28" s="11"/>
      <c r="P28" s="3">
        <v>1401.32</v>
      </c>
      <c r="Q28" s="3"/>
      <c r="R28" s="19">
        <f t="shared" si="8"/>
        <v>1.1297256957452604E-2</v>
      </c>
      <c r="S28" s="3"/>
      <c r="T28" s="3"/>
      <c r="U28" s="3"/>
      <c r="V28" s="19">
        <f t="shared" si="9"/>
        <v>0</v>
      </c>
      <c r="W28" s="3"/>
      <c r="X28" s="3">
        <f t="shared" si="10"/>
        <v>1401.32</v>
      </c>
      <c r="Y28" s="3"/>
      <c r="Z28" s="19">
        <f t="shared" si="11"/>
        <v>0</v>
      </c>
    </row>
    <row r="29" spans="1:26" s="24" customFormat="1" hidden="1" outlineLevel="1" x14ac:dyDescent="0.3">
      <c r="A29" s="44"/>
      <c r="B29" s="11" t="str">
        <f>CONCATENATE("          ", "5540", " - ", "FREIGHT-IN-LOGO CLOTHING")</f>
        <v xml:space="preserve">          5540 - FREIGHT-IN-LOGO CLOTHING</v>
      </c>
      <c r="C29" s="11"/>
      <c r="D29" s="3">
        <v>0</v>
      </c>
      <c r="E29" s="3"/>
      <c r="F29" s="19">
        <f t="shared" si="4"/>
        <v>0</v>
      </c>
      <c r="G29" s="3"/>
      <c r="H29" s="3"/>
      <c r="I29" s="3"/>
      <c r="J29" s="19">
        <f t="shared" si="5"/>
        <v>0</v>
      </c>
      <c r="K29" s="3"/>
      <c r="L29" s="3">
        <f t="shared" si="6"/>
        <v>0</v>
      </c>
      <c r="M29" s="3"/>
      <c r="N29" s="19">
        <f t="shared" si="7"/>
        <v>0</v>
      </c>
      <c r="O29" s="11"/>
      <c r="P29" s="3">
        <v>0</v>
      </c>
      <c r="Q29" s="3"/>
      <c r="R29" s="19">
        <f t="shared" si="8"/>
        <v>0</v>
      </c>
      <c r="S29" s="3"/>
      <c r="T29" s="3"/>
      <c r="U29" s="3"/>
      <c r="V29" s="19">
        <f t="shared" si="9"/>
        <v>0</v>
      </c>
      <c r="W29" s="3"/>
      <c r="X29" s="3">
        <f t="shared" si="10"/>
        <v>0</v>
      </c>
      <c r="Y29" s="3"/>
      <c r="Z29" s="19">
        <f t="shared" si="11"/>
        <v>0</v>
      </c>
    </row>
    <row r="30" spans="1:26" s="24" customFormat="1" hidden="1" outlineLevel="1" x14ac:dyDescent="0.3">
      <c r="A30" s="44"/>
      <c r="B30" s="11" t="str">
        <f>CONCATENATE("          ", "5541", " - ", "FREIGHT-IN-LOGO GIFTS")</f>
        <v xml:space="preserve">          5541 - FREIGHT-IN-LOGO GIFTS</v>
      </c>
      <c r="C30" s="11"/>
      <c r="D30" s="3">
        <v>0</v>
      </c>
      <c r="E30" s="3"/>
      <c r="F30" s="19">
        <f t="shared" si="4"/>
        <v>0</v>
      </c>
      <c r="G30" s="3"/>
      <c r="H30" s="3"/>
      <c r="I30" s="3"/>
      <c r="J30" s="19">
        <f t="shared" si="5"/>
        <v>0</v>
      </c>
      <c r="K30" s="3"/>
      <c r="L30" s="3">
        <f t="shared" si="6"/>
        <v>0</v>
      </c>
      <c r="M30" s="3"/>
      <c r="N30" s="19">
        <f t="shared" si="7"/>
        <v>0</v>
      </c>
      <c r="O30" s="11"/>
      <c r="P30" s="3">
        <v>0</v>
      </c>
      <c r="Q30" s="3"/>
      <c r="R30" s="19">
        <f t="shared" si="8"/>
        <v>0</v>
      </c>
      <c r="S30" s="3"/>
      <c r="T30" s="3"/>
      <c r="U30" s="3"/>
      <c r="V30" s="19">
        <f t="shared" si="9"/>
        <v>0</v>
      </c>
      <c r="W30" s="3"/>
      <c r="X30" s="3">
        <f t="shared" si="10"/>
        <v>0</v>
      </c>
      <c r="Y30" s="3"/>
      <c r="Z30" s="19">
        <f t="shared" si="11"/>
        <v>0</v>
      </c>
    </row>
    <row r="31" spans="1:26" s="24" customFormat="1" hidden="1" outlineLevel="1" x14ac:dyDescent="0.3">
      <c r="A31" s="44"/>
      <c r="B31" s="11" t="str">
        <f>CONCATENATE("          ", "5542", " - ", "FREIGHT-IN-EVERYDAY GIFTS")</f>
        <v xml:space="preserve">          5542 - FREIGHT-IN-EVERYDAY GIFTS</v>
      </c>
      <c r="C31" s="11"/>
      <c r="D31" s="3">
        <v>0</v>
      </c>
      <c r="E31" s="3"/>
      <c r="F31" s="19">
        <f t="shared" si="4"/>
        <v>0</v>
      </c>
      <c r="G31" s="3"/>
      <c r="H31" s="3"/>
      <c r="I31" s="3"/>
      <c r="J31" s="19">
        <f t="shared" si="5"/>
        <v>0</v>
      </c>
      <c r="K31" s="3"/>
      <c r="L31" s="3">
        <f t="shared" si="6"/>
        <v>0</v>
      </c>
      <c r="M31" s="3"/>
      <c r="N31" s="19">
        <f t="shared" si="7"/>
        <v>0</v>
      </c>
      <c r="O31" s="11"/>
      <c r="P31" s="3">
        <v>0</v>
      </c>
      <c r="Q31" s="3"/>
      <c r="R31" s="19">
        <f t="shared" si="8"/>
        <v>0</v>
      </c>
      <c r="S31" s="3"/>
      <c r="T31" s="3"/>
      <c r="U31" s="3"/>
      <c r="V31" s="19">
        <f t="shared" si="9"/>
        <v>0</v>
      </c>
      <c r="W31" s="3"/>
      <c r="X31" s="3">
        <f t="shared" si="10"/>
        <v>0</v>
      </c>
      <c r="Y31" s="3"/>
      <c r="Z31" s="19">
        <f t="shared" si="11"/>
        <v>0</v>
      </c>
    </row>
    <row r="32" spans="1:26" s="24" customFormat="1" hidden="1" outlineLevel="1" x14ac:dyDescent="0.3">
      <c r="A32" s="44"/>
      <c r="B32" s="11" t="str">
        <f>CONCATENATE("          ", "5544", " - ", "FREIGHT-IN-ACCESSORIES")</f>
        <v xml:space="preserve">          5544 - FREIGHT-IN-ACCESSORIES</v>
      </c>
      <c r="C32" s="11"/>
      <c r="D32" s="3">
        <v>0</v>
      </c>
      <c r="E32" s="3"/>
      <c r="F32" s="19">
        <f t="shared" si="4"/>
        <v>0</v>
      </c>
      <c r="G32" s="3"/>
      <c r="H32" s="3"/>
      <c r="I32" s="3"/>
      <c r="J32" s="19">
        <f t="shared" si="5"/>
        <v>0</v>
      </c>
      <c r="K32" s="3"/>
      <c r="L32" s="3">
        <f t="shared" si="6"/>
        <v>0</v>
      </c>
      <c r="M32" s="3"/>
      <c r="N32" s="19">
        <f t="shared" si="7"/>
        <v>0</v>
      </c>
      <c r="O32" s="11"/>
      <c r="P32" s="3">
        <v>0</v>
      </c>
      <c r="Q32" s="3"/>
      <c r="R32" s="19">
        <f t="shared" si="8"/>
        <v>0</v>
      </c>
      <c r="S32" s="3"/>
      <c r="T32" s="3"/>
      <c r="U32" s="3"/>
      <c r="V32" s="19">
        <f t="shared" si="9"/>
        <v>0</v>
      </c>
      <c r="W32" s="3"/>
      <c r="X32" s="3">
        <f t="shared" si="10"/>
        <v>0</v>
      </c>
      <c r="Y32" s="3"/>
      <c r="Z32" s="19">
        <f t="shared" si="11"/>
        <v>0</v>
      </c>
    </row>
    <row r="33" spans="1:26" s="24" customFormat="1" hidden="1" outlineLevel="1" x14ac:dyDescent="0.3">
      <c r="A33" s="44"/>
      <c r="B33" s="11" t="str">
        <f>CONCATENATE("          ", "5545", " - ", "FREIGHT-IN-SPECIAL ORDERS")</f>
        <v xml:space="preserve">          5545 - FREIGHT-IN-SPECIAL ORDERS</v>
      </c>
      <c r="C33" s="11"/>
      <c r="D33" s="3">
        <v>0</v>
      </c>
      <c r="E33" s="3"/>
      <c r="F33" s="19">
        <f t="shared" si="4"/>
        <v>0</v>
      </c>
      <c r="G33" s="3"/>
      <c r="H33" s="3"/>
      <c r="I33" s="3"/>
      <c r="J33" s="19">
        <f t="shared" si="5"/>
        <v>0</v>
      </c>
      <c r="K33" s="3"/>
      <c r="L33" s="3">
        <f t="shared" si="6"/>
        <v>0</v>
      </c>
      <c r="M33" s="3"/>
      <c r="N33" s="19">
        <f t="shared" si="7"/>
        <v>0</v>
      </c>
      <c r="O33" s="11"/>
      <c r="P33" s="3">
        <v>0</v>
      </c>
      <c r="Q33" s="3"/>
      <c r="R33" s="19">
        <f t="shared" si="8"/>
        <v>0</v>
      </c>
      <c r="S33" s="3"/>
      <c r="T33" s="3"/>
      <c r="U33" s="3"/>
      <c r="V33" s="19">
        <f t="shared" si="9"/>
        <v>0</v>
      </c>
      <c r="W33" s="3"/>
      <c r="X33" s="3">
        <f t="shared" si="10"/>
        <v>0</v>
      </c>
      <c r="Y33" s="3"/>
      <c r="Z33" s="19">
        <f t="shared" si="11"/>
        <v>0</v>
      </c>
    </row>
    <row r="34" spans="1:26" x14ac:dyDescent="0.3">
      <c r="A34" s="9"/>
      <c r="B34" s="10"/>
      <c r="C34" s="10"/>
      <c r="D34" s="2"/>
      <c r="E34" s="2"/>
      <c r="F34" s="6"/>
      <c r="G34" s="2"/>
      <c r="H34" s="2"/>
      <c r="I34" s="2"/>
      <c r="J34" s="6"/>
      <c r="K34" s="2"/>
      <c r="L34" s="2"/>
      <c r="M34" s="2"/>
      <c r="N34" s="6"/>
      <c r="O34" s="10"/>
      <c r="P34" s="2"/>
      <c r="Q34" s="2"/>
      <c r="R34" s="6"/>
      <c r="S34" s="2"/>
      <c r="T34" s="2"/>
      <c r="U34" s="2"/>
      <c r="V34" s="6"/>
      <c r="W34" s="2"/>
      <c r="X34" s="2"/>
      <c r="Y34" s="2"/>
      <c r="Z34" s="6"/>
    </row>
    <row r="35" spans="1:26" s="23" customFormat="1" x14ac:dyDescent="0.3">
      <c r="A35" s="10"/>
      <c r="B35" s="26" t="s">
        <v>108</v>
      </c>
      <c r="C35" s="26"/>
      <c r="D35" s="21">
        <f>D12-D18</f>
        <v>57303.369999999981</v>
      </c>
      <c r="E35" s="13"/>
      <c r="F35" s="22">
        <f>IF(D$12=0,0,D35/D$12)</f>
        <v>0.46197220864469263</v>
      </c>
      <c r="G35" s="13"/>
      <c r="H35" s="21">
        <f>H12-H18</f>
        <v>81932</v>
      </c>
      <c r="I35" s="13"/>
      <c r="J35" s="22">
        <f>IF(H$12=0,0,H35/H$12)</f>
        <v>0.39297808048347643</v>
      </c>
      <c r="K35" s="16"/>
      <c r="L35" s="21">
        <f>+D35-H35</f>
        <v>-24628.630000000019</v>
      </c>
      <c r="M35" s="16"/>
      <c r="N35" s="22">
        <f>IF(H35=0,0,L35/H35)</f>
        <v>-0.30059842308255652</v>
      </c>
      <c r="O35" s="25"/>
      <c r="P35" s="21">
        <f>P12-P18</f>
        <v>57303.369999999981</v>
      </c>
      <c r="Q35" s="13"/>
      <c r="R35" s="22">
        <f>IF(P$12=0,0,P35/P$12)</f>
        <v>0.46197220864469263</v>
      </c>
      <c r="S35" s="13"/>
      <c r="T35" s="21">
        <f>T12-T18</f>
        <v>81932</v>
      </c>
      <c r="U35" s="13"/>
      <c r="V35" s="22">
        <f>IF(T$12=0,0,T35/T$12)</f>
        <v>0.39297808048347643</v>
      </c>
      <c r="W35" s="16"/>
      <c r="X35" s="21">
        <f>+P35-T35</f>
        <v>-24628.630000000019</v>
      </c>
      <c r="Y35" s="16"/>
      <c r="Z35" s="22">
        <f>IF(T35=0,0,X35/T35)</f>
        <v>-0.30059842308255652</v>
      </c>
    </row>
    <row r="36" spans="1:26" x14ac:dyDescent="0.3">
      <c r="A36" s="9"/>
      <c r="B36" s="10"/>
      <c r="C36" s="9"/>
      <c r="D36" s="1"/>
      <c r="E36" s="1"/>
      <c r="F36" s="5"/>
      <c r="G36" s="1"/>
      <c r="H36" s="1"/>
      <c r="I36" s="1"/>
      <c r="J36" s="5"/>
      <c r="K36" s="1"/>
      <c r="L36" s="1"/>
      <c r="M36" s="1"/>
      <c r="N36" s="5"/>
      <c r="O36" s="36"/>
      <c r="P36" s="1"/>
      <c r="Q36" s="1"/>
      <c r="R36" s="5"/>
      <c r="S36" s="1"/>
      <c r="T36" s="1"/>
      <c r="U36" s="1"/>
      <c r="V36" s="5"/>
      <c r="W36" s="1"/>
      <c r="X36" s="1"/>
      <c r="Y36" s="1"/>
      <c r="Z36" s="5"/>
    </row>
    <row r="37" spans="1:26" s="23" customFormat="1" x14ac:dyDescent="0.3">
      <c r="A37" s="10"/>
      <c r="B37" s="25" t="s">
        <v>295</v>
      </c>
      <c r="C37" s="10"/>
      <c r="D37" s="20">
        <f>SUM(OSRRefD22x_0)</f>
        <v>79291.010000000009</v>
      </c>
      <c r="E37" s="20"/>
      <c r="F37" s="32">
        <f t="shared" ref="F37:F47" si="12">IF(D$12=0,0,D37/D$12)</f>
        <v>0.63923366139493065</v>
      </c>
      <c r="G37" s="20"/>
      <c r="H37" s="20">
        <f>SUM(OSRRefH22x_0)</f>
        <v>97336.677127403847</v>
      </c>
      <c r="I37" s="20"/>
      <c r="J37" s="32">
        <f t="shared" ref="J37:J47" si="13">IF(H$12=0,0,H37/H$12)</f>
        <v>0.46686496775578612</v>
      </c>
      <c r="K37" s="4"/>
      <c r="L37" s="20">
        <f t="shared" ref="L37:L47" si="14">+D37-H37</f>
        <v>-18045.667127403838</v>
      </c>
      <c r="M37" s="4"/>
      <c r="N37" s="32">
        <f t="shared" ref="N37:N47" si="15">IF(H37=0,0,L37/H37)</f>
        <v>-0.18539432061959429</v>
      </c>
      <c r="O37" s="10"/>
      <c r="P37" s="20">
        <f>SUM(OSRRefP22x_0)</f>
        <v>79291.010000000009</v>
      </c>
      <c r="Q37" s="20"/>
      <c r="R37" s="32">
        <f t="shared" ref="R37:R47" si="16">IF(P$12=0,0,P37/P$12)</f>
        <v>0.63923366139493065</v>
      </c>
      <c r="S37" s="20"/>
      <c r="T37" s="20">
        <f>SUM(OSRRefT22x_0)</f>
        <v>97336.677127403847</v>
      </c>
      <c r="U37" s="20"/>
      <c r="V37" s="32">
        <f t="shared" ref="V37:V47" si="17">IF(T$12=0,0,T37/T$12)</f>
        <v>0.46686496775578612</v>
      </c>
      <c r="W37" s="4"/>
      <c r="X37" s="20">
        <f t="shared" ref="X37:X47" si="18">+P37-T37</f>
        <v>-18045.667127403838</v>
      </c>
      <c r="Y37" s="4"/>
      <c r="Z37" s="32">
        <f t="shared" ref="Z37:Z47" si="19">IF(T37=0,0,X37/T37)</f>
        <v>-0.18539432061959429</v>
      </c>
    </row>
    <row r="38" spans="1:26" s="27" customFormat="1" outlineLevel="1" collapsed="1" x14ac:dyDescent="0.3">
      <c r="A38" s="28"/>
      <c r="B38" s="14" t="str">
        <f>CONCATENATE("     ","*Benefits                                         ")</f>
        <v xml:space="preserve">     *Benefits                                         </v>
      </c>
      <c r="C38" s="14"/>
      <c r="D38" s="1">
        <f>SUM(OSRRefD22_0x_0)</f>
        <v>12377.75</v>
      </c>
      <c r="E38" s="1"/>
      <c r="F38" s="5">
        <f t="shared" si="12"/>
        <v>9.9787787446913606E-2</v>
      </c>
      <c r="G38" s="1"/>
      <c r="H38" s="1">
        <f>SUM(OSRRefH22_0x_0)</f>
        <v>17870.489627403847</v>
      </c>
      <c r="I38" s="1"/>
      <c r="J38" s="5">
        <f t="shared" si="13"/>
        <v>8.5713893363728949E-2</v>
      </c>
      <c r="K38" s="1"/>
      <c r="L38" s="1">
        <f t="shared" si="14"/>
        <v>-5492.7396274038474</v>
      </c>
      <c r="M38" s="1"/>
      <c r="N38" s="5">
        <f t="shared" si="15"/>
        <v>-0.30736368963169874</v>
      </c>
      <c r="O38" s="14"/>
      <c r="P38" s="1">
        <f>SUM(OSRRefP22_0x_0)</f>
        <v>12377.75</v>
      </c>
      <c r="Q38" s="1"/>
      <c r="R38" s="5">
        <f t="shared" si="16"/>
        <v>9.9787787446913606E-2</v>
      </c>
      <c r="S38" s="1"/>
      <c r="T38" s="1">
        <f>SUM(OSRRefT22_0x_0)</f>
        <v>17870.489627403847</v>
      </c>
      <c r="U38" s="1"/>
      <c r="V38" s="5">
        <f t="shared" si="17"/>
        <v>8.5713893363728949E-2</v>
      </c>
      <c r="W38" s="1"/>
      <c r="X38" s="1">
        <f t="shared" si="18"/>
        <v>-5492.7396274038474</v>
      </c>
      <c r="Y38" s="1"/>
      <c r="Z38" s="5">
        <f t="shared" si="19"/>
        <v>-0.30736368963169874</v>
      </c>
    </row>
    <row r="39" spans="1:26" s="24" customFormat="1" hidden="1" outlineLevel="2" x14ac:dyDescent="0.3">
      <c r="A39" s="29"/>
      <c r="B39" s="11" t="str">
        <f>CONCATENATE("          ", "6111", " - ", "F.I.C.A.")</f>
        <v xml:space="preserve">          6111 - F.I.C.A.</v>
      </c>
      <c r="C39" s="11"/>
      <c r="D39" s="8">
        <v>2854.43</v>
      </c>
      <c r="E39" s="3"/>
      <c r="F39" s="7">
        <f t="shared" si="12"/>
        <v>2.3012038062013986E-2</v>
      </c>
      <c r="G39" s="3"/>
      <c r="H39" s="8">
        <v>2682.1373437500001</v>
      </c>
      <c r="I39" s="3"/>
      <c r="J39" s="7">
        <f t="shared" si="13"/>
        <v>1.2864585082018322E-2</v>
      </c>
      <c r="K39" s="3"/>
      <c r="L39" s="8">
        <f t="shared" si="14"/>
        <v>172.29265624999971</v>
      </c>
      <c r="M39" s="3"/>
      <c r="N39" s="7">
        <f t="shared" si="15"/>
        <v>6.4237074455370982E-2</v>
      </c>
      <c r="O39" s="11"/>
      <c r="P39" s="8">
        <v>2854.43</v>
      </c>
      <c r="Q39" s="3"/>
      <c r="R39" s="7">
        <f t="shared" si="16"/>
        <v>2.3012038062013986E-2</v>
      </c>
      <c r="S39" s="3"/>
      <c r="T39" s="8">
        <v>2682.1373437500001</v>
      </c>
      <c r="U39" s="3"/>
      <c r="V39" s="7">
        <f t="shared" si="17"/>
        <v>1.2864585082018322E-2</v>
      </c>
      <c r="W39" s="3"/>
      <c r="X39" s="8">
        <f t="shared" si="18"/>
        <v>172.29265624999971</v>
      </c>
      <c r="Y39" s="3"/>
      <c r="Z39" s="7">
        <f t="shared" si="19"/>
        <v>6.4237074455370982E-2</v>
      </c>
    </row>
    <row r="40" spans="1:26" s="24" customFormat="1" hidden="1" outlineLevel="2" x14ac:dyDescent="0.3">
      <c r="A40" s="29"/>
      <c r="B40" s="11" t="str">
        <f>CONCATENATE("          ", "6112", " - ", "COMPENSATION INSURANCE")</f>
        <v xml:space="preserve">          6112 - COMPENSATION INSURANCE</v>
      </c>
      <c r="C40" s="11"/>
      <c r="D40" s="8">
        <v>697.24</v>
      </c>
      <c r="E40" s="3"/>
      <c r="F40" s="7">
        <f t="shared" si="12"/>
        <v>5.6210568899425217E-3</v>
      </c>
      <c r="G40" s="3"/>
      <c r="H40" s="8">
        <v>1084.9312500000001</v>
      </c>
      <c r="I40" s="3"/>
      <c r="J40" s="7">
        <f t="shared" si="13"/>
        <v>5.2037567749052714E-3</v>
      </c>
      <c r="K40" s="3"/>
      <c r="L40" s="8">
        <f t="shared" si="14"/>
        <v>-387.69125000000008</v>
      </c>
      <c r="M40" s="3"/>
      <c r="N40" s="7">
        <f t="shared" si="15"/>
        <v>-0.35734176704745119</v>
      </c>
      <c r="O40" s="11"/>
      <c r="P40" s="8">
        <v>697.24</v>
      </c>
      <c r="Q40" s="3"/>
      <c r="R40" s="7">
        <f t="shared" si="16"/>
        <v>5.6210568899425217E-3</v>
      </c>
      <c r="S40" s="3"/>
      <c r="T40" s="8">
        <v>1084.9312500000001</v>
      </c>
      <c r="U40" s="3"/>
      <c r="V40" s="7">
        <f t="shared" si="17"/>
        <v>5.2037567749052714E-3</v>
      </c>
      <c r="W40" s="3"/>
      <c r="X40" s="8">
        <f t="shared" si="18"/>
        <v>-387.69125000000008</v>
      </c>
      <c r="Y40" s="3"/>
      <c r="Z40" s="7">
        <f t="shared" si="19"/>
        <v>-0.35734176704745119</v>
      </c>
    </row>
    <row r="41" spans="1:26" s="24" customFormat="1" hidden="1" outlineLevel="2" x14ac:dyDescent="0.3">
      <c r="A41" s="29"/>
      <c r="B41" s="11" t="str">
        <f>CONCATENATE("          ", "6113", " - ", "GROUP INSURANCE")</f>
        <v xml:space="preserve">          6113 - GROUP INSURANCE</v>
      </c>
      <c r="C41" s="11"/>
      <c r="D41" s="8">
        <v>4284.43</v>
      </c>
      <c r="E41" s="3"/>
      <c r="F41" s="7">
        <f t="shared" si="12"/>
        <v>3.4540509395583209E-2</v>
      </c>
      <c r="G41" s="3"/>
      <c r="H41" s="8">
        <v>7393.6538461538503</v>
      </c>
      <c r="I41" s="3"/>
      <c r="J41" s="7">
        <f t="shared" si="13"/>
        <v>3.5462870383010457E-2</v>
      </c>
      <c r="K41" s="3"/>
      <c r="L41" s="8">
        <f t="shared" si="14"/>
        <v>-3109.22384615385</v>
      </c>
      <c r="M41" s="3"/>
      <c r="N41" s="7">
        <f t="shared" si="15"/>
        <v>-0.42052602283663254</v>
      </c>
      <c r="O41" s="11"/>
      <c r="P41" s="8">
        <v>4284.43</v>
      </c>
      <c r="Q41" s="3"/>
      <c r="R41" s="7">
        <f t="shared" si="16"/>
        <v>3.4540509395583209E-2</v>
      </c>
      <c r="S41" s="3"/>
      <c r="T41" s="8">
        <v>7393.6538461538503</v>
      </c>
      <c r="U41" s="3"/>
      <c r="V41" s="7">
        <f t="shared" si="17"/>
        <v>3.5462870383010457E-2</v>
      </c>
      <c r="W41" s="3"/>
      <c r="X41" s="8">
        <f t="shared" si="18"/>
        <v>-3109.22384615385</v>
      </c>
      <c r="Y41" s="3"/>
      <c r="Z41" s="7">
        <f t="shared" si="19"/>
        <v>-0.42052602283663254</v>
      </c>
    </row>
    <row r="42" spans="1:26" s="24" customFormat="1" hidden="1" outlineLevel="2" x14ac:dyDescent="0.3">
      <c r="A42" s="29"/>
      <c r="B42" s="11" t="str">
        <f>CONCATENATE("          ", "6114", " - ", "STATE UNEMPLOYMENT INSURANCE")</f>
        <v xml:space="preserve">          6114 - STATE UNEMPLOYMENT INSURANCE</v>
      </c>
      <c r="C42" s="11"/>
      <c r="D42" s="8">
        <v>122.49</v>
      </c>
      <c r="E42" s="3"/>
      <c r="F42" s="7">
        <f t="shared" si="12"/>
        <v>9.8749821933489103E-4</v>
      </c>
      <c r="G42" s="3"/>
      <c r="H42" s="8">
        <v>146.04843750000001</v>
      </c>
      <c r="I42" s="3"/>
      <c r="J42" s="7">
        <f t="shared" si="13"/>
        <v>7.0050571969878649E-4</v>
      </c>
      <c r="K42" s="3"/>
      <c r="L42" s="8">
        <f t="shared" si="14"/>
        <v>-23.558437500000011</v>
      </c>
      <c r="M42" s="3"/>
      <c r="N42" s="7">
        <f t="shared" si="15"/>
        <v>-0.16130564560130956</v>
      </c>
      <c r="O42" s="11"/>
      <c r="P42" s="8">
        <v>122.49</v>
      </c>
      <c r="Q42" s="3"/>
      <c r="R42" s="7">
        <f t="shared" si="16"/>
        <v>9.8749821933489103E-4</v>
      </c>
      <c r="S42" s="3"/>
      <c r="T42" s="8">
        <v>146.04843750000001</v>
      </c>
      <c r="U42" s="3"/>
      <c r="V42" s="7">
        <f t="shared" si="17"/>
        <v>7.0050571969878649E-4</v>
      </c>
      <c r="W42" s="3"/>
      <c r="X42" s="8">
        <f t="shared" si="18"/>
        <v>-23.558437500000011</v>
      </c>
      <c r="Y42" s="3"/>
      <c r="Z42" s="7">
        <f t="shared" si="19"/>
        <v>-0.16130564560130956</v>
      </c>
    </row>
    <row r="43" spans="1:26" s="24" customFormat="1" hidden="1" outlineLevel="2" x14ac:dyDescent="0.3">
      <c r="A43" s="29"/>
      <c r="B43" s="11" t="str">
        <f>CONCATENATE("          ", "6115", " - ", "P.E.R.S.")</f>
        <v xml:space="preserve">          6115 - P.E.R.S.</v>
      </c>
      <c r="C43" s="11"/>
      <c r="D43" s="8">
        <v>1490.59</v>
      </c>
      <c r="E43" s="3"/>
      <c r="F43" s="7">
        <f t="shared" si="12"/>
        <v>1.201693991965381E-2</v>
      </c>
      <c r="G43" s="3"/>
      <c r="H43" s="8">
        <v>1509.03125</v>
      </c>
      <c r="I43" s="3"/>
      <c r="J43" s="7">
        <f t="shared" si="13"/>
        <v>7.2379070938654129E-3</v>
      </c>
      <c r="K43" s="3"/>
      <c r="L43" s="8">
        <f t="shared" si="14"/>
        <v>-18.441250000000082</v>
      </c>
      <c r="M43" s="3"/>
      <c r="N43" s="7">
        <f t="shared" si="15"/>
        <v>-1.2220588539833143E-2</v>
      </c>
      <c r="O43" s="11"/>
      <c r="P43" s="8">
        <v>1490.59</v>
      </c>
      <c r="Q43" s="3"/>
      <c r="R43" s="7">
        <f t="shared" si="16"/>
        <v>1.201693991965381E-2</v>
      </c>
      <c r="S43" s="3"/>
      <c r="T43" s="8">
        <v>1509.03125</v>
      </c>
      <c r="U43" s="3"/>
      <c r="V43" s="7">
        <f t="shared" si="17"/>
        <v>7.2379070938654129E-3</v>
      </c>
      <c r="W43" s="3"/>
      <c r="X43" s="8">
        <f t="shared" si="18"/>
        <v>-18.441250000000082</v>
      </c>
      <c r="Y43" s="3"/>
      <c r="Z43" s="7">
        <f t="shared" si="19"/>
        <v>-1.2220588539833143E-2</v>
      </c>
    </row>
    <row r="44" spans="1:26" s="24" customFormat="1" hidden="1" outlineLevel="2" x14ac:dyDescent="0.3">
      <c r="A44" s="29"/>
      <c r="B44" s="11" t="str">
        <f>CONCATENATE("          ", "6116", " - ", "EDUCATIONAL BENEFITS")</f>
        <v xml:space="preserve">          6116 - EDUCATIONAL BENEFITS</v>
      </c>
      <c r="C44" s="11"/>
      <c r="D44" s="8"/>
      <c r="E44" s="3"/>
      <c r="F44" s="7">
        <f t="shared" si="12"/>
        <v>0</v>
      </c>
      <c r="G44" s="3"/>
      <c r="H44" s="8">
        <v>0</v>
      </c>
      <c r="I44" s="3"/>
      <c r="J44" s="7">
        <f t="shared" si="13"/>
        <v>0</v>
      </c>
      <c r="K44" s="3"/>
      <c r="L44" s="8">
        <f t="shared" si="14"/>
        <v>0</v>
      </c>
      <c r="M44" s="3"/>
      <c r="N44" s="7">
        <f t="shared" si="15"/>
        <v>0</v>
      </c>
      <c r="O44" s="11"/>
      <c r="P44" s="8"/>
      <c r="Q44" s="3"/>
      <c r="R44" s="7">
        <f t="shared" si="16"/>
        <v>0</v>
      </c>
      <c r="S44" s="3"/>
      <c r="T44" s="8">
        <v>0</v>
      </c>
      <c r="U44" s="3"/>
      <c r="V44" s="7">
        <f t="shared" si="17"/>
        <v>0</v>
      </c>
      <c r="W44" s="3"/>
      <c r="X44" s="8">
        <f t="shared" si="18"/>
        <v>0</v>
      </c>
      <c r="Y44" s="3"/>
      <c r="Z44" s="7">
        <f t="shared" si="19"/>
        <v>0</v>
      </c>
    </row>
    <row r="45" spans="1:26" s="24" customFormat="1" hidden="1" outlineLevel="2" x14ac:dyDescent="0.3">
      <c r="A45" s="29"/>
      <c r="B45" s="11" t="str">
        <f>CONCATENATE("          ", "6118", " - ", "VACATION")</f>
        <v xml:space="preserve">          6118 - VACATION</v>
      </c>
      <c r="C45" s="11"/>
      <c r="D45" s="8">
        <v>1573.42</v>
      </c>
      <c r="E45" s="3"/>
      <c r="F45" s="7">
        <f t="shared" si="12"/>
        <v>1.2684704451513628E-2</v>
      </c>
      <c r="G45" s="3"/>
      <c r="H45" s="8">
        <v>1392.34375</v>
      </c>
      <c r="I45" s="3"/>
      <c r="J45" s="7">
        <f t="shared" si="13"/>
        <v>6.6782279725646314E-3</v>
      </c>
      <c r="K45" s="3"/>
      <c r="L45" s="8">
        <f t="shared" si="14"/>
        <v>181.07625000000007</v>
      </c>
      <c r="M45" s="3"/>
      <c r="N45" s="7">
        <f t="shared" si="15"/>
        <v>0.13005139714959044</v>
      </c>
      <c r="O45" s="11"/>
      <c r="P45" s="8">
        <v>1573.42</v>
      </c>
      <c r="Q45" s="3"/>
      <c r="R45" s="7">
        <f t="shared" si="16"/>
        <v>1.2684704451513628E-2</v>
      </c>
      <c r="S45" s="3"/>
      <c r="T45" s="8">
        <v>1392.34375</v>
      </c>
      <c r="U45" s="3"/>
      <c r="V45" s="7">
        <f t="shared" si="17"/>
        <v>6.6782279725646314E-3</v>
      </c>
      <c r="W45" s="3"/>
      <c r="X45" s="8">
        <f t="shared" si="18"/>
        <v>181.07625000000007</v>
      </c>
      <c r="Y45" s="3"/>
      <c r="Z45" s="7">
        <f t="shared" si="19"/>
        <v>0.13005139714959044</v>
      </c>
    </row>
    <row r="46" spans="1:26" s="24" customFormat="1" hidden="1" outlineLevel="2" x14ac:dyDescent="0.3">
      <c r="A46" s="29"/>
      <c r="B46" s="11" t="str">
        <f>CONCATENATE("          ", "6119", " - ", "SICK LEAVE")</f>
        <v xml:space="preserve">          6119 - SICK LEAVE</v>
      </c>
      <c r="C46" s="11"/>
      <c r="D46" s="8">
        <v>1066.4000000000001</v>
      </c>
      <c r="E46" s="3"/>
      <c r="F46" s="7">
        <f t="shared" si="12"/>
        <v>8.597176104977778E-3</v>
      </c>
      <c r="G46" s="3"/>
      <c r="H46" s="8">
        <v>2787.34375</v>
      </c>
      <c r="I46" s="3"/>
      <c r="J46" s="7">
        <f t="shared" si="13"/>
        <v>1.3369196364334021E-2</v>
      </c>
      <c r="K46" s="3"/>
      <c r="L46" s="8">
        <f t="shared" si="14"/>
        <v>-1720.9437499999999</v>
      </c>
      <c r="M46" s="3"/>
      <c r="N46" s="7">
        <f t="shared" si="15"/>
        <v>-0.61741353214866301</v>
      </c>
      <c r="O46" s="11"/>
      <c r="P46" s="8">
        <v>1066.4000000000001</v>
      </c>
      <c r="Q46" s="3"/>
      <c r="R46" s="7">
        <f t="shared" si="16"/>
        <v>8.597176104977778E-3</v>
      </c>
      <c r="S46" s="3"/>
      <c r="T46" s="8">
        <v>2787.34375</v>
      </c>
      <c r="U46" s="3"/>
      <c r="V46" s="7">
        <f t="shared" si="17"/>
        <v>1.3369196364334021E-2</v>
      </c>
      <c r="W46" s="3"/>
      <c r="X46" s="8">
        <f t="shared" si="18"/>
        <v>-1720.9437499999999</v>
      </c>
      <c r="Y46" s="3"/>
      <c r="Z46" s="7">
        <f t="shared" si="19"/>
        <v>-0.61741353214866301</v>
      </c>
    </row>
    <row r="47" spans="1:26" s="24" customFormat="1" hidden="1" outlineLevel="2" x14ac:dyDescent="0.3">
      <c r="A47" s="29"/>
      <c r="B47" s="11" t="str">
        <f>CONCATENATE("          ", "6156", " - ", "EMPLOYEE MEALS")</f>
        <v xml:space="preserve">          6156 - EMPLOYEE MEALS</v>
      </c>
      <c r="C47" s="11"/>
      <c r="D47" s="8">
        <v>288.75</v>
      </c>
      <c r="E47" s="3"/>
      <c r="F47" s="7">
        <f t="shared" si="12"/>
        <v>2.3278644038937854E-3</v>
      </c>
      <c r="G47" s="3"/>
      <c r="H47" s="8">
        <v>875</v>
      </c>
      <c r="I47" s="3"/>
      <c r="J47" s="7">
        <f t="shared" si="13"/>
        <v>4.1968439733320543E-3</v>
      </c>
      <c r="K47" s="3"/>
      <c r="L47" s="8">
        <f t="shared" si="14"/>
        <v>-586.25</v>
      </c>
      <c r="M47" s="3"/>
      <c r="N47" s="7">
        <f t="shared" si="15"/>
        <v>-0.67</v>
      </c>
      <c r="O47" s="11"/>
      <c r="P47" s="8">
        <v>288.75</v>
      </c>
      <c r="Q47" s="3"/>
      <c r="R47" s="7">
        <f t="shared" si="16"/>
        <v>2.3278644038937854E-3</v>
      </c>
      <c r="S47" s="3"/>
      <c r="T47" s="8">
        <v>875</v>
      </c>
      <c r="U47" s="3"/>
      <c r="V47" s="7">
        <f t="shared" si="17"/>
        <v>4.1968439733320543E-3</v>
      </c>
      <c r="W47" s="3"/>
      <c r="X47" s="8">
        <f t="shared" si="18"/>
        <v>-586.25</v>
      </c>
      <c r="Y47" s="3"/>
      <c r="Z47" s="7">
        <f t="shared" si="19"/>
        <v>-0.67</v>
      </c>
    </row>
    <row r="48" spans="1:26" s="27" customFormat="1" outlineLevel="1" collapsed="1" x14ac:dyDescent="0.3">
      <c r="A48" s="28"/>
      <c r="B48" s="14" t="str">
        <f>CONCATENATE("     ","*Payroll                                          ")</f>
        <v xml:space="preserve">     *Payroll                                          </v>
      </c>
      <c r="C48" s="14"/>
      <c r="D48" s="1">
        <f>SUM(OSRRefD22_1x_0)</f>
        <v>52676.639999999999</v>
      </c>
      <c r="E48" s="1"/>
      <c r="F48" s="5">
        <f t="shared" ref="F48:F58" si="20">IF(D$12=0,0,D48/D$12)</f>
        <v>0.42467212181031183</v>
      </c>
      <c r="G48" s="1"/>
      <c r="H48" s="1">
        <f>SUM(OSRRefH22_1x_0)</f>
        <v>66402.1875</v>
      </c>
      <c r="I48" s="1"/>
      <c r="J48" s="5">
        <f t="shared" ref="J48:J58" si="21">IF(H$12=0,0,H48/H$12)</f>
        <v>0.31849099477193149</v>
      </c>
      <c r="K48" s="1"/>
      <c r="L48" s="1">
        <f t="shared" ref="L48:L58" si="22">+D48-H48</f>
        <v>-13725.547500000001</v>
      </c>
      <c r="M48" s="1"/>
      <c r="N48" s="5">
        <f t="shared" ref="N48:N58" si="23">IF(H48=0,0,L48/H48)</f>
        <v>-0.20670324302192605</v>
      </c>
      <c r="O48" s="14"/>
      <c r="P48" s="1">
        <f>SUM(OSRRefP22_1x_0)</f>
        <v>52676.639999999999</v>
      </c>
      <c r="Q48" s="1"/>
      <c r="R48" s="5">
        <f t="shared" ref="R48:R58" si="24">IF(P$12=0,0,P48/P$12)</f>
        <v>0.42467212181031183</v>
      </c>
      <c r="S48" s="1"/>
      <c r="T48" s="1">
        <f>SUM(OSRRefT22_1x_0)</f>
        <v>66402.1875</v>
      </c>
      <c r="U48" s="1"/>
      <c r="V48" s="5">
        <f t="shared" ref="V48:V58" si="25">IF(T$12=0,0,T48/T$12)</f>
        <v>0.31849099477193149</v>
      </c>
      <c r="W48" s="1"/>
      <c r="X48" s="1">
        <f t="shared" ref="X48:X58" si="26">+P48-T48</f>
        <v>-13725.547500000001</v>
      </c>
      <c r="Y48" s="1"/>
      <c r="Z48" s="5">
        <f t="shared" ref="Z48:Z58" si="27">IF(T48=0,0,X48/T48)</f>
        <v>-0.20670324302192605</v>
      </c>
    </row>
    <row r="49" spans="1:26" s="24" customFormat="1" hidden="1" outlineLevel="2" x14ac:dyDescent="0.3">
      <c r="A49" s="29"/>
      <c r="B49" s="11" t="str">
        <f>CONCATENATE("          ", "6001", " - ", "ADMINISTRATIVE SALARIES")</f>
        <v xml:space="preserve">          6001 - ADMINISTRATIVE SALARIES</v>
      </c>
      <c r="C49" s="11"/>
      <c r="D49" s="8"/>
      <c r="E49" s="3"/>
      <c r="F49" s="7">
        <f t="shared" si="20"/>
        <v>0</v>
      </c>
      <c r="G49" s="3"/>
      <c r="H49" s="8">
        <v>0</v>
      </c>
      <c r="I49" s="3"/>
      <c r="J49" s="7">
        <f t="shared" si="21"/>
        <v>0</v>
      </c>
      <c r="K49" s="3"/>
      <c r="L49" s="8">
        <f t="shared" si="22"/>
        <v>0</v>
      </c>
      <c r="M49" s="3"/>
      <c r="N49" s="7">
        <f t="shared" si="23"/>
        <v>0</v>
      </c>
      <c r="O49" s="11"/>
      <c r="P49" s="8"/>
      <c r="Q49" s="3"/>
      <c r="R49" s="7">
        <f t="shared" si="24"/>
        <v>0</v>
      </c>
      <c r="S49" s="3"/>
      <c r="T49" s="8">
        <v>0</v>
      </c>
      <c r="U49" s="3"/>
      <c r="V49" s="7">
        <f t="shared" si="25"/>
        <v>0</v>
      </c>
      <c r="W49" s="3"/>
      <c r="X49" s="8">
        <f t="shared" si="26"/>
        <v>0</v>
      </c>
      <c r="Y49" s="3"/>
      <c r="Z49" s="7">
        <f t="shared" si="27"/>
        <v>0</v>
      </c>
    </row>
    <row r="50" spans="1:26" s="24" customFormat="1" hidden="1" outlineLevel="2" x14ac:dyDescent="0.3">
      <c r="A50" s="29"/>
      <c r="B50" s="11" t="str">
        <f>CONCATENATE("          ", "6002", " - ", "STAFF SALARIES")</f>
        <v xml:space="preserve">          6002 - STAFF SALARIES</v>
      </c>
      <c r="C50" s="11"/>
      <c r="D50" s="8">
        <v>15720.22</v>
      </c>
      <c r="E50" s="3"/>
      <c r="F50" s="7">
        <f t="shared" si="20"/>
        <v>0.12673433959958152</v>
      </c>
      <c r="G50" s="3"/>
      <c r="H50" s="8">
        <v>15792.1875</v>
      </c>
      <c r="I50" s="3"/>
      <c r="J50" s="7">
        <f t="shared" si="21"/>
        <v>7.5745539354405492E-2</v>
      </c>
      <c r="K50" s="3"/>
      <c r="L50" s="8">
        <f t="shared" si="22"/>
        <v>-71.967500000000655</v>
      </c>
      <c r="M50" s="3"/>
      <c r="N50" s="7">
        <f t="shared" si="23"/>
        <v>-4.5571584050658372E-3</v>
      </c>
      <c r="O50" s="11"/>
      <c r="P50" s="8">
        <v>15720.22</v>
      </c>
      <c r="Q50" s="3"/>
      <c r="R50" s="7">
        <f t="shared" si="24"/>
        <v>0.12673433959958152</v>
      </c>
      <c r="S50" s="3"/>
      <c r="T50" s="8">
        <v>15792.1875</v>
      </c>
      <c r="U50" s="3"/>
      <c r="V50" s="7">
        <f t="shared" si="25"/>
        <v>7.5745539354405492E-2</v>
      </c>
      <c r="W50" s="3"/>
      <c r="X50" s="8">
        <f t="shared" si="26"/>
        <v>-71.967500000000655</v>
      </c>
      <c r="Y50" s="3"/>
      <c r="Z50" s="7">
        <f t="shared" si="27"/>
        <v>-4.5571584050658372E-3</v>
      </c>
    </row>
    <row r="51" spans="1:26" s="24" customFormat="1" hidden="1" outlineLevel="2" x14ac:dyDescent="0.3">
      <c r="A51" s="29"/>
      <c r="B51" s="11" t="str">
        <f>CONCATENATE("          ", "6003", " - ", "STAFF HOURLY-9 MONTH")</f>
        <v xml:space="preserve">          6003 - STAFF HOURLY-9 MONTH</v>
      </c>
      <c r="C51" s="11"/>
      <c r="D51" s="8"/>
      <c r="E51" s="3"/>
      <c r="F51" s="7">
        <f t="shared" si="20"/>
        <v>0</v>
      </c>
      <c r="G51" s="3"/>
      <c r="H51" s="8">
        <v>0</v>
      </c>
      <c r="I51" s="3"/>
      <c r="J51" s="7">
        <f t="shared" si="21"/>
        <v>0</v>
      </c>
      <c r="K51" s="3"/>
      <c r="L51" s="8">
        <f t="shared" si="22"/>
        <v>0</v>
      </c>
      <c r="M51" s="3"/>
      <c r="N51" s="7">
        <f t="shared" si="23"/>
        <v>0</v>
      </c>
      <c r="O51" s="11"/>
      <c r="P51" s="8"/>
      <c r="Q51" s="3"/>
      <c r="R51" s="7">
        <f t="shared" si="24"/>
        <v>0</v>
      </c>
      <c r="S51" s="3"/>
      <c r="T51" s="8">
        <v>0</v>
      </c>
      <c r="U51" s="3"/>
      <c r="V51" s="7">
        <f t="shared" si="25"/>
        <v>0</v>
      </c>
      <c r="W51" s="3"/>
      <c r="X51" s="8">
        <f t="shared" si="26"/>
        <v>0</v>
      </c>
      <c r="Y51" s="3"/>
      <c r="Z51" s="7">
        <f t="shared" si="27"/>
        <v>0</v>
      </c>
    </row>
    <row r="52" spans="1:26" s="24" customFormat="1" hidden="1" outlineLevel="2" x14ac:dyDescent="0.3">
      <c r="A52" s="29"/>
      <c r="B52" s="11" t="str">
        <f>CONCATENATE("          ", "6004", " - ", "STAFF HOURLY")</f>
        <v xml:space="preserve">          6004 - STAFF HOURLY</v>
      </c>
      <c r="C52" s="11"/>
      <c r="D52" s="8">
        <v>8114.48</v>
      </c>
      <c r="E52" s="3"/>
      <c r="F52" s="7">
        <f t="shared" si="20"/>
        <v>6.5417867179594955E-2</v>
      </c>
      <c r="G52" s="3"/>
      <c r="H52" s="8">
        <v>16110</v>
      </c>
      <c r="I52" s="3"/>
      <c r="J52" s="7">
        <f t="shared" si="21"/>
        <v>7.7269893040433593E-2</v>
      </c>
      <c r="K52" s="3"/>
      <c r="L52" s="8">
        <f t="shared" si="22"/>
        <v>-7995.52</v>
      </c>
      <c r="M52" s="3"/>
      <c r="N52" s="7">
        <f t="shared" si="23"/>
        <v>-0.49630788330229675</v>
      </c>
      <c r="O52" s="11"/>
      <c r="P52" s="8">
        <v>8114.48</v>
      </c>
      <c r="Q52" s="3"/>
      <c r="R52" s="7">
        <f t="shared" si="24"/>
        <v>6.5417867179594955E-2</v>
      </c>
      <c r="S52" s="3"/>
      <c r="T52" s="8">
        <v>16110</v>
      </c>
      <c r="U52" s="3"/>
      <c r="V52" s="7">
        <f t="shared" si="25"/>
        <v>7.7269893040433593E-2</v>
      </c>
      <c r="W52" s="3"/>
      <c r="X52" s="8">
        <f t="shared" si="26"/>
        <v>-7995.52</v>
      </c>
      <c r="Y52" s="3"/>
      <c r="Z52" s="7">
        <f t="shared" si="27"/>
        <v>-0.49630788330229675</v>
      </c>
    </row>
    <row r="53" spans="1:26" s="24" customFormat="1" hidden="1" outlineLevel="2" x14ac:dyDescent="0.3">
      <c r="A53" s="29"/>
      <c r="B53" s="11" t="str">
        <f>CONCATENATE("          ", "6005", " - ", "TEMPORARY WAGES-HOURLY")</f>
        <v xml:space="preserve">          6005 - TEMPORARY WAGES-HOURLY</v>
      </c>
      <c r="C53" s="11"/>
      <c r="D53" s="8">
        <v>2014.56</v>
      </c>
      <c r="E53" s="3"/>
      <c r="F53" s="7">
        <f t="shared" si="20"/>
        <v>1.6241116929898752E-2</v>
      </c>
      <c r="G53" s="3"/>
      <c r="H53" s="8">
        <v>0</v>
      </c>
      <c r="I53" s="3"/>
      <c r="J53" s="7">
        <f t="shared" si="21"/>
        <v>0</v>
      </c>
      <c r="K53" s="3"/>
      <c r="L53" s="8">
        <f t="shared" si="22"/>
        <v>2014.56</v>
      </c>
      <c r="M53" s="3"/>
      <c r="N53" s="7">
        <f t="shared" si="23"/>
        <v>0</v>
      </c>
      <c r="O53" s="11"/>
      <c r="P53" s="8">
        <v>2014.56</v>
      </c>
      <c r="Q53" s="3"/>
      <c r="R53" s="7">
        <f t="shared" si="24"/>
        <v>1.6241116929898752E-2</v>
      </c>
      <c r="S53" s="3"/>
      <c r="T53" s="8">
        <v>0</v>
      </c>
      <c r="U53" s="3"/>
      <c r="V53" s="7">
        <f t="shared" si="25"/>
        <v>0</v>
      </c>
      <c r="W53" s="3"/>
      <c r="X53" s="8">
        <f t="shared" si="26"/>
        <v>2014.56</v>
      </c>
      <c r="Y53" s="3"/>
      <c r="Z53" s="7">
        <f t="shared" si="27"/>
        <v>0</v>
      </c>
    </row>
    <row r="54" spans="1:26" s="24" customFormat="1" hidden="1" outlineLevel="2" x14ac:dyDescent="0.3">
      <c r="A54" s="29"/>
      <c r="B54" s="11" t="str">
        <f>CONCATENATE("          ", "6006", " - ", "TEMPORARY PART TIME")</f>
        <v xml:space="preserve">          6006 - TEMPORARY PART TIME</v>
      </c>
      <c r="C54" s="11"/>
      <c r="D54" s="8"/>
      <c r="E54" s="3"/>
      <c r="F54" s="7">
        <f t="shared" si="20"/>
        <v>0</v>
      </c>
      <c r="G54" s="3"/>
      <c r="H54" s="8">
        <v>0</v>
      </c>
      <c r="I54" s="3"/>
      <c r="J54" s="7">
        <f t="shared" si="21"/>
        <v>0</v>
      </c>
      <c r="K54" s="3"/>
      <c r="L54" s="8">
        <f t="shared" si="22"/>
        <v>0</v>
      </c>
      <c r="M54" s="3"/>
      <c r="N54" s="7">
        <f t="shared" si="23"/>
        <v>0</v>
      </c>
      <c r="O54" s="11"/>
      <c r="P54" s="8"/>
      <c r="Q54" s="3"/>
      <c r="R54" s="7">
        <f t="shared" si="24"/>
        <v>0</v>
      </c>
      <c r="S54" s="3"/>
      <c r="T54" s="8">
        <v>0</v>
      </c>
      <c r="U54" s="3"/>
      <c r="V54" s="7">
        <f t="shared" si="25"/>
        <v>0</v>
      </c>
      <c r="W54" s="3"/>
      <c r="X54" s="8">
        <f t="shared" si="26"/>
        <v>0</v>
      </c>
      <c r="Y54" s="3"/>
      <c r="Z54" s="7">
        <f t="shared" si="27"/>
        <v>0</v>
      </c>
    </row>
    <row r="55" spans="1:26" s="24" customFormat="1" hidden="1" outlineLevel="2" x14ac:dyDescent="0.3">
      <c r="A55" s="29"/>
      <c r="B55" s="11" t="str">
        <f>CONCATENATE("          ", "6007", " - ", "STUDENT HOURLY")</f>
        <v xml:space="preserve">          6007 - STUDENT HOURLY</v>
      </c>
      <c r="C55" s="11"/>
      <c r="D55" s="8">
        <v>19302.939999999999</v>
      </c>
      <c r="E55" s="3"/>
      <c r="F55" s="7">
        <f t="shared" si="20"/>
        <v>0.15561775555496973</v>
      </c>
      <c r="G55" s="3"/>
      <c r="H55" s="8">
        <v>0</v>
      </c>
      <c r="I55" s="3"/>
      <c r="J55" s="7">
        <f t="shared" si="21"/>
        <v>0</v>
      </c>
      <c r="K55" s="3"/>
      <c r="L55" s="8">
        <f t="shared" si="22"/>
        <v>19302.939999999999</v>
      </c>
      <c r="M55" s="3"/>
      <c r="N55" s="7">
        <f t="shared" si="23"/>
        <v>0</v>
      </c>
      <c r="O55" s="11"/>
      <c r="P55" s="8">
        <v>19302.939999999999</v>
      </c>
      <c r="Q55" s="3"/>
      <c r="R55" s="7">
        <f t="shared" si="24"/>
        <v>0.15561775555496973</v>
      </c>
      <c r="S55" s="3"/>
      <c r="T55" s="8">
        <v>0</v>
      </c>
      <c r="U55" s="3"/>
      <c r="V55" s="7">
        <f t="shared" si="25"/>
        <v>0</v>
      </c>
      <c r="W55" s="3"/>
      <c r="X55" s="8">
        <f t="shared" si="26"/>
        <v>19302.939999999999</v>
      </c>
      <c r="Y55" s="3"/>
      <c r="Z55" s="7">
        <f t="shared" si="27"/>
        <v>0</v>
      </c>
    </row>
    <row r="56" spans="1:26" s="24" customFormat="1" hidden="1" outlineLevel="2" x14ac:dyDescent="0.3">
      <c r="A56" s="29"/>
      <c r="B56" s="11" t="str">
        <f>CONCATENATE("          ", "6008", " - ", "STUDENT HOURLY-FICA EXEMPT")</f>
        <v xml:space="preserve">          6008 - STUDENT HOURLY-FICA EXEMPT</v>
      </c>
      <c r="C56" s="11"/>
      <c r="D56" s="8">
        <v>7524.44</v>
      </c>
      <c r="E56" s="3"/>
      <c r="F56" s="7">
        <f t="shared" si="20"/>
        <v>6.0661042546266856E-2</v>
      </c>
      <c r="G56" s="3"/>
      <c r="H56" s="8">
        <v>34500</v>
      </c>
      <c r="I56" s="3"/>
      <c r="J56" s="7">
        <f t="shared" si="21"/>
        <v>0.16547556237709243</v>
      </c>
      <c r="K56" s="3"/>
      <c r="L56" s="8">
        <f t="shared" si="22"/>
        <v>-26975.56</v>
      </c>
      <c r="M56" s="3"/>
      <c r="N56" s="7">
        <f t="shared" si="23"/>
        <v>-0.78190028985507254</v>
      </c>
      <c r="O56" s="11"/>
      <c r="P56" s="8">
        <v>7524.44</v>
      </c>
      <c r="Q56" s="3"/>
      <c r="R56" s="7">
        <f t="shared" si="24"/>
        <v>6.0661042546266856E-2</v>
      </c>
      <c r="S56" s="3"/>
      <c r="T56" s="8">
        <v>34500</v>
      </c>
      <c r="U56" s="3"/>
      <c r="V56" s="7">
        <f t="shared" si="25"/>
        <v>0.16547556237709243</v>
      </c>
      <c r="W56" s="3"/>
      <c r="X56" s="8">
        <f t="shared" si="26"/>
        <v>-26975.56</v>
      </c>
      <c r="Y56" s="3"/>
      <c r="Z56" s="7">
        <f t="shared" si="27"/>
        <v>-0.78190028985507254</v>
      </c>
    </row>
    <row r="57" spans="1:26" s="24" customFormat="1" hidden="1" outlineLevel="2" x14ac:dyDescent="0.3">
      <c r="A57" s="29"/>
      <c r="B57" s="11" t="str">
        <f>CONCATENATE("          ", "6009", " - ", "TEMPORARY-SEASONAL")</f>
        <v xml:space="preserve">          6009 - TEMPORARY-SEASONAL</v>
      </c>
      <c r="C57" s="11"/>
      <c r="D57" s="8"/>
      <c r="E57" s="3"/>
      <c r="F57" s="7">
        <f t="shared" si="20"/>
        <v>0</v>
      </c>
      <c r="G57" s="3"/>
      <c r="H57" s="8">
        <v>0</v>
      </c>
      <c r="I57" s="3"/>
      <c r="J57" s="7">
        <f t="shared" si="21"/>
        <v>0</v>
      </c>
      <c r="K57" s="3"/>
      <c r="L57" s="8">
        <f t="shared" si="22"/>
        <v>0</v>
      </c>
      <c r="M57" s="3"/>
      <c r="N57" s="7">
        <f t="shared" si="23"/>
        <v>0</v>
      </c>
      <c r="O57" s="11"/>
      <c r="P57" s="8"/>
      <c r="Q57" s="3"/>
      <c r="R57" s="7">
        <f t="shared" si="24"/>
        <v>0</v>
      </c>
      <c r="S57" s="3"/>
      <c r="T57" s="8">
        <v>0</v>
      </c>
      <c r="U57" s="3"/>
      <c r="V57" s="7">
        <f t="shared" si="25"/>
        <v>0</v>
      </c>
      <c r="W57" s="3"/>
      <c r="X57" s="8">
        <f t="shared" si="26"/>
        <v>0</v>
      </c>
      <c r="Y57" s="3"/>
      <c r="Z57" s="7">
        <f t="shared" si="27"/>
        <v>0</v>
      </c>
    </row>
    <row r="58" spans="1:26" s="24" customFormat="1" hidden="1" outlineLevel="2" x14ac:dyDescent="0.3">
      <c r="A58" s="29"/>
      <c r="B58" s="11" t="str">
        <f>CONCATENATE("          ", "6010", " - ", "GRATUITY")</f>
        <v xml:space="preserve">          6010 - GRATUITY</v>
      </c>
      <c r="C58" s="11"/>
      <c r="D58" s="8"/>
      <c r="E58" s="3"/>
      <c r="F58" s="7">
        <f t="shared" si="20"/>
        <v>0</v>
      </c>
      <c r="G58" s="3"/>
      <c r="H58" s="8">
        <v>0</v>
      </c>
      <c r="I58" s="3"/>
      <c r="J58" s="7">
        <f t="shared" si="21"/>
        <v>0</v>
      </c>
      <c r="K58" s="3"/>
      <c r="L58" s="8">
        <f t="shared" si="22"/>
        <v>0</v>
      </c>
      <c r="M58" s="3"/>
      <c r="N58" s="7">
        <f t="shared" si="23"/>
        <v>0</v>
      </c>
      <c r="O58" s="11"/>
      <c r="P58" s="8"/>
      <c r="Q58" s="3"/>
      <c r="R58" s="7">
        <f t="shared" si="24"/>
        <v>0</v>
      </c>
      <c r="S58" s="3"/>
      <c r="T58" s="8">
        <v>0</v>
      </c>
      <c r="U58" s="3"/>
      <c r="V58" s="7">
        <f t="shared" si="25"/>
        <v>0</v>
      </c>
      <c r="W58" s="3"/>
      <c r="X58" s="8">
        <f t="shared" si="26"/>
        <v>0</v>
      </c>
      <c r="Y58" s="3"/>
      <c r="Z58" s="7">
        <f t="shared" si="27"/>
        <v>0</v>
      </c>
    </row>
    <row r="59" spans="1:26" s="27" customFormat="1" outlineLevel="1" collapsed="1" x14ac:dyDescent="0.3">
      <c r="A59" s="28"/>
      <c r="B59" s="14" t="str">
        <f>CONCATENATE("     ","Advertising/Promo                                 ")</f>
        <v xml:space="preserve">     Advertising/Promo                                 </v>
      </c>
      <c r="C59" s="14"/>
      <c r="D59" s="1">
        <f>SUM(OSRRefD22_2x_0)</f>
        <v>198.63</v>
      </c>
      <c r="E59" s="1"/>
      <c r="F59" s="5">
        <f t="shared" ref="F59:F69" si="28">IF(D$12=0,0,D59/D$12)</f>
        <v>1.6013288538369614E-3</v>
      </c>
      <c r="G59" s="1"/>
      <c r="H59" s="1">
        <f>SUM(OSRRefH22_2x_0)</f>
        <v>1450</v>
      </c>
      <c r="I59" s="1"/>
      <c r="J59" s="5">
        <f t="shared" ref="J59:J69" si="29">IF(H$12=0,0,H59/H$12)</f>
        <v>6.9547700129502614E-3</v>
      </c>
      <c r="K59" s="1"/>
      <c r="L59" s="1">
        <f t="shared" ref="L59:L69" si="30">+D59-H59</f>
        <v>-1251.3699999999999</v>
      </c>
      <c r="M59" s="1"/>
      <c r="N59" s="5">
        <f t="shared" ref="N59:N69" si="31">IF(H59=0,0,L59/H59)</f>
        <v>-0.86301379310344817</v>
      </c>
      <c r="O59" s="14"/>
      <c r="P59" s="1">
        <f>SUM(OSRRefP22_2x_0)</f>
        <v>198.63</v>
      </c>
      <c r="Q59" s="1"/>
      <c r="R59" s="5">
        <f t="shared" ref="R59:R69" si="32">IF(P$12=0,0,P59/P$12)</f>
        <v>1.6013288538369614E-3</v>
      </c>
      <c r="S59" s="1"/>
      <c r="T59" s="1">
        <f>SUM(OSRRefT22_2x_0)</f>
        <v>1450</v>
      </c>
      <c r="U59" s="1"/>
      <c r="V59" s="5">
        <f t="shared" ref="V59:V69" si="33">IF(T$12=0,0,T59/T$12)</f>
        <v>6.9547700129502614E-3</v>
      </c>
      <c r="W59" s="1"/>
      <c r="X59" s="1">
        <f t="shared" ref="X59:X69" si="34">+P59-T59</f>
        <v>-1251.3699999999999</v>
      </c>
      <c r="Y59" s="1"/>
      <c r="Z59" s="5">
        <f t="shared" ref="Z59:Z69" si="35">IF(T59=0,0,X59/T59)</f>
        <v>-0.86301379310344817</v>
      </c>
    </row>
    <row r="60" spans="1:26" s="24" customFormat="1" hidden="1" outlineLevel="2" x14ac:dyDescent="0.3">
      <c r="A60" s="29"/>
      <c r="B60" s="11" t="str">
        <f>CONCATENATE("          ", "6362", " - ", "ADVERTISING EXPENSE")</f>
        <v xml:space="preserve">          6362 - ADVERTISING EXPENSE</v>
      </c>
      <c r="C60" s="11"/>
      <c r="D60" s="8">
        <v>198.63</v>
      </c>
      <c r="E60" s="3"/>
      <c r="F60" s="7">
        <f t="shared" si="28"/>
        <v>1.6013288538369614E-3</v>
      </c>
      <c r="G60" s="3"/>
      <c r="H60" s="8">
        <v>1450</v>
      </c>
      <c r="I60" s="3"/>
      <c r="J60" s="7">
        <f t="shared" si="29"/>
        <v>6.9547700129502614E-3</v>
      </c>
      <c r="K60" s="3"/>
      <c r="L60" s="8">
        <f t="shared" si="30"/>
        <v>-1251.3699999999999</v>
      </c>
      <c r="M60" s="3"/>
      <c r="N60" s="7">
        <f t="shared" si="31"/>
        <v>-0.86301379310344817</v>
      </c>
      <c r="O60" s="11"/>
      <c r="P60" s="8">
        <v>198.63</v>
      </c>
      <c r="Q60" s="3"/>
      <c r="R60" s="7">
        <f t="shared" si="32"/>
        <v>1.6013288538369614E-3</v>
      </c>
      <c r="S60" s="3"/>
      <c r="T60" s="8">
        <v>1450</v>
      </c>
      <c r="U60" s="3"/>
      <c r="V60" s="7">
        <f t="shared" si="33"/>
        <v>6.9547700129502614E-3</v>
      </c>
      <c r="W60" s="3"/>
      <c r="X60" s="8">
        <f t="shared" si="34"/>
        <v>-1251.3699999999999</v>
      </c>
      <c r="Y60" s="3"/>
      <c r="Z60" s="7">
        <f t="shared" si="35"/>
        <v>-0.86301379310344817</v>
      </c>
    </row>
    <row r="61" spans="1:26" s="27" customFormat="1" outlineLevel="1" collapsed="1" x14ac:dyDescent="0.3">
      <c r="A61" s="28"/>
      <c r="B61" s="14" t="str">
        <f>CONCATENATE("     ","Bad Debts/Over/Short                              ")</f>
        <v xml:space="preserve">     Bad Debts/Over/Short                              </v>
      </c>
      <c r="C61" s="14"/>
      <c r="D61" s="1">
        <f>SUM(OSRRefD22_3x_0)</f>
        <v>0</v>
      </c>
      <c r="E61" s="1"/>
      <c r="F61" s="5">
        <f t="shared" si="28"/>
        <v>0</v>
      </c>
      <c r="G61" s="1"/>
      <c r="H61" s="1">
        <f>SUM(OSRRefH22_3x_0)</f>
        <v>0</v>
      </c>
      <c r="I61" s="1"/>
      <c r="J61" s="5">
        <f t="shared" si="29"/>
        <v>0</v>
      </c>
      <c r="K61" s="1"/>
      <c r="L61" s="1">
        <f t="shared" si="30"/>
        <v>0</v>
      </c>
      <c r="M61" s="1"/>
      <c r="N61" s="5">
        <f t="shared" si="31"/>
        <v>0</v>
      </c>
      <c r="O61" s="14"/>
      <c r="P61" s="1">
        <f>SUM(OSRRefP22_3x_0)</f>
        <v>0</v>
      </c>
      <c r="Q61" s="1"/>
      <c r="R61" s="5">
        <f t="shared" si="32"/>
        <v>0</v>
      </c>
      <c r="S61" s="1"/>
      <c r="T61" s="1">
        <f>SUM(OSRRefT22_3x_0)</f>
        <v>0</v>
      </c>
      <c r="U61" s="1"/>
      <c r="V61" s="5">
        <f t="shared" si="33"/>
        <v>0</v>
      </c>
      <c r="W61" s="1"/>
      <c r="X61" s="1">
        <f t="shared" si="34"/>
        <v>0</v>
      </c>
      <c r="Y61" s="1"/>
      <c r="Z61" s="5">
        <f t="shared" si="35"/>
        <v>0</v>
      </c>
    </row>
    <row r="62" spans="1:26" s="24" customFormat="1" hidden="1" outlineLevel="2" x14ac:dyDescent="0.3">
      <c r="A62" s="29"/>
      <c r="B62" s="11" t="str">
        <f>CONCATENATE("          ", "6272", " - ", "CASH (OVER/SHORT)")</f>
        <v xml:space="preserve">          6272 - CASH (OVER/SHORT)</v>
      </c>
      <c r="C62" s="11"/>
      <c r="D62" s="8"/>
      <c r="E62" s="3"/>
      <c r="F62" s="7">
        <f t="shared" si="28"/>
        <v>0</v>
      </c>
      <c r="G62" s="3"/>
      <c r="H62" s="8">
        <v>0</v>
      </c>
      <c r="I62" s="3"/>
      <c r="J62" s="7">
        <f t="shared" si="29"/>
        <v>0</v>
      </c>
      <c r="K62" s="3"/>
      <c r="L62" s="8">
        <f t="shared" si="30"/>
        <v>0</v>
      </c>
      <c r="M62" s="3"/>
      <c r="N62" s="7">
        <f t="shared" si="31"/>
        <v>0</v>
      </c>
      <c r="O62" s="11"/>
      <c r="P62" s="8"/>
      <c r="Q62" s="3"/>
      <c r="R62" s="7">
        <f t="shared" si="32"/>
        <v>0</v>
      </c>
      <c r="S62" s="3"/>
      <c r="T62" s="8">
        <v>0</v>
      </c>
      <c r="U62" s="3"/>
      <c r="V62" s="7">
        <f t="shared" si="33"/>
        <v>0</v>
      </c>
      <c r="W62" s="3"/>
      <c r="X62" s="8">
        <f t="shared" si="34"/>
        <v>0</v>
      </c>
      <c r="Y62" s="3"/>
      <c r="Z62" s="7">
        <f t="shared" si="35"/>
        <v>0</v>
      </c>
    </row>
    <row r="63" spans="1:26" s="27" customFormat="1" outlineLevel="1" collapsed="1" x14ac:dyDescent="0.3">
      <c r="A63" s="28"/>
      <c r="B63" s="14" t="str">
        <f>CONCATENATE("     ","Bank/card Fees                                    ")</f>
        <v xml:space="preserve">     Bank/card Fees                                    </v>
      </c>
      <c r="C63" s="14"/>
      <c r="D63" s="1">
        <f>SUM(OSRRefD22_4x_0)</f>
        <v>0</v>
      </c>
      <c r="E63" s="1"/>
      <c r="F63" s="5">
        <f t="shared" si="28"/>
        <v>0</v>
      </c>
      <c r="G63" s="1"/>
      <c r="H63" s="1">
        <f>SUM(OSRRefH22_4x_0)</f>
        <v>0</v>
      </c>
      <c r="I63" s="1"/>
      <c r="J63" s="5">
        <f t="shared" si="29"/>
        <v>0</v>
      </c>
      <c r="K63" s="1"/>
      <c r="L63" s="1">
        <f t="shared" si="30"/>
        <v>0</v>
      </c>
      <c r="M63" s="1"/>
      <c r="N63" s="5">
        <f t="shared" si="31"/>
        <v>0</v>
      </c>
      <c r="O63" s="14"/>
      <c r="P63" s="1">
        <f>SUM(OSRRefP22_4x_0)</f>
        <v>0</v>
      </c>
      <c r="Q63" s="1"/>
      <c r="R63" s="5">
        <f t="shared" si="32"/>
        <v>0</v>
      </c>
      <c r="S63" s="1"/>
      <c r="T63" s="1">
        <f>SUM(OSRRefT22_4x_0)</f>
        <v>0</v>
      </c>
      <c r="U63" s="1"/>
      <c r="V63" s="5">
        <f t="shared" si="33"/>
        <v>0</v>
      </c>
      <c r="W63" s="1"/>
      <c r="X63" s="1">
        <f t="shared" si="34"/>
        <v>0</v>
      </c>
      <c r="Y63" s="1"/>
      <c r="Z63" s="5">
        <f t="shared" si="35"/>
        <v>0</v>
      </c>
    </row>
    <row r="64" spans="1:26" s="24" customFormat="1" hidden="1" outlineLevel="2" x14ac:dyDescent="0.3">
      <c r="A64" s="29"/>
      <c r="B64" s="11" t="str">
        <f>CONCATENATE("          ", "6381", " - ", "BANK/CREDIT CARD FEES")</f>
        <v xml:space="preserve">          6381 - BANK/CREDIT CARD FEES</v>
      </c>
      <c r="C64" s="11"/>
      <c r="D64" s="8"/>
      <c r="E64" s="3"/>
      <c r="F64" s="7">
        <f t="shared" si="28"/>
        <v>0</v>
      </c>
      <c r="G64" s="3"/>
      <c r="H64" s="8">
        <v>0</v>
      </c>
      <c r="I64" s="3"/>
      <c r="J64" s="7">
        <f t="shared" si="29"/>
        <v>0</v>
      </c>
      <c r="K64" s="3"/>
      <c r="L64" s="8">
        <f t="shared" si="30"/>
        <v>0</v>
      </c>
      <c r="M64" s="3"/>
      <c r="N64" s="7">
        <f t="shared" si="31"/>
        <v>0</v>
      </c>
      <c r="O64" s="11"/>
      <c r="P64" s="8"/>
      <c r="Q64" s="3"/>
      <c r="R64" s="7">
        <f t="shared" si="32"/>
        <v>0</v>
      </c>
      <c r="S64" s="3"/>
      <c r="T64" s="8">
        <v>0</v>
      </c>
      <c r="U64" s="3"/>
      <c r="V64" s="7">
        <f t="shared" si="33"/>
        <v>0</v>
      </c>
      <c r="W64" s="3"/>
      <c r="X64" s="8">
        <f t="shared" si="34"/>
        <v>0</v>
      </c>
      <c r="Y64" s="3"/>
      <c r="Z64" s="7">
        <f t="shared" si="35"/>
        <v>0</v>
      </c>
    </row>
    <row r="65" spans="1:26" s="27" customFormat="1" outlineLevel="1" collapsed="1" x14ac:dyDescent="0.3">
      <c r="A65" s="28"/>
      <c r="B65" s="14" t="str">
        <f>CONCATENATE("     ","Employees' Appreciation                           ")</f>
        <v xml:space="preserve">     Employees' Appreciation                           </v>
      </c>
      <c r="C65" s="14"/>
      <c r="D65" s="1">
        <f>SUM(OSRRefD22_5x_0)</f>
        <v>216.44</v>
      </c>
      <c r="E65" s="1"/>
      <c r="F65" s="5">
        <f t="shared" si="28"/>
        <v>1.7449107240823237E-3</v>
      </c>
      <c r="G65" s="1"/>
      <c r="H65" s="1">
        <f>SUM(OSRRefH22_5x_0)</f>
        <v>50</v>
      </c>
      <c r="I65" s="1"/>
      <c r="J65" s="5">
        <f t="shared" si="29"/>
        <v>2.3981965561897453E-4</v>
      </c>
      <c r="K65" s="1"/>
      <c r="L65" s="1">
        <f t="shared" si="30"/>
        <v>166.44</v>
      </c>
      <c r="M65" s="1"/>
      <c r="N65" s="5">
        <f t="shared" si="31"/>
        <v>3.3287999999999998</v>
      </c>
      <c r="O65" s="14"/>
      <c r="P65" s="1">
        <f>SUM(OSRRefP22_5x_0)</f>
        <v>216.44</v>
      </c>
      <c r="Q65" s="1"/>
      <c r="R65" s="5">
        <f t="shared" si="32"/>
        <v>1.7449107240823237E-3</v>
      </c>
      <c r="S65" s="1"/>
      <c r="T65" s="1">
        <f>SUM(OSRRefT22_5x_0)</f>
        <v>50</v>
      </c>
      <c r="U65" s="1"/>
      <c r="V65" s="5">
        <f t="shared" si="33"/>
        <v>2.3981965561897453E-4</v>
      </c>
      <c r="W65" s="1"/>
      <c r="X65" s="1">
        <f t="shared" si="34"/>
        <v>166.44</v>
      </c>
      <c r="Y65" s="1"/>
      <c r="Z65" s="5">
        <f t="shared" si="35"/>
        <v>3.3287999999999998</v>
      </c>
    </row>
    <row r="66" spans="1:26" s="24" customFormat="1" hidden="1" outlineLevel="2" x14ac:dyDescent="0.3">
      <c r="A66" s="29"/>
      <c r="B66" s="11" t="str">
        <f>CONCATENATE("          ", "6277", " - ", "EMPLOYEE APPRECIATION")</f>
        <v xml:space="preserve">          6277 - EMPLOYEE APPRECIATION</v>
      </c>
      <c r="C66" s="11"/>
      <c r="D66" s="8">
        <v>216.44</v>
      </c>
      <c r="E66" s="3"/>
      <c r="F66" s="7">
        <f t="shared" si="28"/>
        <v>1.7449107240823237E-3</v>
      </c>
      <c r="G66" s="3"/>
      <c r="H66" s="8">
        <v>50</v>
      </c>
      <c r="I66" s="3"/>
      <c r="J66" s="7">
        <f t="shared" si="29"/>
        <v>2.3981965561897453E-4</v>
      </c>
      <c r="K66" s="3"/>
      <c r="L66" s="8">
        <f t="shared" si="30"/>
        <v>166.44</v>
      </c>
      <c r="M66" s="3"/>
      <c r="N66" s="7">
        <f t="shared" si="31"/>
        <v>3.3287999999999998</v>
      </c>
      <c r="O66" s="11"/>
      <c r="P66" s="8">
        <v>216.44</v>
      </c>
      <c r="Q66" s="3"/>
      <c r="R66" s="7">
        <f t="shared" si="32"/>
        <v>1.7449107240823237E-3</v>
      </c>
      <c r="S66" s="3"/>
      <c r="T66" s="8">
        <v>50</v>
      </c>
      <c r="U66" s="3"/>
      <c r="V66" s="7">
        <f t="shared" si="33"/>
        <v>2.3981965561897453E-4</v>
      </c>
      <c r="W66" s="3"/>
      <c r="X66" s="8">
        <f t="shared" si="34"/>
        <v>166.44</v>
      </c>
      <c r="Y66" s="3"/>
      <c r="Z66" s="7">
        <f t="shared" si="35"/>
        <v>3.3287999999999998</v>
      </c>
    </row>
    <row r="67" spans="1:26" s="27" customFormat="1" outlineLevel="1" collapsed="1" x14ac:dyDescent="0.3">
      <c r="A67" s="28"/>
      <c r="B67" s="14" t="str">
        <f>CONCATENATE("     ","Freight out/Postage                               ")</f>
        <v xml:space="preserve">     Freight out/Postage                               </v>
      </c>
      <c r="C67" s="14"/>
      <c r="D67" s="1">
        <f>SUM(OSRRefD22_6x_0)</f>
        <v>857.13</v>
      </c>
      <c r="E67" s="1"/>
      <c r="F67" s="5">
        <f t="shared" si="28"/>
        <v>6.9100689749246073E-3</v>
      </c>
      <c r="G67" s="1"/>
      <c r="H67" s="1">
        <f>SUM(OSRRefH22_6x_0)</f>
        <v>50</v>
      </c>
      <c r="I67" s="1"/>
      <c r="J67" s="5">
        <f t="shared" si="29"/>
        <v>2.3981965561897453E-4</v>
      </c>
      <c r="K67" s="1"/>
      <c r="L67" s="1">
        <f t="shared" si="30"/>
        <v>807.13</v>
      </c>
      <c r="M67" s="1"/>
      <c r="N67" s="5">
        <f t="shared" si="31"/>
        <v>16.142600000000002</v>
      </c>
      <c r="O67" s="14"/>
      <c r="P67" s="1">
        <f>SUM(OSRRefP22_6x_0)</f>
        <v>857.13</v>
      </c>
      <c r="Q67" s="1"/>
      <c r="R67" s="5">
        <f t="shared" si="32"/>
        <v>6.9100689749246073E-3</v>
      </c>
      <c r="S67" s="1"/>
      <c r="T67" s="1">
        <f>SUM(OSRRefT22_6x_0)</f>
        <v>50</v>
      </c>
      <c r="U67" s="1"/>
      <c r="V67" s="5">
        <f t="shared" si="33"/>
        <v>2.3981965561897453E-4</v>
      </c>
      <c r="W67" s="1"/>
      <c r="X67" s="1">
        <f t="shared" si="34"/>
        <v>807.13</v>
      </c>
      <c r="Y67" s="1"/>
      <c r="Z67" s="5">
        <f t="shared" si="35"/>
        <v>16.142600000000002</v>
      </c>
    </row>
    <row r="68" spans="1:26" s="24" customFormat="1" hidden="1" outlineLevel="2" x14ac:dyDescent="0.3">
      <c r="A68" s="29"/>
      <c r="B68" s="11" t="str">
        <f>CONCATENATE("          ", "6305", " - ", "FREIGHT OUT")</f>
        <v xml:space="preserve">          6305 - FREIGHT OUT</v>
      </c>
      <c r="C68" s="11"/>
      <c r="D68" s="8">
        <v>845.71</v>
      </c>
      <c r="E68" s="3"/>
      <c r="F68" s="7">
        <f t="shared" si="28"/>
        <v>6.8180024416173626E-3</v>
      </c>
      <c r="G68" s="3"/>
      <c r="H68" s="8">
        <v>50</v>
      </c>
      <c r="I68" s="3"/>
      <c r="J68" s="7">
        <f t="shared" si="29"/>
        <v>2.3981965561897453E-4</v>
      </c>
      <c r="K68" s="3"/>
      <c r="L68" s="8">
        <f t="shared" si="30"/>
        <v>795.71</v>
      </c>
      <c r="M68" s="3"/>
      <c r="N68" s="7">
        <f t="shared" si="31"/>
        <v>15.914200000000001</v>
      </c>
      <c r="O68" s="11"/>
      <c r="P68" s="8">
        <v>845.71</v>
      </c>
      <c r="Q68" s="3"/>
      <c r="R68" s="7">
        <f t="shared" si="32"/>
        <v>6.8180024416173626E-3</v>
      </c>
      <c r="S68" s="3"/>
      <c r="T68" s="8">
        <v>50</v>
      </c>
      <c r="U68" s="3"/>
      <c r="V68" s="7">
        <f t="shared" si="33"/>
        <v>2.3981965561897453E-4</v>
      </c>
      <c r="W68" s="3"/>
      <c r="X68" s="8">
        <f t="shared" si="34"/>
        <v>795.71</v>
      </c>
      <c r="Y68" s="3"/>
      <c r="Z68" s="7">
        <f t="shared" si="35"/>
        <v>15.914200000000001</v>
      </c>
    </row>
    <row r="69" spans="1:26" s="24" customFormat="1" hidden="1" outlineLevel="2" x14ac:dyDescent="0.3">
      <c r="A69" s="29"/>
      <c r="B69" s="11" t="str">
        <f>CONCATENATE("          ", "6307", " - ", "POSTAGE")</f>
        <v xml:space="preserve">          6307 - POSTAGE</v>
      </c>
      <c r="C69" s="11"/>
      <c r="D69" s="8">
        <v>11.42</v>
      </c>
      <c r="E69" s="3"/>
      <c r="F69" s="7">
        <f t="shared" si="28"/>
        <v>9.2066533307245136E-5</v>
      </c>
      <c r="G69" s="3"/>
      <c r="H69" s="8"/>
      <c r="I69" s="3"/>
      <c r="J69" s="7">
        <f t="shared" si="29"/>
        <v>0</v>
      </c>
      <c r="K69" s="3"/>
      <c r="L69" s="8">
        <f t="shared" si="30"/>
        <v>11.42</v>
      </c>
      <c r="M69" s="3"/>
      <c r="N69" s="7">
        <f t="shared" si="31"/>
        <v>0</v>
      </c>
      <c r="O69" s="11"/>
      <c r="P69" s="8">
        <v>11.42</v>
      </c>
      <c r="Q69" s="3"/>
      <c r="R69" s="7">
        <f t="shared" si="32"/>
        <v>9.2066533307245136E-5</v>
      </c>
      <c r="S69" s="3"/>
      <c r="T69" s="8"/>
      <c r="U69" s="3"/>
      <c r="V69" s="7">
        <f t="shared" si="33"/>
        <v>0</v>
      </c>
      <c r="W69" s="3"/>
      <c r="X69" s="8">
        <f t="shared" si="34"/>
        <v>11.42</v>
      </c>
      <c r="Y69" s="3"/>
      <c r="Z69" s="7">
        <f t="shared" si="35"/>
        <v>0</v>
      </c>
    </row>
    <row r="70" spans="1:26" s="27" customFormat="1" outlineLevel="1" collapsed="1" x14ac:dyDescent="0.3">
      <c r="A70" s="28"/>
      <c r="B70" s="14" t="str">
        <f>CONCATENATE("     ","General                                           ")</f>
        <v xml:space="preserve">     General                                           </v>
      </c>
      <c r="C70" s="14"/>
      <c r="D70" s="1">
        <f>SUM(OSRRefD22_7x_0)</f>
        <v>0</v>
      </c>
      <c r="E70" s="1"/>
      <c r="F70" s="5">
        <f t="shared" ref="F70:F81" si="36">IF(D$12=0,0,D70/D$12)</f>
        <v>0</v>
      </c>
      <c r="G70" s="1"/>
      <c r="H70" s="1">
        <f>SUM(OSRRefH22_7x_0)</f>
        <v>0</v>
      </c>
      <c r="I70" s="1"/>
      <c r="J70" s="5">
        <f t="shared" ref="J70:J81" si="37">IF(H$12=0,0,H70/H$12)</f>
        <v>0</v>
      </c>
      <c r="K70" s="1"/>
      <c r="L70" s="1">
        <f t="shared" ref="L70:L81" si="38">+D70-H70</f>
        <v>0</v>
      </c>
      <c r="M70" s="1"/>
      <c r="N70" s="5">
        <f t="shared" ref="N70:N81" si="39">IF(H70=0,0,L70/H70)</f>
        <v>0</v>
      </c>
      <c r="O70" s="14"/>
      <c r="P70" s="1">
        <f>SUM(OSRRefP22_7x_0)</f>
        <v>0</v>
      </c>
      <c r="Q70" s="1"/>
      <c r="R70" s="5">
        <f t="shared" ref="R70:R81" si="40">IF(P$12=0,0,P70/P$12)</f>
        <v>0</v>
      </c>
      <c r="S70" s="1"/>
      <c r="T70" s="1">
        <f>SUM(OSRRefT22_7x_0)</f>
        <v>0</v>
      </c>
      <c r="U70" s="1"/>
      <c r="V70" s="5">
        <f t="shared" ref="V70:V81" si="41">IF(T$12=0,0,T70/T$12)</f>
        <v>0</v>
      </c>
      <c r="W70" s="1"/>
      <c r="X70" s="1">
        <f t="shared" ref="X70:X81" si="42">+P70-T70</f>
        <v>0</v>
      </c>
      <c r="Y70" s="1"/>
      <c r="Z70" s="5">
        <f t="shared" ref="Z70:Z81" si="43">IF(T70=0,0,X70/T70)</f>
        <v>0</v>
      </c>
    </row>
    <row r="71" spans="1:26" s="24" customFormat="1" hidden="1" outlineLevel="2" x14ac:dyDescent="0.3">
      <c r="A71" s="29"/>
      <c r="B71" s="11" t="str">
        <f>CONCATENATE("          ", "6279", " - ", "GENERAL EXPENSE")</f>
        <v xml:space="preserve">          6279 - GENERAL EXPENSE</v>
      </c>
      <c r="C71" s="11"/>
      <c r="D71" s="8"/>
      <c r="E71" s="3"/>
      <c r="F71" s="7">
        <f t="shared" si="36"/>
        <v>0</v>
      </c>
      <c r="G71" s="3"/>
      <c r="H71" s="8">
        <v>0</v>
      </c>
      <c r="I71" s="3"/>
      <c r="J71" s="7">
        <f t="shared" si="37"/>
        <v>0</v>
      </c>
      <c r="K71" s="3"/>
      <c r="L71" s="8">
        <f t="shared" si="38"/>
        <v>0</v>
      </c>
      <c r="M71" s="3"/>
      <c r="N71" s="7">
        <f t="shared" si="39"/>
        <v>0</v>
      </c>
      <c r="O71" s="11"/>
      <c r="P71" s="8"/>
      <c r="Q71" s="3"/>
      <c r="R71" s="7">
        <f t="shared" si="40"/>
        <v>0</v>
      </c>
      <c r="S71" s="3"/>
      <c r="T71" s="8">
        <v>0</v>
      </c>
      <c r="U71" s="3"/>
      <c r="V71" s="7">
        <f t="shared" si="41"/>
        <v>0</v>
      </c>
      <c r="W71" s="3"/>
      <c r="X71" s="8">
        <f t="shared" si="42"/>
        <v>0</v>
      </c>
      <c r="Y71" s="3"/>
      <c r="Z71" s="7">
        <f t="shared" si="43"/>
        <v>0</v>
      </c>
    </row>
    <row r="72" spans="1:26" s="27" customFormat="1" outlineLevel="1" collapsed="1" x14ac:dyDescent="0.3">
      <c r="A72" s="28"/>
      <c r="B72" s="14" t="str">
        <f>CONCATENATE("     ","Inventory Adjustment                              ")</f>
        <v xml:space="preserve">     Inventory Adjustment                              </v>
      </c>
      <c r="C72" s="14"/>
      <c r="D72" s="1">
        <f>SUM(OSRRefD22_8x_0)</f>
        <v>3350</v>
      </c>
      <c r="E72" s="1"/>
      <c r="F72" s="5">
        <f t="shared" si="36"/>
        <v>2.700725801920063E-2</v>
      </c>
      <c r="G72" s="1"/>
      <c r="H72" s="1">
        <f>SUM(OSRRefH22_8x_0)</f>
        <v>3350</v>
      </c>
      <c r="I72" s="1"/>
      <c r="J72" s="5">
        <f t="shared" si="37"/>
        <v>1.6067916926471294E-2</v>
      </c>
      <c r="K72" s="1"/>
      <c r="L72" s="1">
        <f t="shared" si="38"/>
        <v>0</v>
      </c>
      <c r="M72" s="1"/>
      <c r="N72" s="5">
        <f t="shared" si="39"/>
        <v>0</v>
      </c>
      <c r="O72" s="14"/>
      <c r="P72" s="1">
        <f>SUM(OSRRefP22_8x_0)</f>
        <v>3350</v>
      </c>
      <c r="Q72" s="1"/>
      <c r="R72" s="5">
        <f t="shared" si="40"/>
        <v>2.700725801920063E-2</v>
      </c>
      <c r="S72" s="1"/>
      <c r="T72" s="1">
        <f>SUM(OSRRefT22_8x_0)</f>
        <v>3350</v>
      </c>
      <c r="U72" s="1"/>
      <c r="V72" s="5">
        <f t="shared" si="41"/>
        <v>1.6067916926471294E-2</v>
      </c>
      <c r="W72" s="1"/>
      <c r="X72" s="1">
        <f t="shared" si="42"/>
        <v>0</v>
      </c>
      <c r="Y72" s="1"/>
      <c r="Z72" s="5">
        <f t="shared" si="43"/>
        <v>0</v>
      </c>
    </row>
    <row r="73" spans="1:26" s="24" customFormat="1" hidden="1" outlineLevel="2" x14ac:dyDescent="0.3">
      <c r="A73" s="29"/>
      <c r="B73" s="11" t="str">
        <f>CONCATENATE("          ", "6408", " - ", "INVENTORY ADJUSTMENT")</f>
        <v xml:space="preserve">          6408 - INVENTORY ADJUSTMENT</v>
      </c>
      <c r="C73" s="11"/>
      <c r="D73" s="8">
        <v>3350</v>
      </c>
      <c r="E73" s="3"/>
      <c r="F73" s="7">
        <f t="shared" si="36"/>
        <v>2.700725801920063E-2</v>
      </c>
      <c r="G73" s="3"/>
      <c r="H73" s="8">
        <v>3350</v>
      </c>
      <c r="I73" s="3"/>
      <c r="J73" s="7">
        <f t="shared" si="37"/>
        <v>1.6067916926471294E-2</v>
      </c>
      <c r="K73" s="3"/>
      <c r="L73" s="8">
        <f t="shared" si="38"/>
        <v>0</v>
      </c>
      <c r="M73" s="3"/>
      <c r="N73" s="7">
        <f t="shared" si="39"/>
        <v>0</v>
      </c>
      <c r="O73" s="11"/>
      <c r="P73" s="8">
        <v>3350</v>
      </c>
      <c r="Q73" s="3"/>
      <c r="R73" s="7">
        <f t="shared" si="40"/>
        <v>2.700725801920063E-2</v>
      </c>
      <c r="S73" s="3"/>
      <c r="T73" s="8">
        <v>3350</v>
      </c>
      <c r="U73" s="3"/>
      <c r="V73" s="7">
        <f t="shared" si="41"/>
        <v>1.6067916926471294E-2</v>
      </c>
      <c r="W73" s="3"/>
      <c r="X73" s="8">
        <f t="shared" si="42"/>
        <v>0</v>
      </c>
      <c r="Y73" s="3"/>
      <c r="Z73" s="7">
        <f t="shared" si="43"/>
        <v>0</v>
      </c>
    </row>
    <row r="74" spans="1:26" s="27" customFormat="1" outlineLevel="1" collapsed="1" x14ac:dyDescent="0.3">
      <c r="A74" s="28"/>
      <c r="B74" s="14" t="str">
        <f>CONCATENATE("     ","Professional Services                             ")</f>
        <v xml:space="preserve">     Professional Services                             </v>
      </c>
      <c r="C74" s="14"/>
      <c r="D74" s="1">
        <f>SUM(OSRRefD22_9x_0)</f>
        <v>0</v>
      </c>
      <c r="E74" s="1"/>
      <c r="F74" s="5">
        <f t="shared" si="36"/>
        <v>0</v>
      </c>
      <c r="G74" s="1"/>
      <c r="H74" s="1">
        <f>SUM(OSRRefH22_9x_0)</f>
        <v>250</v>
      </c>
      <c r="I74" s="1"/>
      <c r="J74" s="5">
        <f t="shared" si="37"/>
        <v>1.1990982780948727E-3</v>
      </c>
      <c r="K74" s="1"/>
      <c r="L74" s="1">
        <f t="shared" si="38"/>
        <v>-250</v>
      </c>
      <c r="M74" s="1"/>
      <c r="N74" s="5">
        <f t="shared" si="39"/>
        <v>-1</v>
      </c>
      <c r="O74" s="14"/>
      <c r="P74" s="1">
        <f>SUM(OSRRefP22_9x_0)</f>
        <v>0</v>
      </c>
      <c r="Q74" s="1"/>
      <c r="R74" s="5">
        <f t="shared" si="40"/>
        <v>0</v>
      </c>
      <c r="S74" s="1"/>
      <c r="T74" s="1">
        <f>SUM(OSRRefT22_9x_0)</f>
        <v>250</v>
      </c>
      <c r="U74" s="1"/>
      <c r="V74" s="5">
        <f t="shared" si="41"/>
        <v>1.1990982780948727E-3</v>
      </c>
      <c r="W74" s="1"/>
      <c r="X74" s="1">
        <f t="shared" si="42"/>
        <v>-250</v>
      </c>
      <c r="Y74" s="1"/>
      <c r="Z74" s="5">
        <f t="shared" si="43"/>
        <v>-1</v>
      </c>
    </row>
    <row r="75" spans="1:26" s="24" customFormat="1" hidden="1" outlineLevel="2" x14ac:dyDescent="0.3">
      <c r="A75" s="29"/>
      <c r="B75" s="11" t="str">
        <f>CONCATENATE("          ", "6336", " - ", "PROFESSIONAL SERVICES")</f>
        <v xml:space="preserve">          6336 - PROFESSIONAL SERVICES</v>
      </c>
      <c r="C75" s="11"/>
      <c r="D75" s="8"/>
      <c r="E75" s="3"/>
      <c r="F75" s="7">
        <f t="shared" si="36"/>
        <v>0</v>
      </c>
      <c r="G75" s="3"/>
      <c r="H75" s="8">
        <v>250</v>
      </c>
      <c r="I75" s="3"/>
      <c r="J75" s="7">
        <f t="shared" si="37"/>
        <v>1.1990982780948727E-3</v>
      </c>
      <c r="K75" s="3"/>
      <c r="L75" s="8">
        <f t="shared" si="38"/>
        <v>-250</v>
      </c>
      <c r="M75" s="3"/>
      <c r="N75" s="7">
        <f t="shared" si="39"/>
        <v>-1</v>
      </c>
      <c r="O75" s="11"/>
      <c r="P75" s="8"/>
      <c r="Q75" s="3"/>
      <c r="R75" s="7">
        <f t="shared" si="40"/>
        <v>0</v>
      </c>
      <c r="S75" s="3"/>
      <c r="T75" s="8">
        <v>250</v>
      </c>
      <c r="U75" s="3"/>
      <c r="V75" s="7">
        <f t="shared" si="41"/>
        <v>1.1990982780948727E-3</v>
      </c>
      <c r="W75" s="3"/>
      <c r="X75" s="8">
        <f t="shared" si="42"/>
        <v>-250</v>
      </c>
      <c r="Y75" s="3"/>
      <c r="Z75" s="7">
        <f t="shared" si="43"/>
        <v>-1</v>
      </c>
    </row>
    <row r="76" spans="1:26" s="27" customFormat="1" outlineLevel="1" collapsed="1" x14ac:dyDescent="0.3">
      <c r="A76" s="28"/>
      <c r="B76" s="14" t="str">
        <f>CONCATENATE("     ","Repair and Maintenance                            ")</f>
        <v xml:space="preserve">     Repair and Maintenance                            </v>
      </c>
      <c r="C76" s="14"/>
      <c r="D76" s="1">
        <f>SUM(OSRRefD22_10x_0)</f>
        <v>0</v>
      </c>
      <c r="E76" s="1"/>
      <c r="F76" s="5">
        <f t="shared" si="36"/>
        <v>0</v>
      </c>
      <c r="G76" s="1"/>
      <c r="H76" s="1">
        <f>SUM(OSRRefH22_10x_0)</f>
        <v>0</v>
      </c>
      <c r="I76" s="1"/>
      <c r="J76" s="5">
        <f t="shared" si="37"/>
        <v>0</v>
      </c>
      <c r="K76" s="1"/>
      <c r="L76" s="1">
        <f t="shared" si="38"/>
        <v>0</v>
      </c>
      <c r="M76" s="1"/>
      <c r="N76" s="5">
        <f t="shared" si="39"/>
        <v>0</v>
      </c>
      <c r="O76" s="14"/>
      <c r="P76" s="1">
        <f>SUM(OSRRefP22_10x_0)</f>
        <v>0</v>
      </c>
      <c r="Q76" s="1"/>
      <c r="R76" s="5">
        <f t="shared" si="40"/>
        <v>0</v>
      </c>
      <c r="S76" s="1"/>
      <c r="T76" s="1">
        <f>SUM(OSRRefT22_10x_0)</f>
        <v>0</v>
      </c>
      <c r="U76" s="1"/>
      <c r="V76" s="5">
        <f t="shared" si="41"/>
        <v>0</v>
      </c>
      <c r="W76" s="1"/>
      <c r="X76" s="1">
        <f t="shared" si="42"/>
        <v>0</v>
      </c>
      <c r="Y76" s="1"/>
      <c r="Z76" s="5">
        <f t="shared" si="43"/>
        <v>0</v>
      </c>
    </row>
    <row r="77" spans="1:26" s="24" customFormat="1" hidden="1" outlineLevel="2" x14ac:dyDescent="0.3">
      <c r="A77" s="29"/>
      <c r="B77" s="11" t="str">
        <f>CONCATENATE("          ", "6375", " - ", "OUTSIDE REPAIRS &amp; MAINTENANCE")</f>
        <v xml:space="preserve">          6375 - OUTSIDE REPAIRS &amp; MAINTENANCE</v>
      </c>
      <c r="C77" s="11"/>
      <c r="D77" s="8"/>
      <c r="E77" s="3"/>
      <c r="F77" s="7">
        <f t="shared" si="36"/>
        <v>0</v>
      </c>
      <c r="G77" s="3"/>
      <c r="H77" s="8">
        <v>0</v>
      </c>
      <c r="I77" s="3"/>
      <c r="J77" s="7">
        <f t="shared" si="37"/>
        <v>0</v>
      </c>
      <c r="K77" s="3"/>
      <c r="L77" s="8">
        <f t="shared" si="38"/>
        <v>0</v>
      </c>
      <c r="M77" s="3"/>
      <c r="N77" s="7">
        <f t="shared" si="39"/>
        <v>0</v>
      </c>
      <c r="O77" s="11"/>
      <c r="P77" s="8"/>
      <c r="Q77" s="3"/>
      <c r="R77" s="7">
        <f t="shared" si="40"/>
        <v>0</v>
      </c>
      <c r="S77" s="3"/>
      <c r="T77" s="8">
        <v>0</v>
      </c>
      <c r="U77" s="3"/>
      <c r="V77" s="7">
        <f t="shared" si="41"/>
        <v>0</v>
      </c>
      <c r="W77" s="3"/>
      <c r="X77" s="8">
        <f t="shared" si="42"/>
        <v>0</v>
      </c>
      <c r="Y77" s="3"/>
      <c r="Z77" s="7">
        <f t="shared" si="43"/>
        <v>0</v>
      </c>
    </row>
    <row r="78" spans="1:26" s="27" customFormat="1" outlineLevel="1" collapsed="1" x14ac:dyDescent="0.3">
      <c r="A78" s="28"/>
      <c r="B78" s="14" t="str">
        <f>CONCATENATE("     ","Royalty &amp; Commissions                             ")</f>
        <v xml:space="preserve">     Royalty &amp; Commissions                             </v>
      </c>
      <c r="C78" s="14"/>
      <c r="D78" s="1">
        <f>SUM(OSRRefD22_11x_0)</f>
        <v>7349.0400000000009</v>
      </c>
      <c r="E78" s="1"/>
      <c r="F78" s="5">
        <f t="shared" si="36"/>
        <v>5.9246990887589918E-2</v>
      </c>
      <c r="G78" s="1"/>
      <c r="H78" s="1">
        <f>SUM(OSRRefH22_11x_0)</f>
        <v>6514</v>
      </c>
      <c r="I78" s="1"/>
      <c r="J78" s="5">
        <f t="shared" si="37"/>
        <v>3.1243704734040003E-2</v>
      </c>
      <c r="K78" s="1"/>
      <c r="L78" s="1">
        <f t="shared" si="38"/>
        <v>835.04000000000087</v>
      </c>
      <c r="M78" s="1"/>
      <c r="N78" s="5">
        <f t="shared" si="39"/>
        <v>0.12819158735032252</v>
      </c>
      <c r="O78" s="14"/>
      <c r="P78" s="1">
        <f>SUM(OSRRefP22_11x_0)</f>
        <v>7349.0400000000009</v>
      </c>
      <c r="Q78" s="1"/>
      <c r="R78" s="5">
        <f t="shared" si="40"/>
        <v>5.9246990887589918E-2</v>
      </c>
      <c r="S78" s="1"/>
      <c r="T78" s="1">
        <f>SUM(OSRRefT22_11x_0)</f>
        <v>6514</v>
      </c>
      <c r="U78" s="1"/>
      <c r="V78" s="5">
        <f t="shared" si="41"/>
        <v>3.1243704734040003E-2</v>
      </c>
      <c r="W78" s="1"/>
      <c r="X78" s="1">
        <f t="shared" si="42"/>
        <v>835.04000000000087</v>
      </c>
      <c r="Y78" s="1"/>
      <c r="Z78" s="5">
        <f t="shared" si="43"/>
        <v>0.12819158735032252</v>
      </c>
    </row>
    <row r="79" spans="1:26" s="24" customFormat="1" hidden="1" outlineLevel="2" x14ac:dyDescent="0.3">
      <c r="A79" s="29"/>
      <c r="B79" s="11" t="str">
        <f>CONCATENATE("          ", "6252", " - ", "ROYALTY DUE CSTV")</f>
        <v xml:space="preserve">          6252 - ROYALTY DUE CSTV</v>
      </c>
      <c r="C79" s="11"/>
      <c r="D79" s="8"/>
      <c r="E79" s="3"/>
      <c r="F79" s="7">
        <f t="shared" si="36"/>
        <v>0</v>
      </c>
      <c r="G79" s="3"/>
      <c r="H79" s="8">
        <v>842</v>
      </c>
      <c r="I79" s="3"/>
      <c r="J79" s="7">
        <f t="shared" si="37"/>
        <v>4.038563000623531E-3</v>
      </c>
      <c r="K79" s="3"/>
      <c r="L79" s="8">
        <f t="shared" si="38"/>
        <v>-842</v>
      </c>
      <c r="M79" s="3"/>
      <c r="N79" s="7">
        <f t="shared" si="39"/>
        <v>-1</v>
      </c>
      <c r="O79" s="11"/>
      <c r="P79" s="8"/>
      <c r="Q79" s="3"/>
      <c r="R79" s="7">
        <f t="shared" si="40"/>
        <v>0</v>
      </c>
      <c r="S79" s="3"/>
      <c r="T79" s="8">
        <v>842</v>
      </c>
      <c r="U79" s="3"/>
      <c r="V79" s="7">
        <f t="shared" si="41"/>
        <v>4.038563000623531E-3</v>
      </c>
      <c r="W79" s="3"/>
      <c r="X79" s="8">
        <f t="shared" si="42"/>
        <v>-842</v>
      </c>
      <c r="Y79" s="3"/>
      <c r="Z79" s="7">
        <f t="shared" si="43"/>
        <v>-1</v>
      </c>
    </row>
    <row r="80" spans="1:26" s="24" customFormat="1" hidden="1" outlineLevel="2" x14ac:dyDescent="0.3">
      <c r="A80" s="29"/>
      <c r="B80" s="11" t="str">
        <f>CONCATENATE("          ", "6253", " - ", "ROYALTY DUE ATHLETICS-LRG")</f>
        <v xml:space="preserve">          6253 - ROYALTY DUE ATHLETICS-LRG</v>
      </c>
      <c r="C80" s="11"/>
      <c r="D80" s="8">
        <v>14376.54</v>
      </c>
      <c r="E80" s="3"/>
      <c r="F80" s="7">
        <f t="shared" si="36"/>
        <v>0.11590176871742049</v>
      </c>
      <c r="G80" s="3"/>
      <c r="H80" s="8">
        <v>5672</v>
      </c>
      <c r="I80" s="3"/>
      <c r="J80" s="7">
        <f t="shared" si="37"/>
        <v>2.7205141733416472E-2</v>
      </c>
      <c r="K80" s="3"/>
      <c r="L80" s="8">
        <f t="shared" si="38"/>
        <v>8704.5400000000009</v>
      </c>
      <c r="M80" s="3"/>
      <c r="N80" s="7">
        <f t="shared" si="39"/>
        <v>1.5346509167842033</v>
      </c>
      <c r="O80" s="11"/>
      <c r="P80" s="8">
        <v>14376.54</v>
      </c>
      <c r="Q80" s="3"/>
      <c r="R80" s="7">
        <f t="shared" si="40"/>
        <v>0.11590176871742049</v>
      </c>
      <c r="S80" s="3"/>
      <c r="T80" s="8">
        <v>5672</v>
      </c>
      <c r="U80" s="3"/>
      <c r="V80" s="7">
        <f t="shared" si="41"/>
        <v>2.7205141733416472E-2</v>
      </c>
      <c r="W80" s="3"/>
      <c r="X80" s="8">
        <f t="shared" si="42"/>
        <v>8704.5400000000009</v>
      </c>
      <c r="Y80" s="3"/>
      <c r="Z80" s="7">
        <f t="shared" si="43"/>
        <v>1.5346509167842033</v>
      </c>
    </row>
    <row r="81" spans="1:26" s="24" customFormat="1" hidden="1" outlineLevel="2" x14ac:dyDescent="0.3">
      <c r="A81" s="29"/>
      <c r="B81" s="11" t="str">
        <f>CONCATENATE("          ", "6254", " - ", "ROYALTY &amp; COMMISSIONS")</f>
        <v xml:space="preserve">          6254 - ROYALTY &amp; COMMISSIONS</v>
      </c>
      <c r="C81" s="11"/>
      <c r="D81" s="8">
        <v>-7027.5</v>
      </c>
      <c r="E81" s="3"/>
      <c r="F81" s="7">
        <f t="shared" si="36"/>
        <v>-5.6654777829830576E-2</v>
      </c>
      <c r="G81" s="3"/>
      <c r="H81" s="8">
        <v>0</v>
      </c>
      <c r="I81" s="3"/>
      <c r="J81" s="7">
        <f t="shared" si="37"/>
        <v>0</v>
      </c>
      <c r="K81" s="3"/>
      <c r="L81" s="8">
        <f t="shared" si="38"/>
        <v>-7027.5</v>
      </c>
      <c r="M81" s="3"/>
      <c r="N81" s="7">
        <f t="shared" si="39"/>
        <v>0</v>
      </c>
      <c r="O81" s="11"/>
      <c r="P81" s="8">
        <v>-7027.5</v>
      </c>
      <c r="Q81" s="3"/>
      <c r="R81" s="7">
        <f t="shared" si="40"/>
        <v>-5.6654777829830576E-2</v>
      </c>
      <c r="S81" s="3"/>
      <c r="T81" s="8">
        <v>0</v>
      </c>
      <c r="U81" s="3"/>
      <c r="V81" s="7">
        <f t="shared" si="41"/>
        <v>0</v>
      </c>
      <c r="W81" s="3"/>
      <c r="X81" s="8">
        <f t="shared" si="42"/>
        <v>-7027.5</v>
      </c>
      <c r="Y81" s="3"/>
      <c r="Z81" s="7">
        <f t="shared" si="43"/>
        <v>0</v>
      </c>
    </row>
    <row r="82" spans="1:26" s="27" customFormat="1" outlineLevel="1" collapsed="1" x14ac:dyDescent="0.3">
      <c r="A82" s="28"/>
      <c r="B82" s="14" t="str">
        <f>CONCATENATE("     ","Subscriptions &amp; Dues                              ")</f>
        <v xml:space="preserve">     Subscriptions &amp; Dues                              </v>
      </c>
      <c r="C82" s="14"/>
      <c r="D82" s="1">
        <f>SUM(OSRRefD22_12x_0)</f>
        <v>0</v>
      </c>
      <c r="E82" s="1"/>
      <c r="F82" s="5">
        <f t="shared" ref="F82:F84" si="44">IF(D$12=0,0,D82/D$12)</f>
        <v>0</v>
      </c>
      <c r="G82" s="1"/>
      <c r="H82" s="1">
        <f>SUM(OSRRefH22_12x_0)</f>
        <v>1000</v>
      </c>
      <c r="I82" s="1"/>
      <c r="J82" s="5">
        <f t="shared" ref="J82:J84" si="45">IF(H$12=0,0,H82/H$12)</f>
        <v>4.7963931123794906E-3</v>
      </c>
      <c r="K82" s="1"/>
      <c r="L82" s="1">
        <f t="shared" ref="L82:L84" si="46">+D82-H82</f>
        <v>-1000</v>
      </c>
      <c r="M82" s="1"/>
      <c r="N82" s="5">
        <f t="shared" ref="N82:N84" si="47">IF(H82=0,0,L82/H82)</f>
        <v>-1</v>
      </c>
      <c r="O82" s="14"/>
      <c r="P82" s="1">
        <f>SUM(OSRRefP22_12x_0)</f>
        <v>0</v>
      </c>
      <c r="Q82" s="1"/>
      <c r="R82" s="5">
        <f t="shared" ref="R82:R84" si="48">IF(P$12=0,0,P82/P$12)</f>
        <v>0</v>
      </c>
      <c r="S82" s="1"/>
      <c r="T82" s="1">
        <f>SUM(OSRRefT22_12x_0)</f>
        <v>1000</v>
      </c>
      <c r="U82" s="1"/>
      <c r="V82" s="5">
        <f t="shared" ref="V82:V84" si="49">IF(T$12=0,0,T82/T$12)</f>
        <v>4.7963931123794906E-3</v>
      </c>
      <c r="W82" s="1"/>
      <c r="X82" s="1">
        <f t="shared" ref="X82:X84" si="50">+P82-T82</f>
        <v>-1000</v>
      </c>
      <c r="Y82" s="1"/>
      <c r="Z82" s="5">
        <f t="shared" ref="Z82:Z84" si="51">IF(T82=0,0,X82/T82)</f>
        <v>-1</v>
      </c>
    </row>
    <row r="83" spans="1:26" s="24" customFormat="1" hidden="1" outlineLevel="2" x14ac:dyDescent="0.3">
      <c r="A83" s="29"/>
      <c r="B83" s="11" t="str">
        <f>CONCATENATE("          ", "6258", " - ", "MEMBERSHIP DUES")</f>
        <v xml:space="preserve">          6258 - MEMBERSHIP DUES</v>
      </c>
      <c r="C83" s="11"/>
      <c r="D83" s="8"/>
      <c r="E83" s="3"/>
      <c r="F83" s="7">
        <f t="shared" si="44"/>
        <v>0</v>
      </c>
      <c r="G83" s="3"/>
      <c r="H83" s="8">
        <v>1000</v>
      </c>
      <c r="I83" s="3"/>
      <c r="J83" s="7">
        <f t="shared" si="45"/>
        <v>4.7963931123794906E-3</v>
      </c>
      <c r="K83" s="3"/>
      <c r="L83" s="8">
        <f t="shared" si="46"/>
        <v>-1000</v>
      </c>
      <c r="M83" s="3"/>
      <c r="N83" s="7">
        <f t="shared" si="47"/>
        <v>-1</v>
      </c>
      <c r="O83" s="11"/>
      <c r="P83" s="8"/>
      <c r="Q83" s="3"/>
      <c r="R83" s="7">
        <f t="shared" si="48"/>
        <v>0</v>
      </c>
      <c r="S83" s="3"/>
      <c r="T83" s="8">
        <v>1000</v>
      </c>
      <c r="U83" s="3"/>
      <c r="V83" s="7">
        <f t="shared" si="49"/>
        <v>4.7963931123794906E-3</v>
      </c>
      <c r="W83" s="3"/>
      <c r="X83" s="8">
        <f t="shared" si="50"/>
        <v>-1000</v>
      </c>
      <c r="Y83" s="3"/>
      <c r="Z83" s="7">
        <f t="shared" si="51"/>
        <v>-1</v>
      </c>
    </row>
    <row r="84" spans="1:26" s="24" customFormat="1" hidden="1" outlineLevel="2" x14ac:dyDescent="0.3">
      <c r="A84" s="29"/>
      <c r="B84" s="11" t="str">
        <f>CONCATENATE("          ", "6275", " - ", "SUBSCRIPTIONS")</f>
        <v xml:space="preserve">          6275 - SUBSCRIPTIONS</v>
      </c>
      <c r="C84" s="11"/>
      <c r="D84" s="8"/>
      <c r="E84" s="3"/>
      <c r="F84" s="7">
        <f t="shared" si="44"/>
        <v>0</v>
      </c>
      <c r="G84" s="3"/>
      <c r="H84" s="8">
        <v>0</v>
      </c>
      <c r="I84" s="3"/>
      <c r="J84" s="7">
        <f t="shared" si="45"/>
        <v>0</v>
      </c>
      <c r="K84" s="3"/>
      <c r="L84" s="8">
        <f t="shared" si="46"/>
        <v>0</v>
      </c>
      <c r="M84" s="3"/>
      <c r="N84" s="7">
        <f t="shared" si="47"/>
        <v>0</v>
      </c>
      <c r="O84" s="11"/>
      <c r="P84" s="8"/>
      <c r="Q84" s="3"/>
      <c r="R84" s="7">
        <f t="shared" si="48"/>
        <v>0</v>
      </c>
      <c r="S84" s="3"/>
      <c r="T84" s="8">
        <v>0</v>
      </c>
      <c r="U84" s="3"/>
      <c r="V84" s="7">
        <f t="shared" si="49"/>
        <v>0</v>
      </c>
      <c r="W84" s="3"/>
      <c r="X84" s="8">
        <f t="shared" si="50"/>
        <v>0</v>
      </c>
      <c r="Y84" s="3"/>
      <c r="Z84" s="7">
        <f t="shared" si="51"/>
        <v>0</v>
      </c>
    </row>
    <row r="85" spans="1:26" s="27" customFormat="1" outlineLevel="1" collapsed="1" x14ac:dyDescent="0.3">
      <c r="A85" s="28"/>
      <c r="B85" s="14" t="str">
        <f>CONCATENATE("     ","Supplies                                          ")</f>
        <v xml:space="preserve">     Supplies                                          </v>
      </c>
      <c r="C85" s="14"/>
      <c r="D85" s="1">
        <f>SUM(OSRRefD22_13x_0)</f>
        <v>2351.0099999999998</v>
      </c>
      <c r="E85" s="1"/>
      <c r="F85" s="5">
        <f t="shared" ref="F85:F88" si="52">IF(D$12=0,0,D85/D$12)</f>
        <v>1.895353244051369E-2</v>
      </c>
      <c r="G85" s="1"/>
      <c r="H85" s="1">
        <f>SUM(OSRRefH22_13x_0)</f>
        <v>75</v>
      </c>
      <c r="I85" s="1"/>
      <c r="J85" s="5">
        <f t="shared" ref="J85:J88" si="53">IF(H$12=0,0,H85/H$12)</f>
        <v>3.597294834284618E-4</v>
      </c>
      <c r="K85" s="1"/>
      <c r="L85" s="1">
        <f t="shared" ref="L85:L88" si="54">+D85-H85</f>
        <v>2276.0099999999998</v>
      </c>
      <c r="M85" s="1"/>
      <c r="N85" s="5">
        <f t="shared" ref="N85:N88" si="55">IF(H85=0,0,L85/H85)</f>
        <v>30.346799999999998</v>
      </c>
      <c r="O85" s="14"/>
      <c r="P85" s="1">
        <f>SUM(OSRRefP22_13x_0)</f>
        <v>2351.0099999999998</v>
      </c>
      <c r="Q85" s="1"/>
      <c r="R85" s="5">
        <f t="shared" ref="R85:R88" si="56">IF(P$12=0,0,P85/P$12)</f>
        <v>1.895353244051369E-2</v>
      </c>
      <c r="S85" s="1"/>
      <c r="T85" s="1">
        <f>SUM(OSRRefT22_13x_0)</f>
        <v>75</v>
      </c>
      <c r="U85" s="1"/>
      <c r="V85" s="5">
        <f t="shared" ref="V85:V88" si="57">IF(T$12=0,0,T85/T$12)</f>
        <v>3.597294834284618E-4</v>
      </c>
      <c r="W85" s="1"/>
      <c r="X85" s="1">
        <f t="shared" ref="X85:X88" si="58">+P85-T85</f>
        <v>2276.0099999999998</v>
      </c>
      <c r="Y85" s="1"/>
      <c r="Z85" s="5">
        <f t="shared" ref="Z85:Z88" si="59">IF(T85=0,0,X85/T85)</f>
        <v>30.346799999999998</v>
      </c>
    </row>
    <row r="86" spans="1:26" s="24" customFormat="1" hidden="1" outlineLevel="2" x14ac:dyDescent="0.3">
      <c r="A86" s="29"/>
      <c r="B86" s="11" t="str">
        <f>CONCATENATE("          ", "6235", " - ", "COVID-19 EXPENSES")</f>
        <v xml:space="preserve">          6235 - COVID-19 EXPENSES</v>
      </c>
      <c r="C86" s="11"/>
      <c r="D86" s="8"/>
      <c r="E86" s="3"/>
      <c r="F86" s="7">
        <f t="shared" si="52"/>
        <v>0</v>
      </c>
      <c r="G86" s="3"/>
      <c r="H86" s="8">
        <v>0</v>
      </c>
      <c r="I86" s="3"/>
      <c r="J86" s="7">
        <f t="shared" si="53"/>
        <v>0</v>
      </c>
      <c r="K86" s="3"/>
      <c r="L86" s="8">
        <f t="shared" si="54"/>
        <v>0</v>
      </c>
      <c r="M86" s="3"/>
      <c r="N86" s="7">
        <f t="shared" si="55"/>
        <v>0</v>
      </c>
      <c r="O86" s="11"/>
      <c r="P86" s="8"/>
      <c r="Q86" s="3"/>
      <c r="R86" s="7">
        <f t="shared" si="56"/>
        <v>0</v>
      </c>
      <c r="S86" s="3"/>
      <c r="T86" s="8">
        <v>0</v>
      </c>
      <c r="U86" s="3"/>
      <c r="V86" s="7">
        <f t="shared" si="57"/>
        <v>0</v>
      </c>
      <c r="W86" s="3"/>
      <c r="X86" s="8">
        <f t="shared" si="58"/>
        <v>0</v>
      </c>
      <c r="Y86" s="3"/>
      <c r="Z86" s="7">
        <f t="shared" si="59"/>
        <v>0</v>
      </c>
    </row>
    <row r="87" spans="1:26" s="24" customFormat="1" hidden="1" outlineLevel="2" x14ac:dyDescent="0.3">
      <c r="A87" s="29"/>
      <c r="B87" s="11" t="str">
        <f>CONCATENATE("          ", "6241", " - ", "OFFICE EXPENSE")</f>
        <v xml:space="preserve">          6241 - OFFICE EXPENSE</v>
      </c>
      <c r="C87" s="11"/>
      <c r="D87" s="8">
        <v>124.89</v>
      </c>
      <c r="E87" s="3"/>
      <c r="F87" s="7">
        <f t="shared" si="52"/>
        <v>1.0068467026919303E-3</v>
      </c>
      <c r="G87" s="3"/>
      <c r="H87" s="8">
        <v>25</v>
      </c>
      <c r="I87" s="3"/>
      <c r="J87" s="7">
        <f t="shared" si="53"/>
        <v>1.1990982780948727E-4</v>
      </c>
      <c r="K87" s="3"/>
      <c r="L87" s="8">
        <f t="shared" si="54"/>
        <v>99.89</v>
      </c>
      <c r="M87" s="3"/>
      <c r="N87" s="7">
        <f t="shared" si="55"/>
        <v>3.9956</v>
      </c>
      <c r="O87" s="11"/>
      <c r="P87" s="8">
        <v>124.89</v>
      </c>
      <c r="Q87" s="3"/>
      <c r="R87" s="7">
        <f t="shared" si="56"/>
        <v>1.0068467026919303E-3</v>
      </c>
      <c r="S87" s="3"/>
      <c r="T87" s="8">
        <v>25</v>
      </c>
      <c r="U87" s="3"/>
      <c r="V87" s="7">
        <f t="shared" si="57"/>
        <v>1.1990982780948727E-4</v>
      </c>
      <c r="W87" s="3"/>
      <c r="X87" s="8">
        <f t="shared" si="58"/>
        <v>99.89</v>
      </c>
      <c r="Y87" s="3"/>
      <c r="Z87" s="7">
        <f t="shared" si="59"/>
        <v>3.9956</v>
      </c>
    </row>
    <row r="88" spans="1:26" s="24" customFormat="1" hidden="1" outlineLevel="2" x14ac:dyDescent="0.3">
      <c r="A88" s="29"/>
      <c r="B88" s="11" t="str">
        <f>CONCATENATE("          ", "6247", " - ", "STORE SUPPLIES")</f>
        <v xml:space="preserve">          6247 - STORE SUPPLIES</v>
      </c>
      <c r="C88" s="11"/>
      <c r="D88" s="8">
        <v>2226.12</v>
      </c>
      <c r="E88" s="3"/>
      <c r="F88" s="7">
        <f t="shared" si="52"/>
        <v>1.7946685737821762E-2</v>
      </c>
      <c r="G88" s="3"/>
      <c r="H88" s="8">
        <v>50</v>
      </c>
      <c r="I88" s="3"/>
      <c r="J88" s="7">
        <f t="shared" si="53"/>
        <v>2.3981965561897453E-4</v>
      </c>
      <c r="K88" s="3"/>
      <c r="L88" s="8">
        <f t="shared" si="54"/>
        <v>2176.12</v>
      </c>
      <c r="M88" s="3"/>
      <c r="N88" s="7">
        <f t="shared" si="55"/>
        <v>43.522399999999998</v>
      </c>
      <c r="O88" s="11"/>
      <c r="P88" s="8">
        <v>2226.12</v>
      </c>
      <c r="Q88" s="3"/>
      <c r="R88" s="7">
        <f t="shared" si="56"/>
        <v>1.7946685737821762E-2</v>
      </c>
      <c r="S88" s="3"/>
      <c r="T88" s="8">
        <v>50</v>
      </c>
      <c r="U88" s="3"/>
      <c r="V88" s="7">
        <f t="shared" si="57"/>
        <v>2.3981965561897453E-4</v>
      </c>
      <c r="W88" s="3"/>
      <c r="X88" s="8">
        <f t="shared" si="58"/>
        <v>2176.12</v>
      </c>
      <c r="Y88" s="3"/>
      <c r="Z88" s="7">
        <f t="shared" si="59"/>
        <v>43.522399999999998</v>
      </c>
    </row>
    <row r="89" spans="1:26" s="27" customFormat="1" outlineLevel="1" collapsed="1" x14ac:dyDescent="0.3">
      <c r="A89" s="28"/>
      <c r="B89" s="14" t="str">
        <f>CONCATENATE("     ","Telephone/Data Lines                              ")</f>
        <v xml:space="preserve">     Telephone/Data Lines                              </v>
      </c>
      <c r="C89" s="14"/>
      <c r="D89" s="1">
        <f>SUM(OSRRefD22_14x_0)</f>
        <v>-125.95</v>
      </c>
      <c r="E89" s="1"/>
      <c r="F89" s="5">
        <f t="shared" ref="F89:F92" si="60">IF(D$12=0,0,D89/D$12)</f>
        <v>-1.0153922828412894E-3</v>
      </c>
      <c r="G89" s="1"/>
      <c r="H89" s="1">
        <f>SUM(OSRRefH22_14x_0)</f>
        <v>300</v>
      </c>
      <c r="I89" s="1"/>
      <c r="J89" s="5">
        <f t="shared" ref="J89:J92" si="61">IF(H$12=0,0,H89/H$12)</f>
        <v>1.4389179337138472E-3</v>
      </c>
      <c r="K89" s="1"/>
      <c r="L89" s="1">
        <f t="shared" ref="L89:L92" si="62">+D89-H89</f>
        <v>-425.95</v>
      </c>
      <c r="M89" s="1"/>
      <c r="N89" s="5">
        <f t="shared" ref="N89:N92" si="63">IF(H89=0,0,L89/H89)</f>
        <v>-1.4198333333333333</v>
      </c>
      <c r="O89" s="14"/>
      <c r="P89" s="1">
        <f>SUM(OSRRefP22_14x_0)</f>
        <v>-125.95</v>
      </c>
      <c r="Q89" s="1"/>
      <c r="R89" s="5">
        <f t="shared" ref="R89:R92" si="64">IF(P$12=0,0,P89/P$12)</f>
        <v>-1.0153922828412894E-3</v>
      </c>
      <c r="S89" s="1"/>
      <c r="T89" s="1">
        <f>SUM(OSRRefT22_14x_0)</f>
        <v>300</v>
      </c>
      <c r="U89" s="1"/>
      <c r="V89" s="5">
        <f t="shared" ref="V89:V92" si="65">IF(T$12=0,0,T89/T$12)</f>
        <v>1.4389179337138472E-3</v>
      </c>
      <c r="W89" s="1"/>
      <c r="X89" s="1">
        <f t="shared" ref="X89:X92" si="66">+P89-T89</f>
        <v>-425.95</v>
      </c>
      <c r="Y89" s="1"/>
      <c r="Z89" s="5">
        <f t="shared" ref="Z89:Z92" si="67">IF(T89=0,0,X89/T89)</f>
        <v>-1.4198333333333333</v>
      </c>
    </row>
    <row r="90" spans="1:26" s="24" customFormat="1" hidden="1" outlineLevel="2" x14ac:dyDescent="0.3">
      <c r="A90" s="29"/>
      <c r="B90" s="11" t="str">
        <f>CONCATENATE("          ", "6309", " - ", "TELEPHONE")</f>
        <v xml:space="preserve">          6309 - TELEPHONE</v>
      </c>
      <c r="C90" s="11"/>
      <c r="D90" s="8">
        <v>-125.95</v>
      </c>
      <c r="E90" s="3"/>
      <c r="F90" s="7">
        <f t="shared" si="60"/>
        <v>-1.0153922828412894E-3</v>
      </c>
      <c r="G90" s="3"/>
      <c r="H90" s="8">
        <v>300</v>
      </c>
      <c r="I90" s="3"/>
      <c r="J90" s="7">
        <f t="shared" si="61"/>
        <v>1.4389179337138472E-3</v>
      </c>
      <c r="K90" s="3"/>
      <c r="L90" s="8">
        <f t="shared" si="62"/>
        <v>-425.95</v>
      </c>
      <c r="M90" s="3"/>
      <c r="N90" s="7">
        <f t="shared" si="63"/>
        <v>-1.4198333333333333</v>
      </c>
      <c r="O90" s="11"/>
      <c r="P90" s="8">
        <v>-125.95</v>
      </c>
      <c r="Q90" s="3"/>
      <c r="R90" s="7">
        <f t="shared" si="64"/>
        <v>-1.0153922828412894E-3</v>
      </c>
      <c r="S90" s="3"/>
      <c r="T90" s="8">
        <v>300</v>
      </c>
      <c r="U90" s="3"/>
      <c r="V90" s="7">
        <f t="shared" si="65"/>
        <v>1.4389179337138472E-3</v>
      </c>
      <c r="W90" s="3"/>
      <c r="X90" s="8">
        <f t="shared" si="66"/>
        <v>-425.95</v>
      </c>
      <c r="Y90" s="3"/>
      <c r="Z90" s="7">
        <f t="shared" si="67"/>
        <v>-1.4198333333333333</v>
      </c>
    </row>
    <row r="91" spans="1:26" s="27" customFormat="1" outlineLevel="1" collapsed="1" x14ac:dyDescent="0.3">
      <c r="A91" s="28"/>
      <c r="B91" s="14" t="str">
        <f>CONCATENATE("     ","Travel                                            ")</f>
        <v xml:space="preserve">     Travel                                            </v>
      </c>
      <c r="C91" s="14"/>
      <c r="D91" s="1">
        <f>SUM(OSRRefD22_15x_0)</f>
        <v>40.32</v>
      </c>
      <c r="E91" s="1"/>
      <c r="F91" s="5">
        <f t="shared" si="60"/>
        <v>3.250545203982595E-4</v>
      </c>
      <c r="G91" s="1"/>
      <c r="H91" s="1">
        <f>SUM(OSRRefH22_15x_0)</f>
        <v>25</v>
      </c>
      <c r="I91" s="1"/>
      <c r="J91" s="5">
        <f t="shared" si="61"/>
        <v>1.1990982780948727E-4</v>
      </c>
      <c r="K91" s="1"/>
      <c r="L91" s="1">
        <f t="shared" si="62"/>
        <v>15.32</v>
      </c>
      <c r="M91" s="1"/>
      <c r="N91" s="5">
        <f t="shared" si="63"/>
        <v>0.61280000000000001</v>
      </c>
      <c r="O91" s="14"/>
      <c r="P91" s="1">
        <f>SUM(OSRRefP22_15x_0)</f>
        <v>40.32</v>
      </c>
      <c r="Q91" s="1"/>
      <c r="R91" s="5">
        <f t="shared" si="64"/>
        <v>3.250545203982595E-4</v>
      </c>
      <c r="S91" s="1"/>
      <c r="T91" s="1">
        <f>SUM(OSRRefT22_15x_0)</f>
        <v>25</v>
      </c>
      <c r="U91" s="1"/>
      <c r="V91" s="5">
        <f t="shared" si="65"/>
        <v>1.1990982780948727E-4</v>
      </c>
      <c r="W91" s="1"/>
      <c r="X91" s="1">
        <f t="shared" si="66"/>
        <v>15.32</v>
      </c>
      <c r="Y91" s="1"/>
      <c r="Z91" s="5">
        <f t="shared" si="67"/>
        <v>0.61280000000000001</v>
      </c>
    </row>
    <row r="92" spans="1:26" s="24" customFormat="1" hidden="1" outlineLevel="2" x14ac:dyDescent="0.3">
      <c r="A92" s="29"/>
      <c r="B92" s="11" t="str">
        <f>CONCATENATE("          ", "6294", " - ", "TRAVEL OPERATIONAL")</f>
        <v xml:space="preserve">          6294 - TRAVEL OPERATIONAL</v>
      </c>
      <c r="C92" s="11"/>
      <c r="D92" s="8">
        <v>40.32</v>
      </c>
      <c r="E92" s="3"/>
      <c r="F92" s="7">
        <f t="shared" si="60"/>
        <v>3.250545203982595E-4</v>
      </c>
      <c r="G92" s="3"/>
      <c r="H92" s="8">
        <v>25</v>
      </c>
      <c r="I92" s="3"/>
      <c r="J92" s="7">
        <f t="shared" si="61"/>
        <v>1.1990982780948727E-4</v>
      </c>
      <c r="K92" s="3"/>
      <c r="L92" s="8">
        <f t="shared" si="62"/>
        <v>15.32</v>
      </c>
      <c r="M92" s="3"/>
      <c r="N92" s="7">
        <f t="shared" si="63"/>
        <v>0.61280000000000001</v>
      </c>
      <c r="O92" s="11"/>
      <c r="P92" s="8">
        <v>40.32</v>
      </c>
      <c r="Q92" s="3"/>
      <c r="R92" s="7">
        <f t="shared" si="64"/>
        <v>3.250545203982595E-4</v>
      </c>
      <c r="S92" s="3"/>
      <c r="T92" s="8">
        <v>25</v>
      </c>
      <c r="U92" s="3"/>
      <c r="V92" s="7">
        <f t="shared" si="65"/>
        <v>1.1990982780948727E-4</v>
      </c>
      <c r="W92" s="3"/>
      <c r="X92" s="8">
        <f t="shared" si="66"/>
        <v>15.32</v>
      </c>
      <c r="Y92" s="3"/>
      <c r="Z92" s="7">
        <f t="shared" si="67"/>
        <v>0.61280000000000001</v>
      </c>
    </row>
    <row r="93" spans="1:26" s="62" customFormat="1" x14ac:dyDescent="0.3">
      <c r="A93" s="36"/>
      <c r="B93" s="36"/>
      <c r="C93" s="36"/>
      <c r="D93" s="1"/>
      <c r="E93" s="1"/>
      <c r="F93" s="5"/>
      <c r="G93" s="1"/>
      <c r="H93" s="1"/>
      <c r="I93" s="1"/>
      <c r="J93" s="5"/>
      <c r="K93" s="1"/>
      <c r="L93" s="1"/>
      <c r="M93" s="1"/>
      <c r="N93" s="5"/>
      <c r="O93" s="36"/>
      <c r="P93" s="1"/>
      <c r="Q93" s="1"/>
      <c r="R93" s="5"/>
      <c r="S93" s="1"/>
      <c r="T93" s="1"/>
      <c r="U93" s="1"/>
      <c r="V93" s="5"/>
      <c r="W93" s="1"/>
      <c r="X93" s="1"/>
      <c r="Y93" s="1"/>
      <c r="Z93" s="5"/>
    </row>
    <row r="94" spans="1:26" s="23" customFormat="1" collapsed="1" x14ac:dyDescent="0.3">
      <c r="A94" s="10"/>
      <c r="B94" s="25" t="s">
        <v>293</v>
      </c>
      <c r="C94" s="10"/>
      <c r="D94" s="4">
        <f>SUM(OSRRefD25x_0)</f>
        <v>35082.020000000004</v>
      </c>
      <c r="E94" s="4"/>
      <c r="F94" s="12">
        <f t="shared" ref="F94:F97" si="68">IF(D$12=0,0,D94/D$12)</f>
        <v>0.28282661670888271</v>
      </c>
      <c r="G94" s="4"/>
      <c r="H94" s="4">
        <f>SUM(OSRRefH25x_0)</f>
        <v>11344</v>
      </c>
      <c r="I94" s="4"/>
      <c r="J94" s="12">
        <f t="shared" ref="J94:J97" si="69">IF(H$12=0,0,H94/H$12)</f>
        <v>5.4410283466832944E-2</v>
      </c>
      <c r="K94" s="4"/>
      <c r="L94" s="4">
        <f t="shared" ref="L94:L97" si="70">+D94-H94</f>
        <v>23738.020000000004</v>
      </c>
      <c r="M94" s="4"/>
      <c r="N94" s="12">
        <f t="shared" ref="N94:N97" si="71">IF(H94=0,0,L94/H94)</f>
        <v>2.0925617066290552</v>
      </c>
      <c r="O94" s="10"/>
      <c r="P94" s="4">
        <f>SUM(OSRRefP25x_0)</f>
        <v>35082.020000000004</v>
      </c>
      <c r="Q94" s="4"/>
      <c r="R94" s="12">
        <f t="shared" ref="R94:R97" si="72">IF(P$12=0,0,P94/P$12)</f>
        <v>0.28282661670888271</v>
      </c>
      <c r="S94" s="4"/>
      <c r="T94" s="4">
        <f>SUM(OSRRefT25x_0)</f>
        <v>11344</v>
      </c>
      <c r="U94" s="4"/>
      <c r="V94" s="12">
        <f t="shared" ref="V94:V97" si="73">IF(T$12=0,0,T94/T$12)</f>
        <v>5.4410283466832944E-2</v>
      </c>
      <c r="W94" s="4"/>
      <c r="X94" s="4">
        <f t="shared" ref="X94:X97" si="74">+P94-T94</f>
        <v>23738.020000000004</v>
      </c>
      <c r="Y94" s="4"/>
      <c r="Z94" s="12">
        <f t="shared" ref="Z94:Z97" si="75">IF(T94=0,0,X94/T94)</f>
        <v>2.0925617066290552</v>
      </c>
    </row>
    <row r="95" spans="1:26" s="24" customFormat="1" hidden="1" outlineLevel="1" x14ac:dyDescent="0.3">
      <c r="A95" s="44"/>
      <c r="B95" s="11" t="str">
        <f>CONCATENATE("          ", "9150", " - ", "MISC. INCOME")</f>
        <v xml:space="preserve">          9150 - MISC. INCOME</v>
      </c>
      <c r="C95" s="11"/>
      <c r="D95" s="3">
        <f>--28753.08</f>
        <v>28753.08</v>
      </c>
      <c r="E95" s="3"/>
      <c r="F95" s="19">
        <f t="shared" si="68"/>
        <v>0.23180353743484097</v>
      </c>
      <c r="G95" s="3"/>
      <c r="H95" s="3">
        <v>11344</v>
      </c>
      <c r="I95" s="3"/>
      <c r="J95" s="19">
        <f t="shared" si="69"/>
        <v>5.4410283466832944E-2</v>
      </c>
      <c r="K95" s="3"/>
      <c r="L95" s="3">
        <f t="shared" si="70"/>
        <v>17409.080000000002</v>
      </c>
      <c r="M95" s="3"/>
      <c r="N95" s="19">
        <f t="shared" si="71"/>
        <v>1.5346509167842033</v>
      </c>
      <c r="O95" s="11"/>
      <c r="P95" s="3">
        <f>--28753.08</f>
        <v>28753.08</v>
      </c>
      <c r="Q95" s="3"/>
      <c r="R95" s="19">
        <f t="shared" si="72"/>
        <v>0.23180353743484097</v>
      </c>
      <c r="S95" s="3"/>
      <c r="T95" s="3">
        <v>11344</v>
      </c>
      <c r="U95" s="3"/>
      <c r="V95" s="19">
        <f t="shared" si="73"/>
        <v>5.4410283466832944E-2</v>
      </c>
      <c r="W95" s="3"/>
      <c r="X95" s="3">
        <f t="shared" si="74"/>
        <v>17409.080000000002</v>
      </c>
      <c r="Y95" s="3"/>
      <c r="Z95" s="19">
        <f t="shared" si="75"/>
        <v>1.5346509167842033</v>
      </c>
    </row>
    <row r="96" spans="1:26" s="24" customFormat="1" hidden="1" outlineLevel="1" x14ac:dyDescent="0.3">
      <c r="A96" s="44"/>
      <c r="B96" s="11" t="str">
        <f>CONCATENATE("          ", "9160", " - ", "MISC. INCOME")</f>
        <v xml:space="preserve">          9160 - MISC. INCOME</v>
      </c>
      <c r="C96" s="11"/>
      <c r="D96" s="3">
        <f>0</f>
        <v>0</v>
      </c>
      <c r="E96" s="3"/>
      <c r="F96" s="19">
        <f t="shared" si="68"/>
        <v>0</v>
      </c>
      <c r="G96" s="3"/>
      <c r="H96" s="3">
        <v>0</v>
      </c>
      <c r="I96" s="3"/>
      <c r="J96" s="19">
        <f t="shared" si="69"/>
        <v>0</v>
      </c>
      <c r="K96" s="3"/>
      <c r="L96" s="3">
        <f t="shared" si="70"/>
        <v>0</v>
      </c>
      <c r="M96" s="3"/>
      <c r="N96" s="19">
        <f t="shared" si="71"/>
        <v>0</v>
      </c>
      <c r="O96" s="11"/>
      <c r="P96" s="3">
        <f>0</f>
        <v>0</v>
      </c>
      <c r="Q96" s="3"/>
      <c r="R96" s="19">
        <f t="shared" si="72"/>
        <v>0</v>
      </c>
      <c r="S96" s="3"/>
      <c r="T96" s="3">
        <v>0</v>
      </c>
      <c r="U96" s="3"/>
      <c r="V96" s="19">
        <f t="shared" si="73"/>
        <v>0</v>
      </c>
      <c r="W96" s="3"/>
      <c r="X96" s="3">
        <f t="shared" si="74"/>
        <v>0</v>
      </c>
      <c r="Y96" s="3"/>
      <c r="Z96" s="19">
        <f t="shared" si="75"/>
        <v>0</v>
      </c>
    </row>
    <row r="97" spans="1:26" s="24" customFormat="1" hidden="1" outlineLevel="1" x14ac:dyDescent="0.3">
      <c r="A97" s="44"/>
      <c r="B97" s="11" t="str">
        <f>CONCATENATE("          ", "9163", " - ", "MISC. INCOME")</f>
        <v xml:space="preserve">          9163 - MISC. INCOME</v>
      </c>
      <c r="C97" s="11"/>
      <c r="D97" s="3">
        <f>--6328.94</f>
        <v>6328.94</v>
      </c>
      <c r="E97" s="3"/>
      <c r="F97" s="19">
        <f t="shared" si="68"/>
        <v>5.1023079274041677E-2</v>
      </c>
      <c r="G97" s="3"/>
      <c r="H97" s="3"/>
      <c r="I97" s="3"/>
      <c r="J97" s="19">
        <f t="shared" si="69"/>
        <v>0</v>
      </c>
      <c r="K97" s="3"/>
      <c r="L97" s="3">
        <f t="shared" si="70"/>
        <v>6328.94</v>
      </c>
      <c r="M97" s="3"/>
      <c r="N97" s="19">
        <f t="shared" si="71"/>
        <v>0</v>
      </c>
      <c r="O97" s="11"/>
      <c r="P97" s="3">
        <f>--6328.94</f>
        <v>6328.94</v>
      </c>
      <c r="Q97" s="3"/>
      <c r="R97" s="19">
        <f t="shared" si="72"/>
        <v>5.1023079274041677E-2</v>
      </c>
      <c r="S97" s="3"/>
      <c r="T97" s="3"/>
      <c r="U97" s="3"/>
      <c r="V97" s="19">
        <f t="shared" si="73"/>
        <v>0</v>
      </c>
      <c r="W97" s="3"/>
      <c r="X97" s="3">
        <f t="shared" si="74"/>
        <v>6328.94</v>
      </c>
      <c r="Y97" s="3"/>
      <c r="Z97" s="19">
        <f t="shared" si="75"/>
        <v>0</v>
      </c>
    </row>
    <row r="98" spans="1:26" x14ac:dyDescent="0.3">
      <c r="A98" s="9"/>
      <c r="B98" s="10"/>
      <c r="C98" s="10"/>
      <c r="D98" s="2"/>
      <c r="E98" s="2"/>
      <c r="F98" s="6"/>
      <c r="G98" s="2"/>
      <c r="H98" s="2"/>
      <c r="I98" s="2"/>
      <c r="J98" s="6"/>
      <c r="K98" s="2"/>
      <c r="L98" s="2"/>
      <c r="M98" s="2"/>
      <c r="N98" s="6"/>
      <c r="O98" s="10"/>
      <c r="P98" s="2"/>
      <c r="Q98" s="2"/>
      <c r="R98" s="6"/>
      <c r="S98" s="2"/>
      <c r="T98" s="2"/>
      <c r="U98" s="2"/>
      <c r="V98" s="6"/>
      <c r="W98" s="2"/>
      <c r="X98" s="2"/>
      <c r="Y98" s="2"/>
      <c r="Z98" s="6"/>
    </row>
    <row r="99" spans="1:26" s="23" customFormat="1" x14ac:dyDescent="0.3">
      <c r="A99" s="10"/>
      <c r="B99" s="26" t="s">
        <v>277</v>
      </c>
      <c r="C99" s="26"/>
      <c r="D99" s="21">
        <f>+D35-D37+D94</f>
        <v>13094.379999999976</v>
      </c>
      <c r="E99" s="13"/>
      <c r="F99" s="22">
        <f>IF(D$12=0,0,D99/D$12)</f>
        <v>0.10556516395864468</v>
      </c>
      <c r="G99" s="13"/>
      <c r="H99" s="21">
        <f>+H35-H37+H94</f>
        <v>-4060.6771274038474</v>
      </c>
      <c r="I99" s="13"/>
      <c r="J99" s="22">
        <f>IF(H$12=0,0,H99/H$12)</f>
        <v>-1.947660380547675E-2</v>
      </c>
      <c r="K99" s="16"/>
      <c r="L99" s="21">
        <f>+D99-H99</f>
        <v>17155.057127403823</v>
      </c>
      <c r="M99" s="16"/>
      <c r="N99" s="22">
        <f>IF(H99=0,0,L99/H99)</f>
        <v>-4.224678936335855</v>
      </c>
      <c r="O99" s="25"/>
      <c r="P99" s="21">
        <f>+P35-P37+P94</f>
        <v>13094.379999999976</v>
      </c>
      <c r="Q99" s="13"/>
      <c r="R99" s="22">
        <f>IF(P$12=0,0,P99/P$12)</f>
        <v>0.10556516395864468</v>
      </c>
      <c r="S99" s="13"/>
      <c r="T99" s="21">
        <f>+T35-T37+T94</f>
        <v>-4060.6771274038474</v>
      </c>
      <c r="U99" s="13"/>
      <c r="V99" s="22">
        <f>IF(T$12=0,0,T99/T$12)</f>
        <v>-1.947660380547675E-2</v>
      </c>
      <c r="W99" s="16"/>
      <c r="X99" s="21">
        <f>+P99-T99</f>
        <v>17155.057127403823</v>
      </c>
      <c r="Y99" s="16"/>
      <c r="Z99" s="22">
        <f>IF(T99=0,0,X99/T99)</f>
        <v>-4.224678936335855</v>
      </c>
    </row>
    <row r="100" spans="1:26" x14ac:dyDescent="0.3">
      <c r="A100" s="9"/>
      <c r="B100" s="10"/>
      <c r="C100" s="9"/>
      <c r="D100" s="2"/>
      <c r="E100" s="2"/>
      <c r="F100" s="6"/>
      <c r="G100" s="2"/>
      <c r="H100" s="2"/>
      <c r="I100" s="2"/>
      <c r="J100" s="6"/>
      <c r="K100" s="2"/>
      <c r="L100" s="2"/>
      <c r="M100" s="2"/>
      <c r="N100" s="6"/>
      <c r="P100" s="2"/>
      <c r="Q100" s="2"/>
      <c r="R100" s="6"/>
      <c r="S100" s="2"/>
      <c r="T100" s="2"/>
      <c r="U100" s="2"/>
      <c r="V100" s="6"/>
      <c r="W100" s="2"/>
      <c r="X100" s="2"/>
      <c r="Y100" s="2"/>
      <c r="Z100" s="6"/>
    </row>
    <row r="101" spans="1:26" s="23" customFormat="1" x14ac:dyDescent="0.3">
      <c r="A101" s="52"/>
      <c r="B101" s="10" t="s">
        <v>128</v>
      </c>
      <c r="C101" s="10"/>
      <c r="D101" s="4">
        <v>57306.31</v>
      </c>
      <c r="E101" s="4"/>
      <c r="F101" s="12">
        <f>IF(D$12=0,0,D101/D$12)</f>
        <v>0.46199591053680511</v>
      </c>
      <c r="G101" s="4"/>
      <c r="H101" s="4">
        <v>75505</v>
      </c>
      <c r="I101" s="4"/>
      <c r="J101" s="12">
        <f>IF(H$12=0,0,H101/H$12)</f>
        <v>0.36215166195021342</v>
      </c>
      <c r="K101" s="4"/>
      <c r="L101" s="4">
        <f>+D101-H101</f>
        <v>-18198.690000000002</v>
      </c>
      <c r="M101" s="4"/>
      <c r="N101" s="12">
        <f>IF(H101=0,0,L101/H101)</f>
        <v>-0.24102628964969211</v>
      </c>
      <c r="O101" s="10"/>
      <c r="P101" s="4">
        <v>57306.31</v>
      </c>
      <c r="Q101" s="4"/>
      <c r="R101" s="12">
        <f>IF(P$12=0,0,P101/P$12)</f>
        <v>0.46199591053680511</v>
      </c>
      <c r="S101" s="4"/>
      <c r="T101" s="4">
        <v>75505</v>
      </c>
      <c r="U101" s="4"/>
      <c r="V101" s="12">
        <f>IF(T$12=0,0,T101/T$12)</f>
        <v>0.36215166195021342</v>
      </c>
      <c r="W101" s="4"/>
      <c r="X101" s="4">
        <f>+P101-T101</f>
        <v>-18198.690000000002</v>
      </c>
      <c r="Y101" s="4"/>
      <c r="Z101" s="12">
        <f>IF(T101=0,0,X101/T101)</f>
        <v>-0.24102628964969211</v>
      </c>
    </row>
    <row r="102" spans="1:26" x14ac:dyDescent="0.3">
      <c r="A102" s="9"/>
      <c r="B102" s="10"/>
      <c r="C102" s="10"/>
      <c r="D102" s="2"/>
      <c r="E102" s="2"/>
      <c r="F102" s="6"/>
      <c r="G102" s="2"/>
      <c r="H102" s="2"/>
      <c r="I102" s="2"/>
      <c r="J102" s="6"/>
      <c r="K102" s="2"/>
      <c r="L102" s="2"/>
      <c r="M102" s="2"/>
      <c r="N102" s="6"/>
      <c r="O102" s="10"/>
      <c r="P102" s="2"/>
      <c r="Q102" s="2"/>
      <c r="R102" s="6"/>
      <c r="S102" s="2"/>
      <c r="T102" s="2"/>
      <c r="U102" s="2"/>
      <c r="V102" s="6"/>
      <c r="W102" s="2"/>
      <c r="X102" s="2"/>
      <c r="Y102" s="2"/>
      <c r="Z102" s="6"/>
    </row>
    <row r="103" spans="1:26" s="23" customFormat="1" ht="15" thickBot="1" x14ac:dyDescent="0.35">
      <c r="A103" s="10"/>
      <c r="B103" s="26" t="s">
        <v>126</v>
      </c>
      <c r="C103" s="26"/>
      <c r="D103" s="35">
        <f>+D99-D101</f>
        <v>-44211.930000000022</v>
      </c>
      <c r="E103" s="13"/>
      <c r="F103" s="30">
        <f>IF(D$12=0,0,D103/D$12)</f>
        <v>-0.35643074657816043</v>
      </c>
      <c r="G103" s="13"/>
      <c r="H103" s="35">
        <f>+H99-H101</f>
        <v>-79565.677127403847</v>
      </c>
      <c r="I103" s="13"/>
      <c r="J103" s="30">
        <f>IF(H$12=0,0,H103/H$12)</f>
        <v>-0.3816282657556902</v>
      </c>
      <c r="K103" s="16"/>
      <c r="L103" s="35">
        <f>D103-H103</f>
        <v>35353.747127403825</v>
      </c>
      <c r="M103" s="16"/>
      <c r="N103" s="30">
        <f>IF(H103=0,0,L103/H103)</f>
        <v>-0.44433414512131841</v>
      </c>
      <c r="O103" s="25"/>
      <c r="P103" s="35">
        <f>+P99-P101</f>
        <v>-44211.930000000022</v>
      </c>
      <c r="Q103" s="13"/>
      <c r="R103" s="30">
        <f>IF(P$12=0,0,P103/P$12)</f>
        <v>-0.35643074657816043</v>
      </c>
      <c r="S103" s="13"/>
      <c r="T103" s="35">
        <f>+T99-T101</f>
        <v>-79565.677127403847</v>
      </c>
      <c r="U103" s="13"/>
      <c r="V103" s="30">
        <f>IF(T$12=0,0,T103/T$12)</f>
        <v>-0.3816282657556902</v>
      </c>
      <c r="W103" s="16"/>
      <c r="X103" s="35">
        <f>P103-T103</f>
        <v>35353.747127403825</v>
      </c>
      <c r="Y103" s="16"/>
      <c r="Z103" s="30">
        <f>IF(T103=0,0,X103/T103)</f>
        <v>-0.44433414512131841</v>
      </c>
    </row>
    <row r="104" spans="1:26" ht="15" thickTop="1" x14ac:dyDescent="0.3">
      <c r="A104" s="9"/>
      <c r="B104" s="9"/>
      <c r="C104" s="9"/>
      <c r="D104" s="2"/>
      <c r="E104" s="2"/>
      <c r="F104" s="6"/>
      <c r="G104" s="2"/>
      <c r="H104" s="2"/>
      <c r="I104" s="2"/>
      <c r="J104" s="6"/>
      <c r="K104" s="2"/>
      <c r="L104" s="2"/>
      <c r="M104" s="2"/>
      <c r="N104" s="6"/>
      <c r="P104" s="2"/>
      <c r="Q104" s="2"/>
      <c r="R104" s="6"/>
      <c r="S104" s="2"/>
      <c r="T104" s="2"/>
      <c r="U104" s="2"/>
      <c r="V104" s="6"/>
      <c r="W104" s="2"/>
      <c r="X104" s="2"/>
      <c r="Y104" s="2"/>
      <c r="Z104" s="6"/>
    </row>
    <row r="105" spans="1:26" x14ac:dyDescent="0.3">
      <c r="A105" s="9"/>
      <c r="B105" s="9"/>
      <c r="C105" s="9"/>
      <c r="D105" s="2"/>
      <c r="E105" s="2"/>
      <c r="F105" s="6"/>
      <c r="G105" s="2"/>
      <c r="H105" s="2"/>
      <c r="I105" s="2"/>
      <c r="J105" s="6"/>
      <c r="K105" s="2"/>
      <c r="L105" s="2"/>
      <c r="M105" s="2"/>
      <c r="N105" s="6"/>
      <c r="P105" s="2"/>
      <c r="Q105" s="2"/>
      <c r="R105" s="6"/>
      <c r="S105" s="2"/>
      <c r="T105" s="2"/>
      <c r="U105" s="2"/>
      <c r="V105" s="6"/>
      <c r="W105" s="2"/>
      <c r="X105" s="2"/>
      <c r="Y105" s="2"/>
      <c r="Z105" s="6"/>
    </row>
    <row r="106" spans="1:26" s="23" customFormat="1" ht="15" thickBot="1" x14ac:dyDescent="0.35">
      <c r="A106" s="10"/>
      <c r="B106" s="26" t="s">
        <v>294</v>
      </c>
      <c r="C106" s="26"/>
      <c r="D106" s="33">
        <f>SUM(D103:D105)</f>
        <v>-44211.930000000022</v>
      </c>
      <c r="E106" s="13"/>
      <c r="F106" s="31">
        <f>IF(D$12=0,0,D106/D$12)</f>
        <v>-0.35643074657816043</v>
      </c>
      <c r="G106" s="13"/>
      <c r="H106" s="33">
        <f>SUM(H103:H105)</f>
        <v>-79565.677127403847</v>
      </c>
      <c r="I106" s="13"/>
      <c r="J106" s="31">
        <f>IF(H$12=0,0,H106/H$12)</f>
        <v>-0.3816282657556902</v>
      </c>
      <c r="K106" s="16"/>
      <c r="L106" s="33">
        <f>+D106-H106</f>
        <v>35353.747127403825</v>
      </c>
      <c r="M106" s="16"/>
      <c r="N106" s="31">
        <f>IF(H106=0,0,L106/H106)</f>
        <v>-0.44433414512131841</v>
      </c>
      <c r="O106" s="25"/>
      <c r="P106" s="33">
        <f>SUM(P103:P105)</f>
        <v>-44211.930000000022</v>
      </c>
      <c r="Q106" s="13"/>
      <c r="R106" s="31">
        <f>IF(P$12=0,0,P106/P$12)</f>
        <v>-0.35643074657816043</v>
      </c>
      <c r="S106" s="13"/>
      <c r="T106" s="33">
        <f>SUM(T103:T105)</f>
        <v>-79565.677127403847</v>
      </c>
      <c r="U106" s="13"/>
      <c r="V106" s="31">
        <f>IF(T$12=0,0,T106/T$12)</f>
        <v>-0.3816282657556902</v>
      </c>
      <c r="W106" s="16"/>
      <c r="X106" s="33">
        <f>+P106-T106</f>
        <v>35353.747127403825</v>
      </c>
      <c r="Y106" s="16"/>
      <c r="Z106" s="31">
        <f>IF(T106=0,0,X106/T106)</f>
        <v>-0.44433414512131841</v>
      </c>
    </row>
    <row r="107" spans="1:26" ht="15" thickTop="1" x14ac:dyDescent="0.3">
      <c r="A107" s="9"/>
      <c r="C107" s="9"/>
      <c r="D107" s="18"/>
      <c r="E107" s="18"/>
      <c r="G107" s="18"/>
      <c r="H107" s="18"/>
      <c r="I107" s="18"/>
      <c r="J107" s="43"/>
      <c r="K107" s="18"/>
      <c r="L107" s="18"/>
      <c r="M107" s="18"/>
      <c r="P107" s="18"/>
      <c r="Q107" s="18"/>
      <c r="R107" s="43"/>
      <c r="S107" s="18"/>
      <c r="T107" s="18"/>
      <c r="U107" s="18"/>
      <c r="V107" s="43"/>
      <c r="W107" s="18"/>
      <c r="X107" s="18"/>
    </row>
    <row r="108" spans="1:26" x14ac:dyDescent="0.3">
      <c r="A108" s="9"/>
      <c r="B108" s="54">
        <v>44462.64548684028</v>
      </c>
      <c r="D108" s="18"/>
      <c r="E108" s="18"/>
      <c r="G108" s="18"/>
      <c r="H108" s="18"/>
      <c r="I108" s="18"/>
      <c r="J108" s="43"/>
      <c r="K108" s="18"/>
      <c r="L108" s="18"/>
      <c r="M108" s="18"/>
      <c r="P108" s="18"/>
      <c r="Q108" s="18"/>
      <c r="R108" s="43"/>
      <c r="S108" s="18"/>
      <c r="T108" s="18"/>
      <c r="U108" s="18"/>
      <c r="V108" s="43"/>
      <c r="W108" s="18"/>
      <c r="X108" s="18"/>
    </row>
    <row r="109" spans="1:26" x14ac:dyDescent="0.3">
      <c r="A109" s="9"/>
      <c r="B109" s="59" t="s">
        <v>56</v>
      </c>
      <c r="D109" s="18"/>
      <c r="E109" s="18"/>
      <c r="G109" s="18"/>
      <c r="H109" s="18"/>
      <c r="I109" s="18"/>
      <c r="J109" s="43"/>
      <c r="K109" s="18"/>
      <c r="L109" s="18"/>
      <c r="M109" s="18"/>
      <c r="P109" s="18"/>
      <c r="Q109" s="18"/>
      <c r="R109" s="43"/>
      <c r="S109" s="18"/>
      <c r="T109" s="18"/>
      <c r="U109" s="18"/>
      <c r="V109" s="43"/>
      <c r="W109" s="18"/>
      <c r="X109" s="18"/>
    </row>
    <row r="110" spans="1:26" x14ac:dyDescent="0.3">
      <c r="A110" s="9"/>
      <c r="B110" s="55"/>
      <c r="D110" s="18"/>
      <c r="E110" s="18"/>
      <c r="G110" s="18"/>
      <c r="H110" s="18"/>
      <c r="I110" s="18"/>
      <c r="J110" s="43"/>
      <c r="K110" s="18"/>
      <c r="L110" s="18"/>
      <c r="M110" s="18"/>
      <c r="P110" s="18"/>
      <c r="Q110" s="18"/>
      <c r="R110" s="43"/>
      <c r="S110" s="18"/>
      <c r="T110" s="18"/>
      <c r="U110" s="18"/>
      <c r="V110" s="43"/>
      <c r="W110" s="18"/>
      <c r="X110" s="18"/>
    </row>
    <row r="111" spans="1:26" x14ac:dyDescent="0.3">
      <c r="D111" s="18"/>
      <c r="E111" s="18"/>
      <c r="G111" s="18"/>
      <c r="H111" s="18"/>
      <c r="I111" s="18"/>
      <c r="J111" s="43"/>
      <c r="K111" s="18"/>
      <c r="L111" s="18"/>
      <c r="M111" s="18"/>
      <c r="P111" s="18"/>
      <c r="Q111" s="18"/>
      <c r="R111" s="43"/>
      <c r="S111" s="18"/>
      <c r="T111" s="18"/>
      <c r="U111" s="18"/>
      <c r="V111" s="43"/>
      <c r="W111" s="18"/>
      <c r="X111" s="18"/>
    </row>
  </sheetData>
  <pageMargins left="0.25" right="0.25" top="0.75" bottom="0.75" header="0.3" footer="0.3"/>
  <pageSetup scale="55" fitToWidth="2" orientation="landscape"/>
  <drawing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>
    <tabColor rgb="FF92D050"/>
    <outlinePr summaryBelow="0" summaryRight="0"/>
  </sheetPr>
  <dimension ref="A2:Z98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50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7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50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7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7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7" customWidth="1" outlineLevel="1"/>
  </cols>
  <sheetData>
    <row r="2" spans="1:26" x14ac:dyDescent="0.3">
      <c r="D2" s="57" t="s">
        <v>23</v>
      </c>
    </row>
    <row r="3" spans="1:26" x14ac:dyDescent="0.3">
      <c r="D3" s="57" t="s">
        <v>237</v>
      </c>
      <c r="E3" s="17"/>
      <c r="F3" s="51"/>
      <c r="G3" s="17"/>
      <c r="H3" s="17"/>
      <c r="I3" s="17"/>
      <c r="J3" s="39"/>
      <c r="K3" s="17"/>
      <c r="L3" s="17"/>
      <c r="M3" s="17"/>
      <c r="N3" s="51"/>
      <c r="O3" s="61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3">
      <c r="D4" s="57" t="str">
        <f>CONCATENATE("Period ",RIGHT(202201,2),", ",2022)</f>
        <v>Period 01, 2022</v>
      </c>
      <c r="E4" s="17"/>
      <c r="F4" s="51"/>
      <c r="G4" s="17"/>
      <c r="H4" s="17"/>
      <c r="I4" s="17"/>
      <c r="J4" s="39"/>
      <c r="K4" s="17"/>
      <c r="L4" s="17"/>
      <c r="M4" s="17"/>
      <c r="N4" s="51"/>
      <c r="O4" s="61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3">
      <c r="A5" s="23"/>
      <c r="D5" s="64">
        <v>44408</v>
      </c>
      <c r="E5" s="17"/>
      <c r="F5" s="51"/>
      <c r="G5" s="17"/>
      <c r="H5" s="17"/>
      <c r="I5" s="17"/>
      <c r="J5" s="39"/>
      <c r="K5" s="17"/>
      <c r="L5" s="17"/>
      <c r="M5" s="17"/>
      <c r="N5" s="51"/>
      <c r="O5" s="61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3">
      <c r="A6" s="23"/>
      <c r="B6" s="47"/>
      <c r="C6" s="47"/>
      <c r="D6" s="23" t="str">
        <f>CONCATENATE("Department ","326", " - ", "2nd Street Store")</f>
        <v>Department 326 - 2nd Street Store</v>
      </c>
      <c r="E6" s="17"/>
      <c r="F6" s="51"/>
      <c r="G6" s="17"/>
      <c r="H6" s="17"/>
      <c r="I6" s="17"/>
      <c r="J6" s="39"/>
      <c r="K6" s="17"/>
      <c r="L6" s="17"/>
      <c r="M6" s="17"/>
      <c r="N6" s="51"/>
      <c r="O6" s="60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3">
      <c r="B7" s="63"/>
    </row>
    <row r="8" spans="1:26" x14ac:dyDescent="0.3">
      <c r="B8" s="63"/>
    </row>
    <row r="9" spans="1:26" x14ac:dyDescent="0.3">
      <c r="B9" s="9"/>
      <c r="C9" s="9"/>
      <c r="D9" s="15" t="s">
        <v>292</v>
      </c>
      <c r="E9" s="15"/>
      <c r="F9" s="38"/>
      <c r="G9" s="15"/>
      <c r="H9" s="15"/>
      <c r="I9" s="15"/>
      <c r="J9" s="49"/>
      <c r="K9" s="15"/>
      <c r="L9" s="15"/>
      <c r="M9" s="15"/>
      <c r="N9" s="38"/>
      <c r="P9" s="15" t="s">
        <v>39</v>
      </c>
      <c r="Q9" s="15"/>
      <c r="R9" s="38"/>
      <c r="S9" s="15"/>
      <c r="T9" s="15"/>
      <c r="U9" s="15"/>
      <c r="V9" s="49"/>
      <c r="W9" s="15"/>
      <c r="X9" s="15"/>
      <c r="Y9" s="15"/>
      <c r="Z9" s="38"/>
    </row>
    <row r="10" spans="1:26" x14ac:dyDescent="0.3">
      <c r="A10" s="10"/>
      <c r="B10" s="53"/>
      <c r="C10" s="10"/>
      <c r="D10" s="42" t="s">
        <v>57</v>
      </c>
      <c r="E10" s="34"/>
      <c r="F10" s="40" t="s">
        <v>40</v>
      </c>
      <c r="G10" s="34"/>
      <c r="H10" s="45" t="s">
        <v>238</v>
      </c>
      <c r="I10" s="34"/>
      <c r="J10" s="48" t="s">
        <v>58</v>
      </c>
      <c r="K10" s="10"/>
      <c r="L10" s="42" t="s">
        <v>127</v>
      </c>
      <c r="M10" s="10"/>
      <c r="N10" s="40" t="s">
        <v>258</v>
      </c>
      <c r="O10" s="10"/>
      <c r="P10" s="56" t="s">
        <v>57</v>
      </c>
      <c r="Q10" s="34"/>
      <c r="R10" s="40" t="s">
        <v>40</v>
      </c>
      <c r="S10" s="34"/>
      <c r="T10" s="45" t="s">
        <v>238</v>
      </c>
      <c r="U10" s="34"/>
      <c r="V10" s="48" t="s">
        <v>58</v>
      </c>
      <c r="W10" s="10"/>
      <c r="X10" s="42" t="s">
        <v>127</v>
      </c>
      <c r="Y10" s="10"/>
      <c r="Z10" s="40" t="s">
        <v>258</v>
      </c>
    </row>
    <row r="11" spans="1:26" ht="15.6" x14ac:dyDescent="0.3">
      <c r="A11" s="9"/>
      <c r="B11" s="58"/>
      <c r="C11" s="9"/>
      <c r="D11" s="9"/>
      <c r="E11" s="9"/>
      <c r="F11" s="6"/>
      <c r="G11" s="9"/>
      <c r="H11" s="9"/>
      <c r="I11" s="9"/>
      <c r="J11" s="46"/>
      <c r="K11" s="9"/>
      <c r="L11" s="9"/>
      <c r="M11" s="9"/>
      <c r="N11" s="6"/>
      <c r="P11" s="9"/>
      <c r="Q11" s="9"/>
      <c r="R11" s="6"/>
      <c r="S11" s="9"/>
      <c r="T11" s="9"/>
      <c r="U11" s="9"/>
      <c r="V11" s="46"/>
      <c r="W11" s="9"/>
      <c r="X11" s="9"/>
      <c r="Y11" s="9"/>
      <c r="Z11" s="6"/>
    </row>
    <row r="12" spans="1:26" s="23" customFormat="1" collapsed="1" x14ac:dyDescent="0.3">
      <c r="A12" s="10"/>
      <c r="B12" s="25" t="s">
        <v>140</v>
      </c>
      <c r="C12" s="10"/>
      <c r="D12" s="4">
        <f>SUM(OSRRefD13x_0)</f>
        <v>31810.87</v>
      </c>
      <c r="E12" s="4"/>
      <c r="F12" s="12"/>
      <c r="G12" s="4"/>
      <c r="H12" s="4">
        <f>SUM(OSRRefH13x_0)</f>
        <v>31117</v>
      </c>
      <c r="I12" s="4"/>
      <c r="J12" s="12"/>
      <c r="K12" s="4"/>
      <c r="L12" s="4">
        <f t="shared" ref="L12:L15" si="0">+D12-H12</f>
        <v>693.86999999999898</v>
      </c>
      <c r="M12" s="4"/>
      <c r="N12" s="12">
        <f t="shared" ref="N12:N15" si="1">IF(H12=0,0,L12/H12)</f>
        <v>2.2298743452132241E-2</v>
      </c>
      <c r="O12" s="10"/>
      <c r="P12" s="4">
        <f>SUM(OSRRefP13x_0)</f>
        <v>31810.87</v>
      </c>
      <c r="Q12" s="4"/>
      <c r="R12" s="12"/>
      <c r="S12" s="4"/>
      <c r="T12" s="4">
        <f>SUM(OSRRefT13x_0)</f>
        <v>31117</v>
      </c>
      <c r="U12" s="4"/>
      <c r="V12" s="12"/>
      <c r="W12" s="4"/>
      <c r="X12" s="4">
        <f t="shared" ref="X12:X15" si="2">+P12-T12</f>
        <v>693.86999999999898</v>
      </c>
      <c r="Y12" s="4"/>
      <c r="Z12" s="12">
        <f t="shared" ref="Z12:Z15" si="3">IF(T12=0,0,X12/T12)</f>
        <v>2.2298743452132241E-2</v>
      </c>
    </row>
    <row r="13" spans="1:26" s="24" customFormat="1" hidden="1" outlineLevel="1" x14ac:dyDescent="0.3">
      <c r="A13" s="44"/>
      <c r="B13" s="11" t="str">
        <f>CONCATENATE("          ", "4000", " - ", "TAXABLE SALES")</f>
        <v xml:space="preserve">          4000 - TAXABLE SALES</v>
      </c>
      <c r="C13" s="11"/>
      <c r="D13" s="3">
        <f>--32806.68</f>
        <v>32806.68</v>
      </c>
      <c r="E13" s="3"/>
      <c r="F13" s="19"/>
      <c r="G13" s="3"/>
      <c r="H13" s="3">
        <v>31117</v>
      </c>
      <c r="I13" s="3"/>
      <c r="J13" s="19"/>
      <c r="K13" s="3"/>
      <c r="L13" s="3">
        <f t="shared" si="0"/>
        <v>1689.6800000000003</v>
      </c>
      <c r="M13" s="3"/>
      <c r="N13" s="19">
        <f t="shared" si="1"/>
        <v>5.4300864479223582E-2</v>
      </c>
      <c r="O13" s="11"/>
      <c r="P13" s="3">
        <f>--32806.68</f>
        <v>32806.68</v>
      </c>
      <c r="Q13" s="3"/>
      <c r="R13" s="19"/>
      <c r="S13" s="3"/>
      <c r="T13" s="3">
        <v>31117</v>
      </c>
      <c r="U13" s="3"/>
      <c r="V13" s="19"/>
      <c r="W13" s="3"/>
      <c r="X13" s="3">
        <f t="shared" si="2"/>
        <v>1689.6800000000003</v>
      </c>
      <c r="Y13" s="3"/>
      <c r="Z13" s="19">
        <f t="shared" si="3"/>
        <v>5.4300864479223582E-2</v>
      </c>
    </row>
    <row r="14" spans="1:26" s="24" customFormat="1" hidden="1" outlineLevel="1" x14ac:dyDescent="0.3">
      <c r="A14" s="44"/>
      <c r="B14" s="11" t="str">
        <f>CONCATENATE("          ", "4100", " - ", "NON-TAXABLE SALES")</f>
        <v xml:space="preserve">          4100 - NON-TAXABLE SALES</v>
      </c>
      <c r="C14" s="11"/>
      <c r="D14" s="3">
        <f>--18</f>
        <v>18</v>
      </c>
      <c r="E14" s="3"/>
      <c r="F14" s="19"/>
      <c r="G14" s="3"/>
      <c r="H14" s="3"/>
      <c r="I14" s="3"/>
      <c r="J14" s="19"/>
      <c r="K14" s="3"/>
      <c r="L14" s="3">
        <f t="shared" si="0"/>
        <v>18</v>
      </c>
      <c r="M14" s="3"/>
      <c r="N14" s="19">
        <f t="shared" si="1"/>
        <v>0</v>
      </c>
      <c r="O14" s="11"/>
      <c r="P14" s="3">
        <f>--18</f>
        <v>18</v>
      </c>
      <c r="Q14" s="3"/>
      <c r="R14" s="19"/>
      <c r="S14" s="3"/>
      <c r="T14" s="3"/>
      <c r="U14" s="3"/>
      <c r="V14" s="19"/>
      <c r="W14" s="3"/>
      <c r="X14" s="3">
        <f t="shared" si="2"/>
        <v>18</v>
      </c>
      <c r="Y14" s="3"/>
      <c r="Z14" s="19">
        <f t="shared" si="3"/>
        <v>0</v>
      </c>
    </row>
    <row r="15" spans="1:26" s="24" customFormat="1" hidden="1" outlineLevel="1" x14ac:dyDescent="0.3">
      <c r="A15" s="44"/>
      <c r="B15" s="11" t="str">
        <f>CONCATENATE("          ", "4200", " - ", "TAXABLE RETURNS")</f>
        <v xml:space="preserve">          4200 - TAXABLE RETURNS</v>
      </c>
      <c r="C15" s="11"/>
      <c r="D15" s="3">
        <f>-1013.81</f>
        <v>-1013.81</v>
      </c>
      <c r="E15" s="3"/>
      <c r="F15" s="19"/>
      <c r="G15" s="3"/>
      <c r="H15" s="3"/>
      <c r="I15" s="3"/>
      <c r="J15" s="19"/>
      <c r="K15" s="3"/>
      <c r="L15" s="3">
        <f t="shared" si="0"/>
        <v>-1013.81</v>
      </c>
      <c r="M15" s="3"/>
      <c r="N15" s="19">
        <f t="shared" si="1"/>
        <v>0</v>
      </c>
      <c r="O15" s="11"/>
      <c r="P15" s="3">
        <f>-1013.81</f>
        <v>-1013.81</v>
      </c>
      <c r="Q15" s="3"/>
      <c r="R15" s="19"/>
      <c r="S15" s="3"/>
      <c r="T15" s="3"/>
      <c r="U15" s="3"/>
      <c r="V15" s="19"/>
      <c r="W15" s="3"/>
      <c r="X15" s="3">
        <f t="shared" si="2"/>
        <v>-1013.81</v>
      </c>
      <c r="Y15" s="3"/>
      <c r="Z15" s="19">
        <f t="shared" si="3"/>
        <v>0</v>
      </c>
    </row>
    <row r="16" spans="1:26" x14ac:dyDescent="0.3">
      <c r="A16" s="9"/>
      <c r="B16" s="10"/>
      <c r="C16" s="9"/>
      <c r="D16" s="2"/>
      <c r="E16" s="2"/>
      <c r="F16" s="6"/>
      <c r="G16" s="2"/>
      <c r="H16" s="2"/>
      <c r="I16" s="2"/>
      <c r="J16" s="6"/>
      <c r="K16" s="2"/>
      <c r="L16" s="2"/>
      <c r="M16" s="2"/>
      <c r="N16" s="6"/>
      <c r="P16" s="2"/>
      <c r="Q16" s="2"/>
      <c r="R16" s="6"/>
      <c r="S16" s="2"/>
      <c r="T16" s="2"/>
      <c r="U16" s="2"/>
      <c r="V16" s="6"/>
      <c r="W16" s="2"/>
      <c r="X16" s="2"/>
      <c r="Y16" s="2"/>
      <c r="Z16" s="6"/>
    </row>
    <row r="17" spans="1:26" s="23" customFormat="1" collapsed="1" x14ac:dyDescent="0.3">
      <c r="A17" s="10"/>
      <c r="B17" s="25" t="s">
        <v>257</v>
      </c>
      <c r="C17" s="10"/>
      <c r="D17" s="4">
        <f>SUM(OSRRefD16x_0)</f>
        <v>15982.33</v>
      </c>
      <c r="E17" s="4"/>
      <c r="F17" s="12">
        <f t="shared" ref="F17:F19" si="4">IF(D$12=0,0,D17/D$12)</f>
        <v>0.50241725548531058</v>
      </c>
      <c r="G17" s="4"/>
      <c r="H17" s="4">
        <f>SUM(OSRRefH16x_0)</f>
        <v>14003</v>
      </c>
      <c r="I17" s="4"/>
      <c r="J17" s="12">
        <f t="shared" ref="J17:J19" si="5">IF(H$12=0,0,H17/H$12)</f>
        <v>0.45001124787093871</v>
      </c>
      <c r="K17" s="4"/>
      <c r="L17" s="4">
        <f t="shared" ref="L17:L19" si="6">+D17-H17</f>
        <v>1979.33</v>
      </c>
      <c r="M17" s="4"/>
      <c r="N17" s="12">
        <f t="shared" ref="N17:N19" si="7">IF(H17=0,0,L17/H17)</f>
        <v>0.14135042490894809</v>
      </c>
      <c r="O17" s="10"/>
      <c r="P17" s="4">
        <f>SUM(OSRRefP16x_0)</f>
        <v>15982.33</v>
      </c>
      <c r="Q17" s="4"/>
      <c r="R17" s="12">
        <f t="shared" ref="R17:R19" si="8">IF(P$12=0,0,P17/P$12)</f>
        <v>0.50241725548531058</v>
      </c>
      <c r="S17" s="4"/>
      <c r="T17" s="4">
        <f>SUM(OSRRefT16x_0)</f>
        <v>14003</v>
      </c>
      <c r="U17" s="4"/>
      <c r="V17" s="12">
        <f t="shared" ref="V17:V19" si="9">IF(T$12=0,0,T17/T$12)</f>
        <v>0.45001124787093871</v>
      </c>
      <c r="W17" s="4"/>
      <c r="X17" s="4">
        <f t="shared" ref="X17:X19" si="10">+P17-T17</f>
        <v>1979.33</v>
      </c>
      <c r="Y17" s="4"/>
      <c r="Z17" s="12">
        <f t="shared" ref="Z17:Z19" si="11">IF(T17=0,0,X17/T17)</f>
        <v>0.14135042490894809</v>
      </c>
    </row>
    <row r="18" spans="1:26" s="24" customFormat="1" hidden="1" outlineLevel="1" x14ac:dyDescent="0.3">
      <c r="A18" s="44"/>
      <c r="B18" s="11" t="str">
        <f>CONCATENATE("          ", "5000", " - ", "PURCHASES @ COST")</f>
        <v xml:space="preserve">          5000 - PURCHASES @ COST</v>
      </c>
      <c r="C18" s="11"/>
      <c r="D18" s="3"/>
      <c r="E18" s="3"/>
      <c r="F18" s="19">
        <f t="shared" si="4"/>
        <v>0</v>
      </c>
      <c r="G18" s="3"/>
      <c r="H18" s="3">
        <v>14003</v>
      </c>
      <c r="I18" s="3"/>
      <c r="J18" s="19">
        <f t="shared" si="5"/>
        <v>0.45001124787093871</v>
      </c>
      <c r="K18" s="3"/>
      <c r="L18" s="3">
        <f t="shared" si="6"/>
        <v>-14003</v>
      </c>
      <c r="M18" s="3"/>
      <c r="N18" s="19">
        <f t="shared" si="7"/>
        <v>-1</v>
      </c>
      <c r="O18" s="11"/>
      <c r="P18" s="3"/>
      <c r="Q18" s="3"/>
      <c r="R18" s="19">
        <f t="shared" si="8"/>
        <v>0</v>
      </c>
      <c r="S18" s="3"/>
      <c r="T18" s="3">
        <v>14003</v>
      </c>
      <c r="U18" s="3"/>
      <c r="V18" s="19">
        <f t="shared" si="9"/>
        <v>0.45001124787093871</v>
      </c>
      <c r="W18" s="3"/>
      <c r="X18" s="3">
        <f t="shared" si="10"/>
        <v>-14003</v>
      </c>
      <c r="Y18" s="3"/>
      <c r="Z18" s="19">
        <f t="shared" si="11"/>
        <v>-1</v>
      </c>
    </row>
    <row r="19" spans="1:26" s="24" customFormat="1" hidden="1" outlineLevel="1" x14ac:dyDescent="0.3">
      <c r="A19" s="44"/>
      <c r="B19" s="11" t="str">
        <f>CONCATENATE("          ", "5300", " - ", "COG$ OFFSET")</f>
        <v xml:space="preserve">          5300 - COG$ OFFSET</v>
      </c>
      <c r="C19" s="11"/>
      <c r="D19" s="3">
        <v>15982.33</v>
      </c>
      <c r="E19" s="3"/>
      <c r="F19" s="19">
        <f t="shared" si="4"/>
        <v>0.50241725548531058</v>
      </c>
      <c r="G19" s="3"/>
      <c r="H19" s="3"/>
      <c r="I19" s="3"/>
      <c r="J19" s="19">
        <f t="shared" si="5"/>
        <v>0</v>
      </c>
      <c r="K19" s="3"/>
      <c r="L19" s="3">
        <f t="shared" si="6"/>
        <v>15982.33</v>
      </c>
      <c r="M19" s="3"/>
      <c r="N19" s="19">
        <f t="shared" si="7"/>
        <v>0</v>
      </c>
      <c r="O19" s="11"/>
      <c r="P19" s="3">
        <v>15982.33</v>
      </c>
      <c r="Q19" s="3"/>
      <c r="R19" s="19">
        <f t="shared" si="8"/>
        <v>0.50241725548531058</v>
      </c>
      <c r="S19" s="3"/>
      <c r="T19" s="3"/>
      <c r="U19" s="3"/>
      <c r="V19" s="19">
        <f t="shared" si="9"/>
        <v>0</v>
      </c>
      <c r="W19" s="3"/>
      <c r="X19" s="3">
        <f t="shared" si="10"/>
        <v>15982.33</v>
      </c>
      <c r="Y19" s="3"/>
      <c r="Z19" s="19">
        <f t="shared" si="11"/>
        <v>0</v>
      </c>
    </row>
    <row r="20" spans="1:26" x14ac:dyDescent="0.3">
      <c r="A20" s="9"/>
      <c r="B20" s="10"/>
      <c r="C20" s="10"/>
      <c r="D20" s="2"/>
      <c r="E20" s="2"/>
      <c r="F20" s="6"/>
      <c r="G20" s="2"/>
      <c r="H20" s="2"/>
      <c r="I20" s="2"/>
      <c r="J20" s="6"/>
      <c r="K20" s="2"/>
      <c r="L20" s="2"/>
      <c r="M20" s="2"/>
      <c r="N20" s="6"/>
      <c r="O20" s="10"/>
      <c r="P20" s="2"/>
      <c r="Q20" s="2"/>
      <c r="R20" s="6"/>
      <c r="S20" s="2"/>
      <c r="T20" s="2"/>
      <c r="U20" s="2"/>
      <c r="V20" s="6"/>
      <c r="W20" s="2"/>
      <c r="X20" s="2"/>
      <c r="Y20" s="2"/>
      <c r="Z20" s="6"/>
    </row>
    <row r="21" spans="1:26" s="23" customFormat="1" x14ac:dyDescent="0.3">
      <c r="A21" s="10"/>
      <c r="B21" s="26" t="s">
        <v>108</v>
      </c>
      <c r="C21" s="26"/>
      <c r="D21" s="21">
        <f>D12-D17</f>
        <v>15828.539999999999</v>
      </c>
      <c r="E21" s="13"/>
      <c r="F21" s="22">
        <f>IF(D$12=0,0,D21/D$12)</f>
        <v>0.49758274451468948</v>
      </c>
      <c r="G21" s="13"/>
      <c r="H21" s="21">
        <f>H12-H17</f>
        <v>17114</v>
      </c>
      <c r="I21" s="13"/>
      <c r="J21" s="22">
        <f>IF(H$12=0,0,H21/H$12)</f>
        <v>0.54998875212906129</v>
      </c>
      <c r="K21" s="16"/>
      <c r="L21" s="21">
        <f>+D21-H21</f>
        <v>-1285.4600000000009</v>
      </c>
      <c r="M21" s="16"/>
      <c r="N21" s="22">
        <f>IF(H21=0,0,L21/H21)</f>
        <v>-7.5111604534299464E-2</v>
      </c>
      <c r="O21" s="25"/>
      <c r="P21" s="21">
        <f>P12-P17</f>
        <v>15828.539999999999</v>
      </c>
      <c r="Q21" s="13"/>
      <c r="R21" s="22">
        <f>IF(P$12=0,0,P21/P$12)</f>
        <v>0.49758274451468948</v>
      </c>
      <c r="S21" s="13"/>
      <c r="T21" s="21">
        <f>T12-T17</f>
        <v>17114</v>
      </c>
      <c r="U21" s="13"/>
      <c r="V21" s="22">
        <f>IF(T$12=0,0,T21/T$12)</f>
        <v>0.54998875212906129</v>
      </c>
      <c r="W21" s="16"/>
      <c r="X21" s="21">
        <f>+P21-T21</f>
        <v>-1285.4600000000009</v>
      </c>
      <c r="Y21" s="16"/>
      <c r="Z21" s="22">
        <f>IF(T21=0,0,X21/T21)</f>
        <v>-7.5111604534299464E-2</v>
      </c>
    </row>
    <row r="22" spans="1:26" x14ac:dyDescent="0.3">
      <c r="A22" s="9"/>
      <c r="B22" s="10"/>
      <c r="C22" s="9"/>
      <c r="D22" s="1"/>
      <c r="E22" s="1"/>
      <c r="F22" s="5"/>
      <c r="G22" s="1"/>
      <c r="H22" s="1"/>
      <c r="I22" s="1"/>
      <c r="J22" s="5"/>
      <c r="K22" s="1"/>
      <c r="L22" s="1"/>
      <c r="M22" s="1"/>
      <c r="N22" s="5"/>
      <c r="O22" s="36"/>
      <c r="P22" s="1"/>
      <c r="Q22" s="1"/>
      <c r="R22" s="5"/>
      <c r="S22" s="1"/>
      <c r="T22" s="1"/>
      <c r="U22" s="1"/>
      <c r="V22" s="5"/>
      <c r="W22" s="1"/>
      <c r="X22" s="1"/>
      <c r="Y22" s="1"/>
      <c r="Z22" s="5"/>
    </row>
    <row r="23" spans="1:26" s="23" customFormat="1" x14ac:dyDescent="0.3">
      <c r="A23" s="10"/>
      <c r="B23" s="25" t="s">
        <v>295</v>
      </c>
      <c r="C23" s="10"/>
      <c r="D23" s="20">
        <f>SUM(OSRRefD22x_0)</f>
        <v>16901.780000000002</v>
      </c>
      <c r="E23" s="20"/>
      <c r="F23" s="32">
        <f t="shared" ref="F23:F33" si="12">IF(D$12=0,0,D23/D$12)</f>
        <v>0.53132089754225531</v>
      </c>
      <c r="G23" s="20"/>
      <c r="H23" s="20">
        <f>SUM(OSRRefH22x_0)</f>
        <v>24324.31625721154</v>
      </c>
      <c r="I23" s="20"/>
      <c r="J23" s="32">
        <f t="shared" ref="J23:J33" si="13">IF(H$12=0,0,H23/H$12)</f>
        <v>0.78170505695316195</v>
      </c>
      <c r="K23" s="4"/>
      <c r="L23" s="20">
        <f t="shared" ref="L23:L33" si="14">+D23-H23</f>
        <v>-7422.5362572115373</v>
      </c>
      <c r="M23" s="4"/>
      <c r="N23" s="32">
        <f t="shared" ref="N23:N33" si="15">IF(H23=0,0,L23/H23)</f>
        <v>-0.30514881399845906</v>
      </c>
      <c r="O23" s="10"/>
      <c r="P23" s="20">
        <f>SUM(OSRRefP22x_0)</f>
        <v>16901.780000000002</v>
      </c>
      <c r="Q23" s="20"/>
      <c r="R23" s="32">
        <f t="shared" ref="R23:R33" si="16">IF(P$12=0,0,P23/P$12)</f>
        <v>0.53132089754225531</v>
      </c>
      <c r="S23" s="20"/>
      <c r="T23" s="20">
        <f>SUM(OSRRefT22x_0)</f>
        <v>24324.31625721154</v>
      </c>
      <c r="U23" s="20"/>
      <c r="V23" s="32">
        <f t="shared" ref="V23:V33" si="17">IF(T$12=0,0,T23/T$12)</f>
        <v>0.78170505695316195</v>
      </c>
      <c r="W23" s="4"/>
      <c r="X23" s="20">
        <f t="shared" ref="X23:X33" si="18">+P23-T23</f>
        <v>-7422.5362572115373</v>
      </c>
      <c r="Y23" s="4"/>
      <c r="Z23" s="32">
        <f t="shared" ref="Z23:Z33" si="19">IF(T23=0,0,X23/T23)</f>
        <v>-0.30514881399845906</v>
      </c>
    </row>
    <row r="24" spans="1:26" s="27" customFormat="1" outlineLevel="1" collapsed="1" x14ac:dyDescent="0.3">
      <c r="A24" s="28"/>
      <c r="B24" s="14" t="str">
        <f>CONCATENATE("     ","*Benefits                                         ")</f>
        <v xml:space="preserve">     *Benefits                                         </v>
      </c>
      <c r="C24" s="14"/>
      <c r="D24" s="1">
        <f>SUM(OSRRefD22_0x_0)</f>
        <v>1300.4500000000003</v>
      </c>
      <c r="E24" s="1"/>
      <c r="F24" s="5">
        <f t="shared" si="12"/>
        <v>4.0880680094571457E-2</v>
      </c>
      <c r="G24" s="1"/>
      <c r="H24" s="1">
        <f>SUM(OSRRefH22_0x_0)</f>
        <v>3073.2441418269223</v>
      </c>
      <c r="I24" s="1"/>
      <c r="J24" s="5">
        <f t="shared" si="13"/>
        <v>9.8764152772661956E-2</v>
      </c>
      <c r="K24" s="1"/>
      <c r="L24" s="1">
        <f t="shared" si="14"/>
        <v>-1772.794141826922</v>
      </c>
      <c r="M24" s="1"/>
      <c r="N24" s="5">
        <f t="shared" si="15"/>
        <v>-0.57684780642681577</v>
      </c>
      <c r="O24" s="14"/>
      <c r="P24" s="1">
        <f>SUM(OSRRefP22_0x_0)</f>
        <v>1300.4500000000003</v>
      </c>
      <c r="Q24" s="1"/>
      <c r="R24" s="5">
        <f t="shared" si="16"/>
        <v>4.0880680094571457E-2</v>
      </c>
      <c r="S24" s="1"/>
      <c r="T24" s="1">
        <f>SUM(OSRRefT22_0x_0)</f>
        <v>3073.2441418269223</v>
      </c>
      <c r="U24" s="1"/>
      <c r="V24" s="5">
        <f t="shared" si="17"/>
        <v>9.8764152772661956E-2</v>
      </c>
      <c r="W24" s="1"/>
      <c r="X24" s="1">
        <f t="shared" si="18"/>
        <v>-1772.794141826922</v>
      </c>
      <c r="Y24" s="1"/>
      <c r="Z24" s="5">
        <f t="shared" si="19"/>
        <v>-0.57684780642681577</v>
      </c>
    </row>
    <row r="25" spans="1:26" s="24" customFormat="1" hidden="1" outlineLevel="2" x14ac:dyDescent="0.3">
      <c r="A25" s="29"/>
      <c r="B25" s="11" t="str">
        <f>CONCATENATE("          ", "6111", " - ", "F.I.C.A.")</f>
        <v xml:space="preserve">          6111 - F.I.C.A.</v>
      </c>
      <c r="C25" s="11"/>
      <c r="D25" s="8">
        <v>402.97</v>
      </c>
      <c r="E25" s="3"/>
      <c r="F25" s="7">
        <f t="shared" si="12"/>
        <v>1.2667682462001197E-2</v>
      </c>
      <c r="G25" s="3"/>
      <c r="H25" s="8">
        <v>919.482194711538</v>
      </c>
      <c r="I25" s="3"/>
      <c r="J25" s="7">
        <f t="shared" si="13"/>
        <v>2.954919159017701E-2</v>
      </c>
      <c r="K25" s="3"/>
      <c r="L25" s="8">
        <f t="shared" si="14"/>
        <v>-516.51219471153797</v>
      </c>
      <c r="M25" s="3"/>
      <c r="N25" s="7">
        <f t="shared" si="15"/>
        <v>-0.56174246514211112</v>
      </c>
      <c r="O25" s="11"/>
      <c r="P25" s="8">
        <v>402.97</v>
      </c>
      <c r="Q25" s="3"/>
      <c r="R25" s="7">
        <f t="shared" si="16"/>
        <v>1.2667682462001197E-2</v>
      </c>
      <c r="S25" s="3"/>
      <c r="T25" s="8">
        <v>919.482194711538</v>
      </c>
      <c r="U25" s="3"/>
      <c r="V25" s="7">
        <f t="shared" si="17"/>
        <v>2.954919159017701E-2</v>
      </c>
      <c r="W25" s="3"/>
      <c r="X25" s="8">
        <f t="shared" si="18"/>
        <v>-516.51219471153797</v>
      </c>
      <c r="Y25" s="3"/>
      <c r="Z25" s="7">
        <f t="shared" si="19"/>
        <v>-0.56174246514211112</v>
      </c>
    </row>
    <row r="26" spans="1:26" s="24" customFormat="1" hidden="1" outlineLevel="2" x14ac:dyDescent="0.3">
      <c r="A26" s="29"/>
      <c r="B26" s="11" t="str">
        <f>CONCATENATE("          ", "6112", " - ", "COMPENSATION INSURANCE")</f>
        <v xml:space="preserve">          6112 - COMPENSATION INSURANCE</v>
      </c>
      <c r="C26" s="11"/>
      <c r="D26" s="8">
        <v>36.79</v>
      </c>
      <c r="E26" s="3"/>
      <c r="F26" s="7">
        <f t="shared" si="12"/>
        <v>1.1565229118222797E-3</v>
      </c>
      <c r="G26" s="3"/>
      <c r="H26" s="8">
        <v>187.42875000000001</v>
      </c>
      <c r="I26" s="3"/>
      <c r="J26" s="7">
        <f t="shared" si="13"/>
        <v>6.0233554005848892E-3</v>
      </c>
      <c r="K26" s="3"/>
      <c r="L26" s="8">
        <f t="shared" si="14"/>
        <v>-150.63875000000002</v>
      </c>
      <c r="M26" s="3"/>
      <c r="N26" s="7">
        <f t="shared" si="15"/>
        <v>-0.803712077256024</v>
      </c>
      <c r="O26" s="11"/>
      <c r="P26" s="8">
        <v>36.79</v>
      </c>
      <c r="Q26" s="3"/>
      <c r="R26" s="7">
        <f t="shared" si="16"/>
        <v>1.1565229118222797E-3</v>
      </c>
      <c r="S26" s="3"/>
      <c r="T26" s="8">
        <v>187.42875000000001</v>
      </c>
      <c r="U26" s="3"/>
      <c r="V26" s="7">
        <f t="shared" si="17"/>
        <v>6.0233554005848892E-3</v>
      </c>
      <c r="W26" s="3"/>
      <c r="X26" s="8">
        <f t="shared" si="18"/>
        <v>-150.63875000000002</v>
      </c>
      <c r="Y26" s="3"/>
      <c r="Z26" s="7">
        <f t="shared" si="19"/>
        <v>-0.803712077256024</v>
      </c>
    </row>
    <row r="27" spans="1:26" s="24" customFormat="1" hidden="1" outlineLevel="2" x14ac:dyDescent="0.3">
      <c r="A27" s="29"/>
      <c r="B27" s="11" t="str">
        <f>CONCATENATE("          ", "6113", " - ", "GROUP INSURANCE")</f>
        <v xml:space="preserve">          6113 - GROUP INSURANCE</v>
      </c>
      <c r="C27" s="11"/>
      <c r="D27" s="8">
        <v>526.70000000000005</v>
      </c>
      <c r="E27" s="3"/>
      <c r="F27" s="7">
        <f t="shared" si="12"/>
        <v>1.6557233423669333E-2</v>
      </c>
      <c r="G27" s="3"/>
      <c r="H27" s="8">
        <v>988.5</v>
      </c>
      <c r="I27" s="3"/>
      <c r="J27" s="7">
        <f t="shared" si="13"/>
        <v>3.1767201208342706E-2</v>
      </c>
      <c r="K27" s="3"/>
      <c r="L27" s="8">
        <f t="shared" si="14"/>
        <v>-461.79999999999995</v>
      </c>
      <c r="M27" s="3"/>
      <c r="N27" s="7">
        <f t="shared" si="15"/>
        <v>-0.46717248356095087</v>
      </c>
      <c r="O27" s="11"/>
      <c r="P27" s="8">
        <v>526.70000000000005</v>
      </c>
      <c r="Q27" s="3"/>
      <c r="R27" s="7">
        <f t="shared" si="16"/>
        <v>1.6557233423669333E-2</v>
      </c>
      <c r="S27" s="3"/>
      <c r="T27" s="8">
        <v>988.5</v>
      </c>
      <c r="U27" s="3"/>
      <c r="V27" s="7">
        <f t="shared" si="17"/>
        <v>3.1767201208342706E-2</v>
      </c>
      <c r="W27" s="3"/>
      <c r="X27" s="8">
        <f t="shared" si="18"/>
        <v>-461.79999999999995</v>
      </c>
      <c r="Y27" s="3"/>
      <c r="Z27" s="7">
        <f t="shared" si="19"/>
        <v>-0.46717248356095087</v>
      </c>
    </row>
    <row r="28" spans="1:26" s="24" customFormat="1" hidden="1" outlineLevel="2" x14ac:dyDescent="0.3">
      <c r="A28" s="29"/>
      <c r="B28" s="11" t="str">
        <f>CONCATENATE("          ", "6114", " - ", "STATE UNEMPLOYMENT INSURANCE")</f>
        <v xml:space="preserve">          6114 - STATE UNEMPLOYMENT INSURANCE</v>
      </c>
      <c r="C28" s="11"/>
      <c r="D28" s="8">
        <v>6.46</v>
      </c>
      <c r="E28" s="3"/>
      <c r="F28" s="7">
        <f t="shared" si="12"/>
        <v>2.0307523811829102E-4</v>
      </c>
      <c r="G28" s="3"/>
      <c r="H28" s="8">
        <v>25.230793269230801</v>
      </c>
      <c r="I28" s="3"/>
      <c r="J28" s="7">
        <f t="shared" si="13"/>
        <v>8.1083630392489003E-4</v>
      </c>
      <c r="K28" s="3"/>
      <c r="L28" s="8">
        <f t="shared" si="14"/>
        <v>-18.770793269230801</v>
      </c>
      <c r="M28" s="3"/>
      <c r="N28" s="7">
        <f t="shared" si="15"/>
        <v>-0.74396365857120972</v>
      </c>
      <c r="O28" s="11"/>
      <c r="P28" s="8">
        <v>6.46</v>
      </c>
      <c r="Q28" s="3"/>
      <c r="R28" s="7">
        <f t="shared" si="16"/>
        <v>2.0307523811829102E-4</v>
      </c>
      <c r="S28" s="3"/>
      <c r="T28" s="8">
        <v>25.230793269230801</v>
      </c>
      <c r="U28" s="3"/>
      <c r="V28" s="7">
        <f t="shared" si="17"/>
        <v>8.1083630392489003E-4</v>
      </c>
      <c r="W28" s="3"/>
      <c r="X28" s="8">
        <f t="shared" si="18"/>
        <v>-18.770793269230801</v>
      </c>
      <c r="Y28" s="3"/>
      <c r="Z28" s="7">
        <f t="shared" si="19"/>
        <v>-0.74396365857120972</v>
      </c>
    </row>
    <row r="29" spans="1:26" s="24" customFormat="1" hidden="1" outlineLevel="2" x14ac:dyDescent="0.3">
      <c r="A29" s="29"/>
      <c r="B29" s="11" t="str">
        <f>CONCATENATE("          ", "6115", " - ", "P.E.R.S.")</f>
        <v xml:space="preserve">          6115 - P.E.R.S.</v>
      </c>
      <c r="C29" s="11"/>
      <c r="D29" s="8">
        <v>88.89</v>
      </c>
      <c r="E29" s="3"/>
      <c r="F29" s="7">
        <f t="shared" si="12"/>
        <v>2.7943278508258344E-3</v>
      </c>
      <c r="G29" s="3"/>
      <c r="H29" s="8">
        <v>257.64855769230797</v>
      </c>
      <c r="I29" s="3"/>
      <c r="J29" s="7">
        <f t="shared" si="13"/>
        <v>8.2799934984833998E-3</v>
      </c>
      <c r="K29" s="3"/>
      <c r="L29" s="8">
        <f t="shared" si="14"/>
        <v>-168.75855769230799</v>
      </c>
      <c r="M29" s="3"/>
      <c r="N29" s="7">
        <f t="shared" si="15"/>
        <v>-0.65499515775999329</v>
      </c>
      <c r="O29" s="11"/>
      <c r="P29" s="8">
        <v>88.89</v>
      </c>
      <c r="Q29" s="3"/>
      <c r="R29" s="7">
        <f t="shared" si="16"/>
        <v>2.7943278508258344E-3</v>
      </c>
      <c r="S29" s="3"/>
      <c r="T29" s="8">
        <v>257.64855769230797</v>
      </c>
      <c r="U29" s="3"/>
      <c r="V29" s="7">
        <f t="shared" si="17"/>
        <v>8.2799934984833998E-3</v>
      </c>
      <c r="W29" s="3"/>
      <c r="X29" s="8">
        <f t="shared" si="18"/>
        <v>-168.75855769230799</v>
      </c>
      <c r="Y29" s="3"/>
      <c r="Z29" s="7">
        <f t="shared" si="19"/>
        <v>-0.65499515775999329</v>
      </c>
    </row>
    <row r="30" spans="1:26" s="24" customFormat="1" hidden="1" outlineLevel="2" x14ac:dyDescent="0.3">
      <c r="A30" s="29"/>
      <c r="B30" s="11" t="str">
        <f>CONCATENATE("          ", "6116", " - ", "EDUCATIONAL BENEFITS")</f>
        <v xml:space="preserve">          6116 - EDUCATIONAL BENEFITS</v>
      </c>
      <c r="C30" s="11"/>
      <c r="D30" s="8"/>
      <c r="E30" s="3"/>
      <c r="F30" s="7">
        <f t="shared" si="12"/>
        <v>0</v>
      </c>
      <c r="G30" s="3"/>
      <c r="H30" s="8">
        <v>0</v>
      </c>
      <c r="I30" s="3"/>
      <c r="J30" s="7">
        <f t="shared" si="13"/>
        <v>0</v>
      </c>
      <c r="K30" s="3"/>
      <c r="L30" s="8">
        <f t="shared" si="14"/>
        <v>0</v>
      </c>
      <c r="M30" s="3"/>
      <c r="N30" s="7">
        <f t="shared" si="15"/>
        <v>0</v>
      </c>
      <c r="O30" s="11"/>
      <c r="P30" s="8"/>
      <c r="Q30" s="3"/>
      <c r="R30" s="7">
        <f t="shared" si="16"/>
        <v>0</v>
      </c>
      <c r="S30" s="3"/>
      <c r="T30" s="8">
        <v>0</v>
      </c>
      <c r="U30" s="3"/>
      <c r="V30" s="7">
        <f t="shared" si="17"/>
        <v>0</v>
      </c>
      <c r="W30" s="3"/>
      <c r="X30" s="8">
        <f t="shared" si="18"/>
        <v>0</v>
      </c>
      <c r="Y30" s="3"/>
      <c r="Z30" s="7">
        <f t="shared" si="19"/>
        <v>0</v>
      </c>
    </row>
    <row r="31" spans="1:26" s="24" customFormat="1" hidden="1" outlineLevel="2" x14ac:dyDescent="0.3">
      <c r="A31" s="29"/>
      <c r="B31" s="11" t="str">
        <f>CONCATENATE("          ", "6118", " - ", "VACATION")</f>
        <v xml:space="preserve">          6118 - VACATION</v>
      </c>
      <c r="C31" s="11"/>
      <c r="D31" s="8">
        <v>85.64</v>
      </c>
      <c r="E31" s="3"/>
      <c r="F31" s="7">
        <f t="shared" si="12"/>
        <v>2.6921615158592015E-3</v>
      </c>
      <c r="G31" s="3"/>
      <c r="H31" s="8">
        <v>149.79567307692301</v>
      </c>
      <c r="I31" s="3"/>
      <c r="J31" s="7">
        <f t="shared" si="13"/>
        <v>4.8139497084205745E-3</v>
      </c>
      <c r="K31" s="3"/>
      <c r="L31" s="8">
        <f t="shared" si="14"/>
        <v>-64.155673076923009</v>
      </c>
      <c r="M31" s="3"/>
      <c r="N31" s="7">
        <f t="shared" si="15"/>
        <v>-0.42828789216079571</v>
      </c>
      <c r="O31" s="11"/>
      <c r="P31" s="8">
        <v>85.64</v>
      </c>
      <c r="Q31" s="3"/>
      <c r="R31" s="7">
        <f t="shared" si="16"/>
        <v>2.6921615158592015E-3</v>
      </c>
      <c r="S31" s="3"/>
      <c r="T31" s="8">
        <v>149.79567307692301</v>
      </c>
      <c r="U31" s="3"/>
      <c r="V31" s="7">
        <f t="shared" si="17"/>
        <v>4.8139497084205745E-3</v>
      </c>
      <c r="W31" s="3"/>
      <c r="X31" s="8">
        <f t="shared" si="18"/>
        <v>-64.155673076923009</v>
      </c>
      <c r="Y31" s="3"/>
      <c r="Z31" s="7">
        <f t="shared" si="19"/>
        <v>-0.42828789216079571</v>
      </c>
    </row>
    <row r="32" spans="1:26" s="24" customFormat="1" hidden="1" outlineLevel="2" x14ac:dyDescent="0.3">
      <c r="A32" s="29"/>
      <c r="B32" s="11" t="str">
        <f>CONCATENATE("          ", "6119", " - ", "SICK LEAVE")</f>
        <v xml:space="preserve">          6119 - SICK LEAVE</v>
      </c>
      <c r="C32" s="11"/>
      <c r="D32" s="8">
        <v>54.02</v>
      </c>
      <c r="E32" s="3"/>
      <c r="F32" s="7">
        <f t="shared" si="12"/>
        <v>1.6981616661223037E-3</v>
      </c>
      <c r="G32" s="3"/>
      <c r="H32" s="8">
        <v>545.15817307692305</v>
      </c>
      <c r="I32" s="3"/>
      <c r="J32" s="7">
        <f t="shared" si="13"/>
        <v>1.751962506272851E-2</v>
      </c>
      <c r="K32" s="3"/>
      <c r="L32" s="8">
        <f t="shared" si="14"/>
        <v>-491.13817307692307</v>
      </c>
      <c r="M32" s="3"/>
      <c r="N32" s="7">
        <f t="shared" si="15"/>
        <v>-0.90090949256964059</v>
      </c>
      <c r="O32" s="11"/>
      <c r="P32" s="8">
        <v>54.02</v>
      </c>
      <c r="Q32" s="3"/>
      <c r="R32" s="7">
        <f t="shared" si="16"/>
        <v>1.6981616661223037E-3</v>
      </c>
      <c r="S32" s="3"/>
      <c r="T32" s="8">
        <v>545.15817307692305</v>
      </c>
      <c r="U32" s="3"/>
      <c r="V32" s="7">
        <f t="shared" si="17"/>
        <v>1.751962506272851E-2</v>
      </c>
      <c r="W32" s="3"/>
      <c r="X32" s="8">
        <f t="shared" si="18"/>
        <v>-491.13817307692307</v>
      </c>
      <c r="Y32" s="3"/>
      <c r="Z32" s="7">
        <f t="shared" si="19"/>
        <v>-0.90090949256964059</v>
      </c>
    </row>
    <row r="33" spans="1:26" s="24" customFormat="1" hidden="1" outlineLevel="2" x14ac:dyDescent="0.3">
      <c r="A33" s="29"/>
      <c r="B33" s="11" t="str">
        <f>CONCATENATE("          ", "6156", " - ", "EMPLOYEE MEALS")</f>
        <v xml:space="preserve">          6156 - EMPLOYEE MEALS</v>
      </c>
      <c r="C33" s="11"/>
      <c r="D33" s="8">
        <v>98.98</v>
      </c>
      <c r="E33" s="3"/>
      <c r="F33" s="7">
        <f t="shared" si="12"/>
        <v>3.1115150261530103E-3</v>
      </c>
      <c r="G33" s="3"/>
      <c r="H33" s="8"/>
      <c r="I33" s="3"/>
      <c r="J33" s="7">
        <f t="shared" si="13"/>
        <v>0</v>
      </c>
      <c r="K33" s="3"/>
      <c r="L33" s="8">
        <f t="shared" si="14"/>
        <v>98.98</v>
      </c>
      <c r="M33" s="3"/>
      <c r="N33" s="7">
        <f t="shared" si="15"/>
        <v>0</v>
      </c>
      <c r="O33" s="11"/>
      <c r="P33" s="8">
        <v>98.98</v>
      </c>
      <c r="Q33" s="3"/>
      <c r="R33" s="7">
        <f t="shared" si="16"/>
        <v>3.1115150261530103E-3</v>
      </c>
      <c r="S33" s="3"/>
      <c r="T33" s="8"/>
      <c r="U33" s="3"/>
      <c r="V33" s="7">
        <f t="shared" si="17"/>
        <v>0</v>
      </c>
      <c r="W33" s="3"/>
      <c r="X33" s="8">
        <f t="shared" si="18"/>
        <v>98.98</v>
      </c>
      <c r="Y33" s="3"/>
      <c r="Z33" s="7">
        <f t="shared" si="19"/>
        <v>0</v>
      </c>
    </row>
    <row r="34" spans="1:26" s="27" customFormat="1" outlineLevel="1" collapsed="1" x14ac:dyDescent="0.3">
      <c r="A34" s="28"/>
      <c r="B34" s="14" t="str">
        <f>CONCATENATE("     ","*Payroll                                          ")</f>
        <v xml:space="preserve">     *Payroll                                          </v>
      </c>
      <c r="C34" s="14"/>
      <c r="D34" s="1">
        <f>SUM(OSRRefD22_1x_0)</f>
        <v>6539.68</v>
      </c>
      <c r="E34" s="1"/>
      <c r="F34" s="5">
        <f t="shared" ref="F34:F44" si="20">IF(D$12=0,0,D34/D$12)</f>
        <v>0.20558004229371912</v>
      </c>
      <c r="G34" s="1"/>
      <c r="H34" s="1">
        <f>SUM(OSRRefH22_1x_0)</f>
        <v>11403.072115384621</v>
      </c>
      <c r="I34" s="1"/>
      <c r="J34" s="5">
        <f t="shared" ref="J34:J44" si="21">IF(H$12=0,0,H34/H$12)</f>
        <v>0.36645795273916576</v>
      </c>
      <c r="K34" s="1"/>
      <c r="L34" s="1">
        <f t="shared" ref="L34:L44" si="22">+D34-H34</f>
        <v>-4863.3921153846204</v>
      </c>
      <c r="M34" s="1"/>
      <c r="N34" s="5">
        <f t="shared" ref="N34:N44" si="23">IF(H34=0,0,L34/H34)</f>
        <v>-0.42649840904041147</v>
      </c>
      <c r="O34" s="14"/>
      <c r="P34" s="1">
        <f>SUM(OSRRefP22_1x_0)</f>
        <v>6539.68</v>
      </c>
      <c r="Q34" s="1"/>
      <c r="R34" s="5">
        <f t="shared" ref="R34:R44" si="24">IF(P$12=0,0,P34/P$12)</f>
        <v>0.20558004229371912</v>
      </c>
      <c r="S34" s="1"/>
      <c r="T34" s="1">
        <f>SUM(OSRRefT22_1x_0)</f>
        <v>11403.072115384621</v>
      </c>
      <c r="U34" s="1"/>
      <c r="V34" s="5">
        <f t="shared" ref="V34:V44" si="25">IF(T$12=0,0,T34/T$12)</f>
        <v>0.36645795273916576</v>
      </c>
      <c r="W34" s="1"/>
      <c r="X34" s="1">
        <f t="shared" ref="X34:X44" si="26">+P34-T34</f>
        <v>-4863.3921153846204</v>
      </c>
      <c r="Y34" s="1"/>
      <c r="Z34" s="5">
        <f t="shared" ref="Z34:Z44" si="27">IF(T34=0,0,X34/T34)</f>
        <v>-0.42649840904041147</v>
      </c>
    </row>
    <row r="35" spans="1:26" s="24" customFormat="1" hidden="1" outlineLevel="2" x14ac:dyDescent="0.3">
      <c r="A35" s="29"/>
      <c r="B35" s="11" t="str">
        <f>CONCATENATE("          ", "6001", " - ", "ADMINISTRATIVE SALARIES")</f>
        <v xml:space="preserve">          6001 - ADMINISTRATIVE SALARIES</v>
      </c>
      <c r="C35" s="11"/>
      <c r="D35" s="8"/>
      <c r="E35" s="3"/>
      <c r="F35" s="7">
        <f t="shared" si="20"/>
        <v>0</v>
      </c>
      <c r="G35" s="3"/>
      <c r="H35" s="8">
        <v>0</v>
      </c>
      <c r="I35" s="3"/>
      <c r="J35" s="7">
        <f t="shared" si="21"/>
        <v>0</v>
      </c>
      <c r="K35" s="3"/>
      <c r="L35" s="8">
        <f t="shared" si="22"/>
        <v>0</v>
      </c>
      <c r="M35" s="3"/>
      <c r="N35" s="7">
        <f t="shared" si="23"/>
        <v>0</v>
      </c>
      <c r="O35" s="11"/>
      <c r="P35" s="8"/>
      <c r="Q35" s="3"/>
      <c r="R35" s="7">
        <f t="shared" si="24"/>
        <v>0</v>
      </c>
      <c r="S35" s="3"/>
      <c r="T35" s="8">
        <v>0</v>
      </c>
      <c r="U35" s="3"/>
      <c r="V35" s="7">
        <f t="shared" si="25"/>
        <v>0</v>
      </c>
      <c r="W35" s="3"/>
      <c r="X35" s="8">
        <f t="shared" si="26"/>
        <v>0</v>
      </c>
      <c r="Y35" s="3"/>
      <c r="Z35" s="7">
        <f t="shared" si="27"/>
        <v>0</v>
      </c>
    </row>
    <row r="36" spans="1:26" s="24" customFormat="1" hidden="1" outlineLevel="2" x14ac:dyDescent="0.3">
      <c r="A36" s="29"/>
      <c r="B36" s="11" t="str">
        <f>CONCATENATE("          ", "6002", " - ", "STAFF SALARIES")</f>
        <v xml:space="preserve">          6002 - STAFF SALARIES</v>
      </c>
      <c r="C36" s="11"/>
      <c r="D36" s="8">
        <v>1405.6</v>
      </c>
      <c r="E36" s="3"/>
      <c r="F36" s="7">
        <f t="shared" si="20"/>
        <v>4.4186153978184185E-2</v>
      </c>
      <c r="G36" s="3"/>
      <c r="H36" s="8">
        <v>2696.3221153846198</v>
      </c>
      <c r="I36" s="3"/>
      <c r="J36" s="7">
        <f t="shared" si="21"/>
        <v>8.6651094751570512E-2</v>
      </c>
      <c r="K36" s="3"/>
      <c r="L36" s="8">
        <f t="shared" si="22"/>
        <v>-1290.7221153846199</v>
      </c>
      <c r="M36" s="3"/>
      <c r="N36" s="7">
        <f t="shared" si="23"/>
        <v>-0.4786972995622607</v>
      </c>
      <c r="O36" s="11"/>
      <c r="P36" s="8">
        <v>1405.6</v>
      </c>
      <c r="Q36" s="3"/>
      <c r="R36" s="7">
        <f t="shared" si="24"/>
        <v>4.4186153978184185E-2</v>
      </c>
      <c r="S36" s="3"/>
      <c r="T36" s="8">
        <v>2696.3221153846198</v>
      </c>
      <c r="U36" s="3"/>
      <c r="V36" s="7">
        <f t="shared" si="25"/>
        <v>8.6651094751570512E-2</v>
      </c>
      <c r="W36" s="3"/>
      <c r="X36" s="8">
        <f t="shared" si="26"/>
        <v>-1290.7221153846199</v>
      </c>
      <c r="Y36" s="3"/>
      <c r="Z36" s="7">
        <f t="shared" si="27"/>
        <v>-0.4786972995622607</v>
      </c>
    </row>
    <row r="37" spans="1:26" s="24" customFormat="1" hidden="1" outlineLevel="2" x14ac:dyDescent="0.3">
      <c r="A37" s="29"/>
      <c r="B37" s="11" t="str">
        <f>CONCATENATE("          ", "6003", " - ", "STAFF HOURLY-9 MONTH")</f>
        <v xml:space="preserve">          6003 - STAFF HOURLY-9 MONTH</v>
      </c>
      <c r="C37" s="11"/>
      <c r="D37" s="8"/>
      <c r="E37" s="3"/>
      <c r="F37" s="7">
        <f t="shared" si="20"/>
        <v>0</v>
      </c>
      <c r="G37" s="3"/>
      <c r="H37" s="8">
        <v>0</v>
      </c>
      <c r="I37" s="3"/>
      <c r="J37" s="7">
        <f t="shared" si="21"/>
        <v>0</v>
      </c>
      <c r="K37" s="3"/>
      <c r="L37" s="8">
        <f t="shared" si="22"/>
        <v>0</v>
      </c>
      <c r="M37" s="3"/>
      <c r="N37" s="7">
        <f t="shared" si="23"/>
        <v>0</v>
      </c>
      <c r="O37" s="11"/>
      <c r="P37" s="8"/>
      <c r="Q37" s="3"/>
      <c r="R37" s="7">
        <f t="shared" si="24"/>
        <v>0</v>
      </c>
      <c r="S37" s="3"/>
      <c r="T37" s="8">
        <v>0</v>
      </c>
      <c r="U37" s="3"/>
      <c r="V37" s="7">
        <f t="shared" si="25"/>
        <v>0</v>
      </c>
      <c r="W37" s="3"/>
      <c r="X37" s="8">
        <f t="shared" si="26"/>
        <v>0</v>
      </c>
      <c r="Y37" s="3"/>
      <c r="Z37" s="7">
        <f t="shared" si="27"/>
        <v>0</v>
      </c>
    </row>
    <row r="38" spans="1:26" s="24" customFormat="1" hidden="1" outlineLevel="2" x14ac:dyDescent="0.3">
      <c r="A38" s="29"/>
      <c r="B38" s="11" t="str">
        <f>CONCATENATE("          ", "6004", " - ", "STAFF HOURLY")</f>
        <v xml:space="preserve">          6004 - STAFF HOURLY</v>
      </c>
      <c r="C38" s="11"/>
      <c r="D38" s="8">
        <v>231.35</v>
      </c>
      <c r="E38" s="3"/>
      <c r="F38" s="7">
        <f t="shared" si="20"/>
        <v>7.2726712598555152E-3</v>
      </c>
      <c r="G38" s="3"/>
      <c r="H38" s="8">
        <v>5928</v>
      </c>
      <c r="I38" s="3"/>
      <c r="J38" s="7">
        <f t="shared" si="21"/>
        <v>0.1905067969277244</v>
      </c>
      <c r="K38" s="3"/>
      <c r="L38" s="8">
        <f t="shared" si="22"/>
        <v>-5696.65</v>
      </c>
      <c r="M38" s="3"/>
      <c r="N38" s="7">
        <f t="shared" si="23"/>
        <v>-0.96097334682860991</v>
      </c>
      <c r="O38" s="11"/>
      <c r="P38" s="8">
        <v>231.35</v>
      </c>
      <c r="Q38" s="3"/>
      <c r="R38" s="7">
        <f t="shared" si="24"/>
        <v>7.2726712598555152E-3</v>
      </c>
      <c r="S38" s="3"/>
      <c r="T38" s="8">
        <v>5928</v>
      </c>
      <c r="U38" s="3"/>
      <c r="V38" s="7">
        <f t="shared" si="25"/>
        <v>0.1905067969277244</v>
      </c>
      <c r="W38" s="3"/>
      <c r="X38" s="8">
        <f t="shared" si="26"/>
        <v>-5696.65</v>
      </c>
      <c r="Y38" s="3"/>
      <c r="Z38" s="7">
        <f t="shared" si="27"/>
        <v>-0.96097334682860991</v>
      </c>
    </row>
    <row r="39" spans="1:26" s="24" customFormat="1" hidden="1" outlineLevel="2" x14ac:dyDescent="0.3">
      <c r="A39" s="29"/>
      <c r="B39" s="11" t="str">
        <f>CONCATENATE("          ", "6005", " - ", "TEMPORARY WAGES-HOURLY")</f>
        <v xml:space="preserve">          6005 - TEMPORARY WAGES-HOURLY</v>
      </c>
      <c r="C39" s="11"/>
      <c r="D39" s="8">
        <v>1351.21</v>
      </c>
      <c r="E39" s="3"/>
      <c r="F39" s="7">
        <f t="shared" si="20"/>
        <v>4.2476361067773374E-2</v>
      </c>
      <c r="G39" s="3"/>
      <c r="H39" s="8">
        <v>0</v>
      </c>
      <c r="I39" s="3"/>
      <c r="J39" s="7">
        <f t="shared" si="21"/>
        <v>0</v>
      </c>
      <c r="K39" s="3"/>
      <c r="L39" s="8">
        <f t="shared" si="22"/>
        <v>1351.21</v>
      </c>
      <c r="M39" s="3"/>
      <c r="N39" s="7">
        <f t="shared" si="23"/>
        <v>0</v>
      </c>
      <c r="O39" s="11"/>
      <c r="P39" s="8">
        <v>1351.21</v>
      </c>
      <c r="Q39" s="3"/>
      <c r="R39" s="7">
        <f t="shared" si="24"/>
        <v>4.2476361067773374E-2</v>
      </c>
      <c r="S39" s="3"/>
      <c r="T39" s="8">
        <v>0</v>
      </c>
      <c r="U39" s="3"/>
      <c r="V39" s="7">
        <f t="shared" si="25"/>
        <v>0</v>
      </c>
      <c r="W39" s="3"/>
      <c r="X39" s="8">
        <f t="shared" si="26"/>
        <v>1351.21</v>
      </c>
      <c r="Y39" s="3"/>
      <c r="Z39" s="7">
        <f t="shared" si="27"/>
        <v>0</v>
      </c>
    </row>
    <row r="40" spans="1:26" s="24" customFormat="1" hidden="1" outlineLevel="2" x14ac:dyDescent="0.3">
      <c r="A40" s="29"/>
      <c r="B40" s="11" t="str">
        <f>CONCATENATE("          ", "6006", " - ", "TEMPORARY PART TIME")</f>
        <v xml:space="preserve">          6006 - TEMPORARY PART TIME</v>
      </c>
      <c r="C40" s="11"/>
      <c r="D40" s="8"/>
      <c r="E40" s="3"/>
      <c r="F40" s="7">
        <f t="shared" si="20"/>
        <v>0</v>
      </c>
      <c r="G40" s="3"/>
      <c r="H40" s="8">
        <v>0</v>
      </c>
      <c r="I40" s="3"/>
      <c r="J40" s="7">
        <f t="shared" si="21"/>
        <v>0</v>
      </c>
      <c r="K40" s="3"/>
      <c r="L40" s="8">
        <f t="shared" si="22"/>
        <v>0</v>
      </c>
      <c r="M40" s="3"/>
      <c r="N40" s="7">
        <f t="shared" si="23"/>
        <v>0</v>
      </c>
      <c r="O40" s="11"/>
      <c r="P40" s="8"/>
      <c r="Q40" s="3"/>
      <c r="R40" s="7">
        <f t="shared" si="24"/>
        <v>0</v>
      </c>
      <c r="S40" s="3"/>
      <c r="T40" s="8">
        <v>0</v>
      </c>
      <c r="U40" s="3"/>
      <c r="V40" s="7">
        <f t="shared" si="25"/>
        <v>0</v>
      </c>
      <c r="W40" s="3"/>
      <c r="X40" s="8">
        <f t="shared" si="26"/>
        <v>0</v>
      </c>
      <c r="Y40" s="3"/>
      <c r="Z40" s="7">
        <f t="shared" si="27"/>
        <v>0</v>
      </c>
    </row>
    <row r="41" spans="1:26" s="24" customFormat="1" hidden="1" outlineLevel="2" x14ac:dyDescent="0.3">
      <c r="A41" s="29"/>
      <c r="B41" s="11" t="str">
        <f>CONCATENATE("          ", "6007", " - ", "STUDENT HOURLY")</f>
        <v xml:space="preserve">          6007 - STUDENT HOURLY</v>
      </c>
      <c r="C41" s="11"/>
      <c r="D41" s="8">
        <v>3257.77</v>
      </c>
      <c r="E41" s="3"/>
      <c r="F41" s="7">
        <f t="shared" si="20"/>
        <v>0.10241059109669116</v>
      </c>
      <c r="G41" s="3"/>
      <c r="H41" s="8">
        <v>2778.75</v>
      </c>
      <c r="I41" s="3"/>
      <c r="J41" s="7">
        <f t="shared" si="21"/>
        <v>8.9300061059870817E-2</v>
      </c>
      <c r="K41" s="3"/>
      <c r="L41" s="8">
        <f t="shared" si="22"/>
        <v>479.02</v>
      </c>
      <c r="M41" s="3"/>
      <c r="N41" s="7">
        <f t="shared" si="23"/>
        <v>0.17238686459739092</v>
      </c>
      <c r="O41" s="11"/>
      <c r="P41" s="8">
        <v>3257.77</v>
      </c>
      <c r="Q41" s="3"/>
      <c r="R41" s="7">
        <f t="shared" si="24"/>
        <v>0.10241059109669116</v>
      </c>
      <c r="S41" s="3"/>
      <c r="T41" s="8">
        <v>2778.75</v>
      </c>
      <c r="U41" s="3"/>
      <c r="V41" s="7">
        <f t="shared" si="25"/>
        <v>8.9300061059870817E-2</v>
      </c>
      <c r="W41" s="3"/>
      <c r="X41" s="8">
        <f t="shared" si="26"/>
        <v>479.02</v>
      </c>
      <c r="Y41" s="3"/>
      <c r="Z41" s="7">
        <f t="shared" si="27"/>
        <v>0.17238686459739092</v>
      </c>
    </row>
    <row r="42" spans="1:26" s="24" customFormat="1" hidden="1" outlineLevel="2" x14ac:dyDescent="0.3">
      <c r="A42" s="29"/>
      <c r="B42" s="11" t="str">
        <f>CONCATENATE("          ", "6008", " - ", "STUDENT HOURLY-FICA EXEMPT")</f>
        <v xml:space="preserve">          6008 - STUDENT HOURLY-FICA EXEMPT</v>
      </c>
      <c r="C42" s="11"/>
      <c r="D42" s="8">
        <v>293.75</v>
      </c>
      <c r="E42" s="3"/>
      <c r="F42" s="7">
        <f t="shared" si="20"/>
        <v>9.2342648912148578E-3</v>
      </c>
      <c r="G42" s="3"/>
      <c r="H42" s="8">
        <v>0</v>
      </c>
      <c r="I42" s="3"/>
      <c r="J42" s="7">
        <f t="shared" si="21"/>
        <v>0</v>
      </c>
      <c r="K42" s="3"/>
      <c r="L42" s="8">
        <f t="shared" si="22"/>
        <v>293.75</v>
      </c>
      <c r="M42" s="3"/>
      <c r="N42" s="7">
        <f t="shared" si="23"/>
        <v>0</v>
      </c>
      <c r="O42" s="11"/>
      <c r="P42" s="8">
        <v>293.75</v>
      </c>
      <c r="Q42" s="3"/>
      <c r="R42" s="7">
        <f t="shared" si="24"/>
        <v>9.2342648912148578E-3</v>
      </c>
      <c r="S42" s="3"/>
      <c r="T42" s="8">
        <v>0</v>
      </c>
      <c r="U42" s="3"/>
      <c r="V42" s="7">
        <f t="shared" si="25"/>
        <v>0</v>
      </c>
      <c r="W42" s="3"/>
      <c r="X42" s="8">
        <f t="shared" si="26"/>
        <v>293.75</v>
      </c>
      <c r="Y42" s="3"/>
      <c r="Z42" s="7">
        <f t="shared" si="27"/>
        <v>0</v>
      </c>
    </row>
    <row r="43" spans="1:26" s="24" customFormat="1" hidden="1" outlineLevel="2" x14ac:dyDescent="0.3">
      <c r="A43" s="29"/>
      <c r="B43" s="11" t="str">
        <f>CONCATENATE("          ", "6009", " - ", "TEMPORARY-SEASONAL")</f>
        <v xml:space="preserve">          6009 - TEMPORARY-SEASONAL</v>
      </c>
      <c r="C43" s="11"/>
      <c r="D43" s="8"/>
      <c r="E43" s="3"/>
      <c r="F43" s="7">
        <f t="shared" si="20"/>
        <v>0</v>
      </c>
      <c r="G43" s="3"/>
      <c r="H43" s="8">
        <v>0</v>
      </c>
      <c r="I43" s="3"/>
      <c r="J43" s="7">
        <f t="shared" si="21"/>
        <v>0</v>
      </c>
      <c r="K43" s="3"/>
      <c r="L43" s="8">
        <f t="shared" si="22"/>
        <v>0</v>
      </c>
      <c r="M43" s="3"/>
      <c r="N43" s="7">
        <f t="shared" si="23"/>
        <v>0</v>
      </c>
      <c r="O43" s="11"/>
      <c r="P43" s="8"/>
      <c r="Q43" s="3"/>
      <c r="R43" s="7">
        <f t="shared" si="24"/>
        <v>0</v>
      </c>
      <c r="S43" s="3"/>
      <c r="T43" s="8">
        <v>0</v>
      </c>
      <c r="U43" s="3"/>
      <c r="V43" s="7">
        <f t="shared" si="25"/>
        <v>0</v>
      </c>
      <c r="W43" s="3"/>
      <c r="X43" s="8">
        <f t="shared" si="26"/>
        <v>0</v>
      </c>
      <c r="Y43" s="3"/>
      <c r="Z43" s="7">
        <f t="shared" si="27"/>
        <v>0</v>
      </c>
    </row>
    <row r="44" spans="1:26" s="24" customFormat="1" hidden="1" outlineLevel="2" x14ac:dyDescent="0.3">
      <c r="A44" s="29"/>
      <c r="B44" s="11" t="str">
        <f>CONCATENATE("          ", "6010", " - ", "GRATUITY")</f>
        <v xml:space="preserve">          6010 - GRATUITY</v>
      </c>
      <c r="C44" s="11"/>
      <c r="D44" s="8"/>
      <c r="E44" s="3"/>
      <c r="F44" s="7">
        <f t="shared" si="20"/>
        <v>0</v>
      </c>
      <c r="G44" s="3"/>
      <c r="H44" s="8">
        <v>0</v>
      </c>
      <c r="I44" s="3"/>
      <c r="J44" s="7">
        <f t="shared" si="21"/>
        <v>0</v>
      </c>
      <c r="K44" s="3"/>
      <c r="L44" s="8">
        <f t="shared" si="22"/>
        <v>0</v>
      </c>
      <c r="M44" s="3"/>
      <c r="N44" s="7">
        <f t="shared" si="23"/>
        <v>0</v>
      </c>
      <c r="O44" s="11"/>
      <c r="P44" s="8"/>
      <c r="Q44" s="3"/>
      <c r="R44" s="7">
        <f t="shared" si="24"/>
        <v>0</v>
      </c>
      <c r="S44" s="3"/>
      <c r="T44" s="8">
        <v>0</v>
      </c>
      <c r="U44" s="3"/>
      <c r="V44" s="7">
        <f t="shared" si="25"/>
        <v>0</v>
      </c>
      <c r="W44" s="3"/>
      <c r="X44" s="8">
        <f t="shared" si="26"/>
        <v>0</v>
      </c>
      <c r="Y44" s="3"/>
      <c r="Z44" s="7">
        <f t="shared" si="27"/>
        <v>0</v>
      </c>
    </row>
    <row r="45" spans="1:26" s="27" customFormat="1" outlineLevel="1" collapsed="1" x14ac:dyDescent="0.3">
      <c r="A45" s="28"/>
      <c r="B45" s="14" t="str">
        <f>CONCATENATE("     ","Advertising/Promo                                 ")</f>
        <v xml:space="preserve">     Advertising/Promo                                 </v>
      </c>
      <c r="C45" s="14"/>
      <c r="D45" s="1">
        <f>SUM(OSRRefD22_2x_0)</f>
        <v>195</v>
      </c>
      <c r="E45" s="1"/>
      <c r="F45" s="5">
        <f t="shared" ref="F45:F65" si="28">IF(D$12=0,0,D45/D$12)</f>
        <v>6.1299800979979484E-3</v>
      </c>
      <c r="G45" s="1"/>
      <c r="H45" s="1">
        <f>SUM(OSRRefH22_2x_0)</f>
        <v>50</v>
      </c>
      <c r="I45" s="1"/>
      <c r="J45" s="5">
        <f t="shared" ref="J45:J65" si="29">IF(H$12=0,0,H45/H$12)</f>
        <v>1.6068387055307388E-3</v>
      </c>
      <c r="K45" s="1"/>
      <c r="L45" s="1">
        <f t="shared" ref="L45:L65" si="30">+D45-H45</f>
        <v>145</v>
      </c>
      <c r="M45" s="1"/>
      <c r="N45" s="5">
        <f t="shared" ref="N45:N65" si="31">IF(H45=0,0,L45/H45)</f>
        <v>2.9</v>
      </c>
      <c r="O45" s="14"/>
      <c r="P45" s="1">
        <f>SUM(OSRRefP22_2x_0)</f>
        <v>195</v>
      </c>
      <c r="Q45" s="1"/>
      <c r="R45" s="5">
        <f t="shared" ref="R45:R65" si="32">IF(P$12=0,0,P45/P$12)</f>
        <v>6.1299800979979484E-3</v>
      </c>
      <c r="S45" s="1"/>
      <c r="T45" s="1">
        <f>SUM(OSRRefT22_2x_0)</f>
        <v>50</v>
      </c>
      <c r="U45" s="1"/>
      <c r="V45" s="5">
        <f t="shared" ref="V45:V65" si="33">IF(T$12=0,0,T45/T$12)</f>
        <v>1.6068387055307388E-3</v>
      </c>
      <c r="W45" s="1"/>
      <c r="X45" s="1">
        <f t="shared" ref="X45:X65" si="34">+P45-T45</f>
        <v>145</v>
      </c>
      <c r="Y45" s="1"/>
      <c r="Z45" s="5">
        <f t="shared" ref="Z45:Z65" si="35">IF(T45=0,0,X45/T45)</f>
        <v>2.9</v>
      </c>
    </row>
    <row r="46" spans="1:26" s="24" customFormat="1" hidden="1" outlineLevel="2" x14ac:dyDescent="0.3">
      <c r="A46" s="29"/>
      <c r="B46" s="11" t="str">
        <f>CONCATENATE("          ", "6362", " - ", "ADVERTISING EXPENSE")</f>
        <v xml:space="preserve">          6362 - ADVERTISING EXPENSE</v>
      </c>
      <c r="C46" s="11"/>
      <c r="D46" s="8">
        <v>195</v>
      </c>
      <c r="E46" s="3"/>
      <c r="F46" s="7">
        <f t="shared" si="28"/>
        <v>6.1299800979979484E-3</v>
      </c>
      <c r="G46" s="3"/>
      <c r="H46" s="8">
        <v>50</v>
      </c>
      <c r="I46" s="3"/>
      <c r="J46" s="7">
        <f t="shared" si="29"/>
        <v>1.6068387055307388E-3</v>
      </c>
      <c r="K46" s="3"/>
      <c r="L46" s="8">
        <f t="shared" si="30"/>
        <v>145</v>
      </c>
      <c r="M46" s="3"/>
      <c r="N46" s="7">
        <f t="shared" si="31"/>
        <v>2.9</v>
      </c>
      <c r="O46" s="11"/>
      <c r="P46" s="8">
        <v>195</v>
      </c>
      <c r="Q46" s="3"/>
      <c r="R46" s="7">
        <f t="shared" si="32"/>
        <v>6.1299800979979484E-3</v>
      </c>
      <c r="S46" s="3"/>
      <c r="T46" s="8">
        <v>50</v>
      </c>
      <c r="U46" s="3"/>
      <c r="V46" s="7">
        <f t="shared" si="33"/>
        <v>1.6068387055307388E-3</v>
      </c>
      <c r="W46" s="3"/>
      <c r="X46" s="8">
        <f t="shared" si="34"/>
        <v>145</v>
      </c>
      <c r="Y46" s="3"/>
      <c r="Z46" s="7">
        <f t="shared" si="35"/>
        <v>2.9</v>
      </c>
    </row>
    <row r="47" spans="1:26" s="27" customFormat="1" outlineLevel="1" collapsed="1" x14ac:dyDescent="0.3">
      <c r="A47" s="28"/>
      <c r="B47" s="14" t="str">
        <f>CONCATENATE("     ","Bad Debts/Over/Short                              ")</f>
        <v xml:space="preserve">     Bad Debts/Over/Short                              </v>
      </c>
      <c r="C47" s="14"/>
      <c r="D47" s="1">
        <f>SUM(OSRRefD22_3x_0)</f>
        <v>0.6</v>
      </c>
      <c r="E47" s="1"/>
      <c r="F47" s="5">
        <f t="shared" si="28"/>
        <v>1.8861477224609071E-5</v>
      </c>
      <c r="G47" s="1"/>
      <c r="H47" s="1">
        <f>SUM(OSRRefH22_3x_0)</f>
        <v>10</v>
      </c>
      <c r="I47" s="1"/>
      <c r="J47" s="5">
        <f t="shared" si="29"/>
        <v>3.2136774110614778E-4</v>
      </c>
      <c r="K47" s="1"/>
      <c r="L47" s="1">
        <f t="shared" si="30"/>
        <v>-9.4</v>
      </c>
      <c r="M47" s="1"/>
      <c r="N47" s="5">
        <f t="shared" si="31"/>
        <v>-0.94000000000000006</v>
      </c>
      <c r="O47" s="14"/>
      <c r="P47" s="1">
        <f>SUM(OSRRefP22_3x_0)</f>
        <v>0.6</v>
      </c>
      <c r="Q47" s="1"/>
      <c r="R47" s="5">
        <f t="shared" si="32"/>
        <v>1.8861477224609071E-5</v>
      </c>
      <c r="S47" s="1"/>
      <c r="T47" s="1">
        <f>SUM(OSRRefT22_3x_0)</f>
        <v>10</v>
      </c>
      <c r="U47" s="1"/>
      <c r="V47" s="5">
        <f t="shared" si="33"/>
        <v>3.2136774110614778E-4</v>
      </c>
      <c r="W47" s="1"/>
      <c r="X47" s="1">
        <f t="shared" si="34"/>
        <v>-9.4</v>
      </c>
      <c r="Y47" s="1"/>
      <c r="Z47" s="5">
        <f t="shared" si="35"/>
        <v>-0.94000000000000006</v>
      </c>
    </row>
    <row r="48" spans="1:26" s="24" customFormat="1" hidden="1" outlineLevel="2" x14ac:dyDescent="0.3">
      <c r="A48" s="29"/>
      <c r="B48" s="11" t="str">
        <f>CONCATENATE("          ", "6272", " - ", "CASH (OVER/SHORT)")</f>
        <v xml:space="preserve">          6272 - CASH (OVER/SHORT)</v>
      </c>
      <c r="C48" s="11"/>
      <c r="D48" s="8">
        <v>0.6</v>
      </c>
      <c r="E48" s="3"/>
      <c r="F48" s="7">
        <f t="shared" si="28"/>
        <v>1.8861477224609071E-5</v>
      </c>
      <c r="G48" s="3"/>
      <c r="H48" s="8">
        <v>10</v>
      </c>
      <c r="I48" s="3"/>
      <c r="J48" s="7">
        <f t="shared" si="29"/>
        <v>3.2136774110614778E-4</v>
      </c>
      <c r="K48" s="3"/>
      <c r="L48" s="8">
        <f t="shared" si="30"/>
        <v>-9.4</v>
      </c>
      <c r="M48" s="3"/>
      <c r="N48" s="7">
        <f t="shared" si="31"/>
        <v>-0.94000000000000006</v>
      </c>
      <c r="O48" s="11"/>
      <c r="P48" s="8">
        <v>0.6</v>
      </c>
      <c r="Q48" s="3"/>
      <c r="R48" s="7">
        <f t="shared" si="32"/>
        <v>1.8861477224609071E-5</v>
      </c>
      <c r="S48" s="3"/>
      <c r="T48" s="8">
        <v>10</v>
      </c>
      <c r="U48" s="3"/>
      <c r="V48" s="7">
        <f t="shared" si="33"/>
        <v>3.2136774110614778E-4</v>
      </c>
      <c r="W48" s="3"/>
      <c r="X48" s="8">
        <f t="shared" si="34"/>
        <v>-9.4</v>
      </c>
      <c r="Y48" s="3"/>
      <c r="Z48" s="7">
        <f t="shared" si="35"/>
        <v>-0.94000000000000006</v>
      </c>
    </row>
    <row r="49" spans="1:26" s="27" customFormat="1" outlineLevel="1" collapsed="1" x14ac:dyDescent="0.3">
      <c r="A49" s="28"/>
      <c r="B49" s="14" t="str">
        <f>CONCATENATE("     ","Bank/card Fees                                    ")</f>
        <v xml:space="preserve">     Bank/card Fees                                    </v>
      </c>
      <c r="C49" s="14"/>
      <c r="D49" s="1">
        <f>SUM(OSRRefD22_4x_0)</f>
        <v>492.32</v>
      </c>
      <c r="E49" s="1"/>
      <c r="F49" s="5">
        <f t="shared" si="28"/>
        <v>1.5476470778699231E-2</v>
      </c>
      <c r="G49" s="1"/>
      <c r="H49" s="1">
        <f>SUM(OSRRefH22_4x_0)</f>
        <v>597</v>
      </c>
      <c r="I49" s="1"/>
      <c r="J49" s="5">
        <f t="shared" si="29"/>
        <v>1.9185654144037022E-2</v>
      </c>
      <c r="K49" s="1"/>
      <c r="L49" s="1">
        <f t="shared" si="30"/>
        <v>-104.68</v>
      </c>
      <c r="M49" s="1"/>
      <c r="N49" s="5">
        <f t="shared" si="31"/>
        <v>-0.17534338358458962</v>
      </c>
      <c r="O49" s="14"/>
      <c r="P49" s="1">
        <f>SUM(OSRRefP22_4x_0)</f>
        <v>492.32</v>
      </c>
      <c r="Q49" s="1"/>
      <c r="R49" s="5">
        <f t="shared" si="32"/>
        <v>1.5476470778699231E-2</v>
      </c>
      <c r="S49" s="1"/>
      <c r="T49" s="1">
        <f>SUM(OSRRefT22_4x_0)</f>
        <v>597</v>
      </c>
      <c r="U49" s="1"/>
      <c r="V49" s="5">
        <f t="shared" si="33"/>
        <v>1.9185654144037022E-2</v>
      </c>
      <c r="W49" s="1"/>
      <c r="X49" s="1">
        <f t="shared" si="34"/>
        <v>-104.68</v>
      </c>
      <c r="Y49" s="1"/>
      <c r="Z49" s="5">
        <f t="shared" si="35"/>
        <v>-0.17534338358458962</v>
      </c>
    </row>
    <row r="50" spans="1:26" s="24" customFormat="1" hidden="1" outlineLevel="2" x14ac:dyDescent="0.3">
      <c r="A50" s="29"/>
      <c r="B50" s="11" t="str">
        <f>CONCATENATE("          ", "6381", " - ", "BANK/CREDIT CARD FEES")</f>
        <v xml:space="preserve">          6381 - BANK/CREDIT CARD FEES</v>
      </c>
      <c r="C50" s="11"/>
      <c r="D50" s="8">
        <v>492.32</v>
      </c>
      <c r="E50" s="3"/>
      <c r="F50" s="7">
        <f t="shared" si="28"/>
        <v>1.5476470778699231E-2</v>
      </c>
      <c r="G50" s="3"/>
      <c r="H50" s="8">
        <v>597</v>
      </c>
      <c r="I50" s="3"/>
      <c r="J50" s="7">
        <f t="shared" si="29"/>
        <v>1.9185654144037022E-2</v>
      </c>
      <c r="K50" s="3"/>
      <c r="L50" s="8">
        <f t="shared" si="30"/>
        <v>-104.68</v>
      </c>
      <c r="M50" s="3"/>
      <c r="N50" s="7">
        <f t="shared" si="31"/>
        <v>-0.17534338358458962</v>
      </c>
      <c r="O50" s="11"/>
      <c r="P50" s="8">
        <v>492.32</v>
      </c>
      <c r="Q50" s="3"/>
      <c r="R50" s="7">
        <f t="shared" si="32"/>
        <v>1.5476470778699231E-2</v>
      </c>
      <c r="S50" s="3"/>
      <c r="T50" s="8">
        <v>597</v>
      </c>
      <c r="U50" s="3"/>
      <c r="V50" s="7">
        <f t="shared" si="33"/>
        <v>1.9185654144037022E-2</v>
      </c>
      <c r="W50" s="3"/>
      <c r="X50" s="8">
        <f t="shared" si="34"/>
        <v>-104.68</v>
      </c>
      <c r="Y50" s="3"/>
      <c r="Z50" s="7">
        <f t="shared" si="35"/>
        <v>-0.17534338358458962</v>
      </c>
    </row>
    <row r="51" spans="1:26" s="27" customFormat="1" outlineLevel="1" collapsed="1" x14ac:dyDescent="0.3">
      <c r="A51" s="28"/>
      <c r="B51" s="14" t="str">
        <f>CONCATENATE("     ","Employees' Appreciation                           ")</f>
        <v xml:space="preserve">     Employees' Appreciation                           </v>
      </c>
      <c r="C51" s="14"/>
      <c r="D51" s="1">
        <f>SUM(OSRRefD22_5x_0)</f>
        <v>0</v>
      </c>
      <c r="E51" s="1"/>
      <c r="F51" s="5">
        <f t="shared" si="28"/>
        <v>0</v>
      </c>
      <c r="G51" s="1"/>
      <c r="H51" s="1">
        <f>SUM(OSRRefH22_5x_0)</f>
        <v>25</v>
      </c>
      <c r="I51" s="1"/>
      <c r="J51" s="5">
        <f t="shared" si="29"/>
        <v>8.0341935276536942E-4</v>
      </c>
      <c r="K51" s="1"/>
      <c r="L51" s="1">
        <f t="shared" si="30"/>
        <v>-25</v>
      </c>
      <c r="M51" s="1"/>
      <c r="N51" s="5">
        <f t="shared" si="31"/>
        <v>-1</v>
      </c>
      <c r="O51" s="14"/>
      <c r="P51" s="1">
        <f>SUM(OSRRefP22_5x_0)</f>
        <v>0</v>
      </c>
      <c r="Q51" s="1"/>
      <c r="R51" s="5">
        <f t="shared" si="32"/>
        <v>0</v>
      </c>
      <c r="S51" s="1"/>
      <c r="T51" s="1">
        <f>SUM(OSRRefT22_5x_0)</f>
        <v>25</v>
      </c>
      <c r="U51" s="1"/>
      <c r="V51" s="5">
        <f t="shared" si="33"/>
        <v>8.0341935276536942E-4</v>
      </c>
      <c r="W51" s="1"/>
      <c r="X51" s="1">
        <f t="shared" si="34"/>
        <v>-25</v>
      </c>
      <c r="Y51" s="1"/>
      <c r="Z51" s="5">
        <f t="shared" si="35"/>
        <v>-1</v>
      </c>
    </row>
    <row r="52" spans="1:26" s="24" customFormat="1" hidden="1" outlineLevel="2" x14ac:dyDescent="0.3">
      <c r="A52" s="29"/>
      <c r="B52" s="11" t="str">
        <f>CONCATENATE("          ", "6277", " - ", "EMPLOYEE APPRECIATION")</f>
        <v xml:space="preserve">          6277 - EMPLOYEE APPRECIATION</v>
      </c>
      <c r="C52" s="11"/>
      <c r="D52" s="8"/>
      <c r="E52" s="3"/>
      <c r="F52" s="7">
        <f t="shared" si="28"/>
        <v>0</v>
      </c>
      <c r="G52" s="3"/>
      <c r="H52" s="8">
        <v>25</v>
      </c>
      <c r="I52" s="3"/>
      <c r="J52" s="7">
        <f t="shared" si="29"/>
        <v>8.0341935276536942E-4</v>
      </c>
      <c r="K52" s="3"/>
      <c r="L52" s="8">
        <f t="shared" si="30"/>
        <v>-25</v>
      </c>
      <c r="M52" s="3"/>
      <c r="N52" s="7">
        <f t="shared" si="31"/>
        <v>-1</v>
      </c>
      <c r="O52" s="11"/>
      <c r="P52" s="8"/>
      <c r="Q52" s="3"/>
      <c r="R52" s="7">
        <f t="shared" si="32"/>
        <v>0</v>
      </c>
      <c r="S52" s="3"/>
      <c r="T52" s="8">
        <v>25</v>
      </c>
      <c r="U52" s="3"/>
      <c r="V52" s="7">
        <f t="shared" si="33"/>
        <v>8.0341935276536942E-4</v>
      </c>
      <c r="W52" s="3"/>
      <c r="X52" s="8">
        <f t="shared" si="34"/>
        <v>-25</v>
      </c>
      <c r="Y52" s="3"/>
      <c r="Z52" s="7">
        <f t="shared" si="35"/>
        <v>-1</v>
      </c>
    </row>
    <row r="53" spans="1:26" s="27" customFormat="1" outlineLevel="1" collapsed="1" x14ac:dyDescent="0.3">
      <c r="A53" s="28"/>
      <c r="B53" s="14" t="str">
        <f>CONCATENATE("     ","General                                           ")</f>
        <v xml:space="preserve">     General                                           </v>
      </c>
      <c r="C53" s="14"/>
      <c r="D53" s="1">
        <f>SUM(OSRRefD22_6x_0)</f>
        <v>0</v>
      </c>
      <c r="E53" s="1"/>
      <c r="F53" s="5">
        <f t="shared" si="28"/>
        <v>0</v>
      </c>
      <c r="G53" s="1"/>
      <c r="H53" s="1">
        <f>SUM(OSRRefH22_6x_0)</f>
        <v>125</v>
      </c>
      <c r="I53" s="1"/>
      <c r="J53" s="5">
        <f t="shared" si="29"/>
        <v>4.0170967638268468E-3</v>
      </c>
      <c r="K53" s="1"/>
      <c r="L53" s="1">
        <f t="shared" si="30"/>
        <v>-125</v>
      </c>
      <c r="M53" s="1"/>
      <c r="N53" s="5">
        <f t="shared" si="31"/>
        <v>-1</v>
      </c>
      <c r="O53" s="14"/>
      <c r="P53" s="1">
        <f>SUM(OSRRefP22_6x_0)</f>
        <v>0</v>
      </c>
      <c r="Q53" s="1"/>
      <c r="R53" s="5">
        <f t="shared" si="32"/>
        <v>0</v>
      </c>
      <c r="S53" s="1"/>
      <c r="T53" s="1">
        <f>SUM(OSRRefT22_6x_0)</f>
        <v>125</v>
      </c>
      <c r="U53" s="1"/>
      <c r="V53" s="5">
        <f t="shared" si="33"/>
        <v>4.0170967638268468E-3</v>
      </c>
      <c r="W53" s="1"/>
      <c r="X53" s="1">
        <f t="shared" si="34"/>
        <v>-125</v>
      </c>
      <c r="Y53" s="1"/>
      <c r="Z53" s="5">
        <f t="shared" si="35"/>
        <v>-1</v>
      </c>
    </row>
    <row r="54" spans="1:26" s="24" customFormat="1" hidden="1" outlineLevel="2" x14ac:dyDescent="0.3">
      <c r="A54" s="29"/>
      <c r="B54" s="11" t="str">
        <f>CONCATENATE("          ", "6276", " - ", "PROPERTY TAX")</f>
        <v xml:space="preserve">          6276 - PROPERTY TAX</v>
      </c>
      <c r="C54" s="11"/>
      <c r="D54" s="8"/>
      <c r="E54" s="3"/>
      <c r="F54" s="7">
        <f t="shared" si="28"/>
        <v>0</v>
      </c>
      <c r="G54" s="3"/>
      <c r="H54" s="8">
        <v>125</v>
      </c>
      <c r="I54" s="3"/>
      <c r="J54" s="7">
        <f t="shared" si="29"/>
        <v>4.0170967638268468E-3</v>
      </c>
      <c r="K54" s="3"/>
      <c r="L54" s="8">
        <f t="shared" si="30"/>
        <v>-125</v>
      </c>
      <c r="M54" s="3"/>
      <c r="N54" s="7">
        <f t="shared" si="31"/>
        <v>-1</v>
      </c>
      <c r="O54" s="11"/>
      <c r="P54" s="8"/>
      <c r="Q54" s="3"/>
      <c r="R54" s="7">
        <f t="shared" si="32"/>
        <v>0</v>
      </c>
      <c r="S54" s="3"/>
      <c r="T54" s="8">
        <v>125</v>
      </c>
      <c r="U54" s="3"/>
      <c r="V54" s="7">
        <f t="shared" si="33"/>
        <v>4.0170967638268468E-3</v>
      </c>
      <c r="W54" s="3"/>
      <c r="X54" s="8">
        <f t="shared" si="34"/>
        <v>-125</v>
      </c>
      <c r="Y54" s="3"/>
      <c r="Z54" s="7">
        <f t="shared" si="35"/>
        <v>-1</v>
      </c>
    </row>
    <row r="55" spans="1:26" s="27" customFormat="1" outlineLevel="1" collapsed="1" x14ac:dyDescent="0.3">
      <c r="A55" s="28"/>
      <c r="B55" s="14" t="str">
        <f>CONCATENATE("     ","Insurance                                         ")</f>
        <v xml:space="preserve">     Insurance                                         </v>
      </c>
      <c r="C55" s="14"/>
      <c r="D55" s="1">
        <f>SUM(OSRRefD22_7x_0)</f>
        <v>219.08</v>
      </c>
      <c r="E55" s="1"/>
      <c r="F55" s="5">
        <f t="shared" si="28"/>
        <v>6.8869540506122599E-3</v>
      </c>
      <c r="G55" s="1"/>
      <c r="H55" s="1">
        <f>SUM(OSRRefH22_7x_0)</f>
        <v>175</v>
      </c>
      <c r="I55" s="1"/>
      <c r="J55" s="5">
        <f t="shared" si="29"/>
        <v>5.6239354693575858E-3</v>
      </c>
      <c r="K55" s="1"/>
      <c r="L55" s="1">
        <f t="shared" si="30"/>
        <v>44.080000000000013</v>
      </c>
      <c r="M55" s="1"/>
      <c r="N55" s="5">
        <f t="shared" si="31"/>
        <v>0.25188571428571438</v>
      </c>
      <c r="O55" s="14"/>
      <c r="P55" s="1">
        <f>SUM(OSRRefP22_7x_0)</f>
        <v>219.08</v>
      </c>
      <c r="Q55" s="1"/>
      <c r="R55" s="5">
        <f t="shared" si="32"/>
        <v>6.8869540506122599E-3</v>
      </c>
      <c r="S55" s="1"/>
      <c r="T55" s="1">
        <f>SUM(OSRRefT22_7x_0)</f>
        <v>175</v>
      </c>
      <c r="U55" s="1"/>
      <c r="V55" s="5">
        <f t="shared" si="33"/>
        <v>5.6239354693575858E-3</v>
      </c>
      <c r="W55" s="1"/>
      <c r="X55" s="1">
        <f t="shared" si="34"/>
        <v>44.080000000000013</v>
      </c>
      <c r="Y55" s="1"/>
      <c r="Z55" s="5">
        <f t="shared" si="35"/>
        <v>0.25188571428571438</v>
      </c>
    </row>
    <row r="56" spans="1:26" s="24" customFormat="1" hidden="1" outlineLevel="2" x14ac:dyDescent="0.3">
      <c r="A56" s="29"/>
      <c r="B56" s="11" t="str">
        <f>CONCATENATE("          ", "6314", " - ", "LIABILITY INSURANCE")</f>
        <v xml:space="preserve">          6314 - LIABILITY INSURANCE</v>
      </c>
      <c r="C56" s="11"/>
      <c r="D56" s="8">
        <v>219.08</v>
      </c>
      <c r="E56" s="3"/>
      <c r="F56" s="7">
        <f t="shared" si="28"/>
        <v>6.8869540506122599E-3</v>
      </c>
      <c r="G56" s="3"/>
      <c r="H56" s="8">
        <v>175</v>
      </c>
      <c r="I56" s="3"/>
      <c r="J56" s="7">
        <f t="shared" si="29"/>
        <v>5.6239354693575858E-3</v>
      </c>
      <c r="K56" s="3"/>
      <c r="L56" s="8">
        <f t="shared" si="30"/>
        <v>44.080000000000013</v>
      </c>
      <c r="M56" s="3"/>
      <c r="N56" s="7">
        <f t="shared" si="31"/>
        <v>0.25188571428571438</v>
      </c>
      <c r="O56" s="11"/>
      <c r="P56" s="8">
        <v>219.08</v>
      </c>
      <c r="Q56" s="3"/>
      <c r="R56" s="7">
        <f t="shared" si="32"/>
        <v>6.8869540506122599E-3</v>
      </c>
      <c r="S56" s="3"/>
      <c r="T56" s="8">
        <v>175</v>
      </c>
      <c r="U56" s="3"/>
      <c r="V56" s="7">
        <f t="shared" si="33"/>
        <v>5.6239354693575858E-3</v>
      </c>
      <c r="W56" s="3"/>
      <c r="X56" s="8">
        <f t="shared" si="34"/>
        <v>44.080000000000013</v>
      </c>
      <c r="Y56" s="3"/>
      <c r="Z56" s="7">
        <f t="shared" si="35"/>
        <v>0.25188571428571438</v>
      </c>
    </row>
    <row r="57" spans="1:26" s="27" customFormat="1" outlineLevel="1" collapsed="1" x14ac:dyDescent="0.3">
      <c r="A57" s="28"/>
      <c r="B57" s="14" t="str">
        <f>CONCATENATE("     ","Inventory Adjustment                              ")</f>
        <v xml:space="preserve">     Inventory Adjustment                              </v>
      </c>
      <c r="C57" s="14"/>
      <c r="D57" s="1">
        <f>SUM(OSRRefD22_8x_0)</f>
        <v>100</v>
      </c>
      <c r="E57" s="1"/>
      <c r="F57" s="5">
        <f t="shared" si="28"/>
        <v>3.1435795374348454E-3</v>
      </c>
      <c r="G57" s="1"/>
      <c r="H57" s="1">
        <f>SUM(OSRRefH22_8x_0)</f>
        <v>100</v>
      </c>
      <c r="I57" s="1"/>
      <c r="J57" s="5">
        <f t="shared" si="29"/>
        <v>3.2136774110614777E-3</v>
      </c>
      <c r="K57" s="1"/>
      <c r="L57" s="1">
        <f t="shared" si="30"/>
        <v>0</v>
      </c>
      <c r="M57" s="1"/>
      <c r="N57" s="5">
        <f t="shared" si="31"/>
        <v>0</v>
      </c>
      <c r="O57" s="14"/>
      <c r="P57" s="1">
        <f>SUM(OSRRefP22_8x_0)</f>
        <v>100</v>
      </c>
      <c r="Q57" s="1"/>
      <c r="R57" s="5">
        <f t="shared" si="32"/>
        <v>3.1435795374348454E-3</v>
      </c>
      <c r="S57" s="1"/>
      <c r="T57" s="1">
        <f>SUM(OSRRefT22_8x_0)</f>
        <v>100</v>
      </c>
      <c r="U57" s="1"/>
      <c r="V57" s="5">
        <f t="shared" si="33"/>
        <v>3.2136774110614777E-3</v>
      </c>
      <c r="W57" s="1"/>
      <c r="X57" s="1">
        <f t="shared" si="34"/>
        <v>0</v>
      </c>
      <c r="Y57" s="1"/>
      <c r="Z57" s="5">
        <f t="shared" si="35"/>
        <v>0</v>
      </c>
    </row>
    <row r="58" spans="1:26" s="24" customFormat="1" hidden="1" outlineLevel="2" x14ac:dyDescent="0.3">
      <c r="A58" s="29"/>
      <c r="B58" s="11" t="str">
        <f>CONCATENATE("          ", "6408", " - ", "INVENTORY ADJUSTMENT")</f>
        <v xml:space="preserve">          6408 - INVENTORY ADJUSTMENT</v>
      </c>
      <c r="C58" s="11"/>
      <c r="D58" s="8">
        <v>100</v>
      </c>
      <c r="E58" s="3"/>
      <c r="F58" s="7">
        <f t="shared" si="28"/>
        <v>3.1435795374348454E-3</v>
      </c>
      <c r="G58" s="3"/>
      <c r="H58" s="8">
        <v>100</v>
      </c>
      <c r="I58" s="3"/>
      <c r="J58" s="7">
        <f t="shared" si="29"/>
        <v>3.2136774110614777E-3</v>
      </c>
      <c r="K58" s="3"/>
      <c r="L58" s="8">
        <f t="shared" si="30"/>
        <v>0</v>
      </c>
      <c r="M58" s="3"/>
      <c r="N58" s="7">
        <f t="shared" si="31"/>
        <v>0</v>
      </c>
      <c r="O58" s="11"/>
      <c r="P58" s="8">
        <v>100</v>
      </c>
      <c r="Q58" s="3"/>
      <c r="R58" s="7">
        <f t="shared" si="32"/>
        <v>3.1435795374348454E-3</v>
      </c>
      <c r="S58" s="3"/>
      <c r="T58" s="8">
        <v>100</v>
      </c>
      <c r="U58" s="3"/>
      <c r="V58" s="7">
        <f t="shared" si="33"/>
        <v>3.2136774110614777E-3</v>
      </c>
      <c r="W58" s="3"/>
      <c r="X58" s="8">
        <f t="shared" si="34"/>
        <v>0</v>
      </c>
      <c r="Y58" s="3"/>
      <c r="Z58" s="7">
        <f t="shared" si="35"/>
        <v>0</v>
      </c>
    </row>
    <row r="59" spans="1:26" s="27" customFormat="1" outlineLevel="1" collapsed="1" x14ac:dyDescent="0.3">
      <c r="A59" s="28"/>
      <c r="B59" s="14" t="str">
        <f>CONCATENATE("     ","Professional Services                             ")</f>
        <v xml:space="preserve">     Professional Services                             </v>
      </c>
      <c r="C59" s="14"/>
      <c r="D59" s="1">
        <f>SUM(OSRRefD22_9x_0)</f>
        <v>0</v>
      </c>
      <c r="E59" s="1"/>
      <c r="F59" s="5">
        <f t="shared" si="28"/>
        <v>0</v>
      </c>
      <c r="G59" s="1"/>
      <c r="H59" s="1">
        <f>SUM(OSRRefH22_9x_0)</f>
        <v>750</v>
      </c>
      <c r="I59" s="1"/>
      <c r="J59" s="5">
        <f t="shared" si="29"/>
        <v>2.4102580582961081E-2</v>
      </c>
      <c r="K59" s="1"/>
      <c r="L59" s="1">
        <f t="shared" si="30"/>
        <v>-750</v>
      </c>
      <c r="M59" s="1"/>
      <c r="N59" s="5">
        <f t="shared" si="31"/>
        <v>-1</v>
      </c>
      <c r="O59" s="14"/>
      <c r="P59" s="1">
        <f>SUM(OSRRefP22_9x_0)</f>
        <v>0</v>
      </c>
      <c r="Q59" s="1"/>
      <c r="R59" s="5">
        <f t="shared" si="32"/>
        <v>0</v>
      </c>
      <c r="S59" s="1"/>
      <c r="T59" s="1">
        <f>SUM(OSRRefT22_9x_0)</f>
        <v>750</v>
      </c>
      <c r="U59" s="1"/>
      <c r="V59" s="5">
        <f t="shared" si="33"/>
        <v>2.4102580582961081E-2</v>
      </c>
      <c r="W59" s="1"/>
      <c r="X59" s="1">
        <f t="shared" si="34"/>
        <v>-750</v>
      </c>
      <c r="Y59" s="1"/>
      <c r="Z59" s="5">
        <f t="shared" si="35"/>
        <v>-1</v>
      </c>
    </row>
    <row r="60" spans="1:26" s="24" customFormat="1" hidden="1" outlineLevel="2" x14ac:dyDescent="0.3">
      <c r="A60" s="29"/>
      <c r="B60" s="11" t="str">
        <f>CONCATENATE("          ", "6336", " - ", "PROFESSIONAL SERVICES")</f>
        <v xml:space="preserve">          6336 - PROFESSIONAL SERVICES</v>
      </c>
      <c r="C60" s="11"/>
      <c r="D60" s="8"/>
      <c r="E60" s="3"/>
      <c r="F60" s="7">
        <f t="shared" si="28"/>
        <v>0</v>
      </c>
      <c r="G60" s="3"/>
      <c r="H60" s="8">
        <v>750</v>
      </c>
      <c r="I60" s="3"/>
      <c r="J60" s="7">
        <f t="shared" si="29"/>
        <v>2.4102580582961081E-2</v>
      </c>
      <c r="K60" s="3"/>
      <c r="L60" s="8">
        <f t="shared" si="30"/>
        <v>-750</v>
      </c>
      <c r="M60" s="3"/>
      <c r="N60" s="7">
        <f t="shared" si="31"/>
        <v>-1</v>
      </c>
      <c r="O60" s="11"/>
      <c r="P60" s="8"/>
      <c r="Q60" s="3"/>
      <c r="R60" s="7">
        <f t="shared" si="32"/>
        <v>0</v>
      </c>
      <c r="S60" s="3"/>
      <c r="T60" s="8">
        <v>750</v>
      </c>
      <c r="U60" s="3"/>
      <c r="V60" s="7">
        <f t="shared" si="33"/>
        <v>2.4102580582961081E-2</v>
      </c>
      <c r="W60" s="3"/>
      <c r="X60" s="8">
        <f t="shared" si="34"/>
        <v>-750</v>
      </c>
      <c r="Y60" s="3"/>
      <c r="Z60" s="7">
        <f t="shared" si="35"/>
        <v>-1</v>
      </c>
    </row>
    <row r="61" spans="1:26" s="27" customFormat="1" outlineLevel="1" collapsed="1" x14ac:dyDescent="0.3">
      <c r="A61" s="28"/>
      <c r="B61" s="14" t="str">
        <f>CONCATENATE("     ","Rent                                              ")</f>
        <v xml:space="preserve">     Rent                                              </v>
      </c>
      <c r="C61" s="14"/>
      <c r="D61" s="1">
        <f>SUM(OSRRefD22_10x_0)</f>
        <v>6900</v>
      </c>
      <c r="E61" s="1"/>
      <c r="F61" s="5">
        <f t="shared" si="28"/>
        <v>0.21690698808300435</v>
      </c>
      <c r="G61" s="1"/>
      <c r="H61" s="1">
        <f>SUM(OSRRefH22_10x_0)</f>
        <v>6900</v>
      </c>
      <c r="I61" s="1"/>
      <c r="J61" s="5">
        <f t="shared" si="29"/>
        <v>0.22174374136324196</v>
      </c>
      <c r="K61" s="1"/>
      <c r="L61" s="1">
        <f t="shared" si="30"/>
        <v>0</v>
      </c>
      <c r="M61" s="1"/>
      <c r="N61" s="5">
        <f t="shared" si="31"/>
        <v>0</v>
      </c>
      <c r="O61" s="14"/>
      <c r="P61" s="1">
        <f>SUM(OSRRefP22_10x_0)</f>
        <v>6900</v>
      </c>
      <c r="Q61" s="1"/>
      <c r="R61" s="5">
        <f t="shared" si="32"/>
        <v>0.21690698808300435</v>
      </c>
      <c r="S61" s="1"/>
      <c r="T61" s="1">
        <f>SUM(OSRRefT22_10x_0)</f>
        <v>6900</v>
      </c>
      <c r="U61" s="1"/>
      <c r="V61" s="5">
        <f t="shared" si="33"/>
        <v>0.22174374136324196</v>
      </c>
      <c r="W61" s="1"/>
      <c r="X61" s="1">
        <f t="shared" si="34"/>
        <v>0</v>
      </c>
      <c r="Y61" s="1"/>
      <c r="Z61" s="5">
        <f t="shared" si="35"/>
        <v>0</v>
      </c>
    </row>
    <row r="62" spans="1:26" s="24" customFormat="1" hidden="1" outlineLevel="2" x14ac:dyDescent="0.3">
      <c r="A62" s="29"/>
      <c r="B62" s="11" t="str">
        <f>CONCATENATE("          ", "6273", " - ", "RENT")</f>
        <v xml:space="preserve">          6273 - RENT</v>
      </c>
      <c r="C62" s="11"/>
      <c r="D62" s="8">
        <v>6900</v>
      </c>
      <c r="E62" s="3"/>
      <c r="F62" s="7">
        <f t="shared" si="28"/>
        <v>0.21690698808300435</v>
      </c>
      <c r="G62" s="3"/>
      <c r="H62" s="8">
        <v>6900</v>
      </c>
      <c r="I62" s="3"/>
      <c r="J62" s="7">
        <f t="shared" si="29"/>
        <v>0.22174374136324196</v>
      </c>
      <c r="K62" s="3"/>
      <c r="L62" s="8">
        <f t="shared" si="30"/>
        <v>0</v>
      </c>
      <c r="M62" s="3"/>
      <c r="N62" s="7">
        <f t="shared" si="31"/>
        <v>0</v>
      </c>
      <c r="O62" s="11"/>
      <c r="P62" s="8">
        <v>6900</v>
      </c>
      <c r="Q62" s="3"/>
      <c r="R62" s="7">
        <f t="shared" si="32"/>
        <v>0.21690698808300435</v>
      </c>
      <c r="S62" s="3"/>
      <c r="T62" s="8">
        <v>6900</v>
      </c>
      <c r="U62" s="3"/>
      <c r="V62" s="7">
        <f t="shared" si="33"/>
        <v>0.22174374136324196</v>
      </c>
      <c r="W62" s="3"/>
      <c r="X62" s="8">
        <f t="shared" si="34"/>
        <v>0</v>
      </c>
      <c r="Y62" s="3"/>
      <c r="Z62" s="7">
        <f t="shared" si="35"/>
        <v>0</v>
      </c>
    </row>
    <row r="63" spans="1:26" s="27" customFormat="1" outlineLevel="1" collapsed="1" x14ac:dyDescent="0.3">
      <c r="A63" s="28"/>
      <c r="B63" s="14" t="str">
        <f>CONCATENATE("     ","Repair and Maintenance                            ")</f>
        <v xml:space="preserve">     Repair and Maintenance                            </v>
      </c>
      <c r="C63" s="14"/>
      <c r="D63" s="1">
        <f>SUM(OSRRefD22_11x_0)</f>
        <v>0</v>
      </c>
      <c r="E63" s="1"/>
      <c r="F63" s="5">
        <f t="shared" si="28"/>
        <v>0</v>
      </c>
      <c r="G63" s="1"/>
      <c r="H63" s="1">
        <f>SUM(OSRRefH22_11x_0)</f>
        <v>115</v>
      </c>
      <c r="I63" s="1"/>
      <c r="J63" s="5">
        <f t="shared" si="29"/>
        <v>3.6957290227206995E-3</v>
      </c>
      <c r="K63" s="1"/>
      <c r="L63" s="1">
        <f t="shared" si="30"/>
        <v>-115</v>
      </c>
      <c r="M63" s="1"/>
      <c r="N63" s="5">
        <f t="shared" si="31"/>
        <v>-1</v>
      </c>
      <c r="O63" s="14"/>
      <c r="P63" s="1">
        <f>SUM(OSRRefP22_11x_0)</f>
        <v>0</v>
      </c>
      <c r="Q63" s="1"/>
      <c r="R63" s="5">
        <f t="shared" si="32"/>
        <v>0</v>
      </c>
      <c r="S63" s="1"/>
      <c r="T63" s="1">
        <f>SUM(OSRRefT22_11x_0)</f>
        <v>115</v>
      </c>
      <c r="U63" s="1"/>
      <c r="V63" s="5">
        <f t="shared" si="33"/>
        <v>3.6957290227206995E-3</v>
      </c>
      <c r="W63" s="1"/>
      <c r="X63" s="1">
        <f t="shared" si="34"/>
        <v>-115</v>
      </c>
      <c r="Y63" s="1"/>
      <c r="Z63" s="5">
        <f t="shared" si="35"/>
        <v>-1</v>
      </c>
    </row>
    <row r="64" spans="1:26" s="24" customFormat="1" hidden="1" outlineLevel="2" x14ac:dyDescent="0.3">
      <c r="A64" s="29"/>
      <c r="B64" s="11" t="str">
        <f>CONCATENATE("          ", "6373", " - ", "MAINTENANCE CONTRACTS")</f>
        <v xml:space="preserve">          6373 - MAINTENANCE CONTRACTS</v>
      </c>
      <c r="C64" s="11"/>
      <c r="D64" s="8"/>
      <c r="E64" s="3"/>
      <c r="F64" s="7">
        <f t="shared" si="28"/>
        <v>0</v>
      </c>
      <c r="G64" s="3"/>
      <c r="H64" s="8">
        <v>115</v>
      </c>
      <c r="I64" s="3"/>
      <c r="J64" s="7">
        <f t="shared" si="29"/>
        <v>3.6957290227206995E-3</v>
      </c>
      <c r="K64" s="3"/>
      <c r="L64" s="8">
        <f t="shared" si="30"/>
        <v>-115</v>
      </c>
      <c r="M64" s="3"/>
      <c r="N64" s="7">
        <f t="shared" si="31"/>
        <v>-1</v>
      </c>
      <c r="O64" s="11"/>
      <c r="P64" s="8"/>
      <c r="Q64" s="3"/>
      <c r="R64" s="7">
        <f t="shared" si="32"/>
        <v>0</v>
      </c>
      <c r="S64" s="3"/>
      <c r="T64" s="8">
        <v>115</v>
      </c>
      <c r="U64" s="3"/>
      <c r="V64" s="7">
        <f t="shared" si="33"/>
        <v>3.6957290227206995E-3</v>
      </c>
      <c r="W64" s="3"/>
      <c r="X64" s="8">
        <f t="shared" si="34"/>
        <v>-115</v>
      </c>
      <c r="Y64" s="3"/>
      <c r="Z64" s="7">
        <f t="shared" si="35"/>
        <v>-1</v>
      </c>
    </row>
    <row r="65" spans="1:26" s="24" customFormat="1" hidden="1" outlineLevel="2" x14ac:dyDescent="0.3">
      <c r="A65" s="29"/>
      <c r="B65" s="11" t="str">
        <f>CONCATENATE("          ", "6375", " - ", "OUTSIDE REPAIRS &amp; MAINTENANCE")</f>
        <v xml:space="preserve">          6375 - OUTSIDE REPAIRS &amp; MAINTENANCE</v>
      </c>
      <c r="C65" s="11"/>
      <c r="D65" s="8"/>
      <c r="E65" s="3"/>
      <c r="F65" s="7">
        <f t="shared" si="28"/>
        <v>0</v>
      </c>
      <c r="G65" s="3"/>
      <c r="H65" s="8">
        <v>0</v>
      </c>
      <c r="I65" s="3"/>
      <c r="J65" s="7">
        <f t="shared" si="29"/>
        <v>0</v>
      </c>
      <c r="K65" s="3"/>
      <c r="L65" s="8">
        <f t="shared" si="30"/>
        <v>0</v>
      </c>
      <c r="M65" s="3"/>
      <c r="N65" s="7">
        <f t="shared" si="31"/>
        <v>0</v>
      </c>
      <c r="O65" s="11"/>
      <c r="P65" s="8"/>
      <c r="Q65" s="3"/>
      <c r="R65" s="7">
        <f t="shared" si="32"/>
        <v>0</v>
      </c>
      <c r="S65" s="3"/>
      <c r="T65" s="8">
        <v>0</v>
      </c>
      <c r="U65" s="3"/>
      <c r="V65" s="7">
        <f t="shared" si="33"/>
        <v>0</v>
      </c>
      <c r="W65" s="3"/>
      <c r="X65" s="8">
        <f t="shared" si="34"/>
        <v>0</v>
      </c>
      <c r="Y65" s="3"/>
      <c r="Z65" s="7">
        <f t="shared" si="35"/>
        <v>0</v>
      </c>
    </row>
    <row r="66" spans="1:26" s="27" customFormat="1" outlineLevel="1" collapsed="1" x14ac:dyDescent="0.3">
      <c r="A66" s="28"/>
      <c r="B66" s="14" t="str">
        <f>CONCATENATE("     ","Services                                          ")</f>
        <v xml:space="preserve">     Services                                          </v>
      </c>
      <c r="C66" s="14"/>
      <c r="D66" s="1">
        <f>SUM(OSRRefD22_12x_0)</f>
        <v>155.59</v>
      </c>
      <c r="E66" s="1"/>
      <c r="F66" s="5">
        <f t="shared" ref="F66:F68" si="36">IF(D$12=0,0,D66/D$12)</f>
        <v>4.891095402294876E-3</v>
      </c>
      <c r="G66" s="1"/>
      <c r="H66" s="1">
        <f>SUM(OSRRefH22_12x_0)</f>
        <v>60</v>
      </c>
      <c r="I66" s="1"/>
      <c r="J66" s="5">
        <f t="shared" ref="J66:J68" si="37">IF(H$12=0,0,H66/H$12)</f>
        <v>1.9282064466368866E-3</v>
      </c>
      <c r="K66" s="1"/>
      <c r="L66" s="1">
        <f t="shared" ref="L66:L68" si="38">+D66-H66</f>
        <v>95.59</v>
      </c>
      <c r="M66" s="1"/>
      <c r="N66" s="5">
        <f t="shared" ref="N66:N68" si="39">IF(H66=0,0,L66/H66)</f>
        <v>1.5931666666666666</v>
      </c>
      <c r="O66" s="14"/>
      <c r="P66" s="1">
        <f>SUM(OSRRefP22_12x_0)</f>
        <v>155.59</v>
      </c>
      <c r="Q66" s="1"/>
      <c r="R66" s="5">
        <f t="shared" ref="R66:R68" si="40">IF(P$12=0,0,P66/P$12)</f>
        <v>4.891095402294876E-3</v>
      </c>
      <c r="S66" s="1"/>
      <c r="T66" s="1">
        <f>SUM(OSRRefT22_12x_0)</f>
        <v>60</v>
      </c>
      <c r="U66" s="1"/>
      <c r="V66" s="5">
        <f t="shared" ref="V66:V68" si="41">IF(T$12=0,0,T66/T$12)</f>
        <v>1.9282064466368866E-3</v>
      </c>
      <c r="W66" s="1"/>
      <c r="X66" s="1">
        <f t="shared" ref="X66:X68" si="42">+P66-T66</f>
        <v>95.59</v>
      </c>
      <c r="Y66" s="1"/>
      <c r="Z66" s="5">
        <f t="shared" ref="Z66:Z68" si="43">IF(T66=0,0,X66/T66)</f>
        <v>1.5931666666666666</v>
      </c>
    </row>
    <row r="67" spans="1:26" s="24" customFormat="1" hidden="1" outlineLevel="2" x14ac:dyDescent="0.3">
      <c r="A67" s="29"/>
      <c r="B67" s="11" t="str">
        <f>CONCATENATE("          ", "6284", " - ", "TRASH REMOVAL EXPENSE")</f>
        <v xml:space="preserve">          6284 - TRASH REMOVAL EXPENSE</v>
      </c>
      <c r="C67" s="11"/>
      <c r="D67" s="8">
        <v>142.57</v>
      </c>
      <c r="E67" s="3"/>
      <c r="F67" s="7">
        <f t="shared" si="36"/>
        <v>4.4818013465208594E-3</v>
      </c>
      <c r="G67" s="3"/>
      <c r="H67" s="8">
        <v>60</v>
      </c>
      <c r="I67" s="3"/>
      <c r="J67" s="7">
        <f t="shared" si="37"/>
        <v>1.9282064466368866E-3</v>
      </c>
      <c r="K67" s="3"/>
      <c r="L67" s="8">
        <f t="shared" si="38"/>
        <v>82.57</v>
      </c>
      <c r="M67" s="3"/>
      <c r="N67" s="7">
        <f t="shared" si="39"/>
        <v>1.3761666666666665</v>
      </c>
      <c r="O67" s="11"/>
      <c r="P67" s="8">
        <v>142.57</v>
      </c>
      <c r="Q67" s="3"/>
      <c r="R67" s="7">
        <f t="shared" si="40"/>
        <v>4.4818013465208594E-3</v>
      </c>
      <c r="S67" s="3"/>
      <c r="T67" s="8">
        <v>60</v>
      </c>
      <c r="U67" s="3"/>
      <c r="V67" s="7">
        <f t="shared" si="41"/>
        <v>1.9282064466368866E-3</v>
      </c>
      <c r="W67" s="3"/>
      <c r="X67" s="8">
        <f t="shared" si="42"/>
        <v>82.57</v>
      </c>
      <c r="Y67" s="3"/>
      <c r="Z67" s="7">
        <f t="shared" si="43"/>
        <v>1.3761666666666665</v>
      </c>
    </row>
    <row r="68" spans="1:26" s="24" customFormat="1" hidden="1" outlineLevel="2" x14ac:dyDescent="0.3">
      <c r="A68" s="29"/>
      <c r="B68" s="11" t="str">
        <f>CONCATENATE("          ", "6285", " - ", "JANITORIAL SERVICES")</f>
        <v xml:space="preserve">          6285 - JANITORIAL SERVICES</v>
      </c>
      <c r="C68" s="11"/>
      <c r="D68" s="8">
        <v>13.02</v>
      </c>
      <c r="E68" s="3"/>
      <c r="F68" s="7">
        <f t="shared" si="36"/>
        <v>4.0929405577401685E-4</v>
      </c>
      <c r="G68" s="3"/>
      <c r="H68" s="8"/>
      <c r="I68" s="3"/>
      <c r="J68" s="7">
        <f t="shared" si="37"/>
        <v>0</v>
      </c>
      <c r="K68" s="3"/>
      <c r="L68" s="8">
        <f t="shared" si="38"/>
        <v>13.02</v>
      </c>
      <c r="M68" s="3"/>
      <c r="N68" s="7">
        <f t="shared" si="39"/>
        <v>0</v>
      </c>
      <c r="O68" s="11"/>
      <c r="P68" s="8">
        <v>13.02</v>
      </c>
      <c r="Q68" s="3"/>
      <c r="R68" s="7">
        <f t="shared" si="40"/>
        <v>4.0929405577401685E-4</v>
      </c>
      <c r="S68" s="3"/>
      <c r="T68" s="8"/>
      <c r="U68" s="3"/>
      <c r="V68" s="7">
        <f t="shared" si="41"/>
        <v>0</v>
      </c>
      <c r="W68" s="3"/>
      <c r="X68" s="8">
        <f t="shared" si="42"/>
        <v>13.02</v>
      </c>
      <c r="Y68" s="3"/>
      <c r="Z68" s="7">
        <f t="shared" si="43"/>
        <v>0</v>
      </c>
    </row>
    <row r="69" spans="1:26" s="27" customFormat="1" outlineLevel="1" collapsed="1" x14ac:dyDescent="0.3">
      <c r="A69" s="28"/>
      <c r="B69" s="14" t="str">
        <f>CONCATENATE("     ","Subscriptions &amp; Dues                              ")</f>
        <v xml:space="preserve">     Subscriptions &amp; Dues                              </v>
      </c>
      <c r="C69" s="14"/>
      <c r="D69" s="1">
        <f>SUM(OSRRefD22_13x_0)</f>
        <v>0</v>
      </c>
      <c r="E69" s="1"/>
      <c r="F69" s="5">
        <f t="shared" ref="F69:F71" si="44">IF(D$12=0,0,D69/D$12)</f>
        <v>0</v>
      </c>
      <c r="G69" s="1"/>
      <c r="H69" s="1">
        <f>SUM(OSRRefH22_13x_0)</f>
        <v>476</v>
      </c>
      <c r="I69" s="1"/>
      <c r="J69" s="5">
        <f t="shared" ref="J69:J71" si="45">IF(H$12=0,0,H69/H$12)</f>
        <v>1.5297104476652633E-2</v>
      </c>
      <c r="K69" s="1"/>
      <c r="L69" s="1">
        <f t="shared" ref="L69:L71" si="46">+D69-H69</f>
        <v>-476</v>
      </c>
      <c r="M69" s="1"/>
      <c r="N69" s="5">
        <f t="shared" ref="N69:N71" si="47">IF(H69=0,0,L69/H69)</f>
        <v>-1</v>
      </c>
      <c r="O69" s="14"/>
      <c r="P69" s="1">
        <f>SUM(OSRRefP22_13x_0)</f>
        <v>0</v>
      </c>
      <c r="Q69" s="1"/>
      <c r="R69" s="5">
        <f t="shared" ref="R69:R71" si="48">IF(P$12=0,0,P69/P$12)</f>
        <v>0</v>
      </c>
      <c r="S69" s="1"/>
      <c r="T69" s="1">
        <f>SUM(OSRRefT22_13x_0)</f>
        <v>476</v>
      </c>
      <c r="U69" s="1"/>
      <c r="V69" s="5">
        <f t="shared" ref="V69:V71" si="49">IF(T$12=0,0,T69/T$12)</f>
        <v>1.5297104476652633E-2</v>
      </c>
      <c r="W69" s="1"/>
      <c r="X69" s="1">
        <f t="shared" ref="X69:X71" si="50">+P69-T69</f>
        <v>-476</v>
      </c>
      <c r="Y69" s="1"/>
      <c r="Z69" s="5">
        <f t="shared" ref="Z69:Z71" si="51">IF(T69=0,0,X69/T69)</f>
        <v>-1</v>
      </c>
    </row>
    <row r="70" spans="1:26" s="24" customFormat="1" hidden="1" outlineLevel="2" x14ac:dyDescent="0.3">
      <c r="A70" s="29"/>
      <c r="B70" s="11" t="str">
        <f>CONCATENATE("          ", "6258", " - ", "MEMBERSHIP DUES")</f>
        <v xml:space="preserve">          6258 - MEMBERSHIP DUES</v>
      </c>
      <c r="C70" s="11"/>
      <c r="D70" s="8"/>
      <c r="E70" s="3"/>
      <c r="F70" s="7">
        <f t="shared" si="44"/>
        <v>0</v>
      </c>
      <c r="G70" s="3"/>
      <c r="H70" s="8">
        <v>395</v>
      </c>
      <c r="I70" s="3"/>
      <c r="J70" s="7">
        <f t="shared" si="45"/>
        <v>1.2694025773692837E-2</v>
      </c>
      <c r="K70" s="3"/>
      <c r="L70" s="8">
        <f t="shared" si="46"/>
        <v>-395</v>
      </c>
      <c r="M70" s="3"/>
      <c r="N70" s="7">
        <f t="shared" si="47"/>
        <v>-1</v>
      </c>
      <c r="O70" s="11"/>
      <c r="P70" s="8"/>
      <c r="Q70" s="3"/>
      <c r="R70" s="7">
        <f t="shared" si="48"/>
        <v>0</v>
      </c>
      <c r="S70" s="3"/>
      <c r="T70" s="8">
        <v>395</v>
      </c>
      <c r="U70" s="3"/>
      <c r="V70" s="7">
        <f t="shared" si="49"/>
        <v>1.2694025773692837E-2</v>
      </c>
      <c r="W70" s="3"/>
      <c r="X70" s="8">
        <f t="shared" si="50"/>
        <v>-395</v>
      </c>
      <c r="Y70" s="3"/>
      <c r="Z70" s="7">
        <f t="shared" si="51"/>
        <v>-1</v>
      </c>
    </row>
    <row r="71" spans="1:26" s="24" customFormat="1" hidden="1" outlineLevel="2" x14ac:dyDescent="0.3">
      <c r="A71" s="29"/>
      <c r="B71" s="11" t="str">
        <f>CONCATENATE("          ", "6275", " - ", "SUBSCRIPTIONS")</f>
        <v xml:space="preserve">          6275 - SUBSCRIPTIONS</v>
      </c>
      <c r="C71" s="11"/>
      <c r="D71" s="8"/>
      <c r="E71" s="3"/>
      <c r="F71" s="7">
        <f t="shared" si="44"/>
        <v>0</v>
      </c>
      <c r="G71" s="3"/>
      <c r="H71" s="8">
        <v>81</v>
      </c>
      <c r="I71" s="3"/>
      <c r="J71" s="7">
        <f t="shared" si="45"/>
        <v>2.6030787029597967E-3</v>
      </c>
      <c r="K71" s="3"/>
      <c r="L71" s="8">
        <f t="shared" si="46"/>
        <v>-81</v>
      </c>
      <c r="M71" s="3"/>
      <c r="N71" s="7">
        <f t="shared" si="47"/>
        <v>-1</v>
      </c>
      <c r="O71" s="11"/>
      <c r="P71" s="8"/>
      <c r="Q71" s="3"/>
      <c r="R71" s="7">
        <f t="shared" si="48"/>
        <v>0</v>
      </c>
      <c r="S71" s="3"/>
      <c r="T71" s="8">
        <v>81</v>
      </c>
      <c r="U71" s="3"/>
      <c r="V71" s="7">
        <f t="shared" si="49"/>
        <v>2.6030787029597967E-3</v>
      </c>
      <c r="W71" s="3"/>
      <c r="X71" s="8">
        <f t="shared" si="50"/>
        <v>-81</v>
      </c>
      <c r="Y71" s="3"/>
      <c r="Z71" s="7">
        <f t="shared" si="51"/>
        <v>-1</v>
      </c>
    </row>
    <row r="72" spans="1:26" s="27" customFormat="1" outlineLevel="1" collapsed="1" x14ac:dyDescent="0.3">
      <c r="A72" s="28"/>
      <c r="B72" s="14" t="str">
        <f>CONCATENATE("     ","Supplies                                          ")</f>
        <v xml:space="preserve">     Supplies                                          </v>
      </c>
      <c r="C72" s="14"/>
      <c r="D72" s="1">
        <f>SUM(OSRRefD22_14x_0)</f>
        <v>421.90999999999997</v>
      </c>
      <c r="E72" s="1"/>
      <c r="F72" s="5">
        <f t="shared" ref="F72:F75" si="52">IF(D$12=0,0,D72/D$12)</f>
        <v>1.3263076426391355E-2</v>
      </c>
      <c r="G72" s="1"/>
      <c r="H72" s="1">
        <f>SUM(OSRRefH22_14x_0)</f>
        <v>70</v>
      </c>
      <c r="I72" s="1"/>
      <c r="J72" s="5">
        <f t="shared" ref="J72:J75" si="53">IF(H$12=0,0,H72/H$12)</f>
        <v>2.2495741877430345E-3</v>
      </c>
      <c r="K72" s="1"/>
      <c r="L72" s="1">
        <f t="shared" ref="L72:L75" si="54">+D72-H72</f>
        <v>351.90999999999997</v>
      </c>
      <c r="M72" s="1"/>
      <c r="N72" s="5">
        <f t="shared" ref="N72:N75" si="55">IF(H72=0,0,L72/H72)</f>
        <v>5.0272857142857141</v>
      </c>
      <c r="O72" s="14"/>
      <c r="P72" s="1">
        <f>SUM(OSRRefP22_14x_0)</f>
        <v>421.90999999999997</v>
      </c>
      <c r="Q72" s="1"/>
      <c r="R72" s="5">
        <f t="shared" ref="R72:R75" si="56">IF(P$12=0,0,P72/P$12)</f>
        <v>1.3263076426391355E-2</v>
      </c>
      <c r="S72" s="1"/>
      <c r="T72" s="1">
        <f>SUM(OSRRefT22_14x_0)</f>
        <v>70</v>
      </c>
      <c r="U72" s="1"/>
      <c r="V72" s="5">
        <f t="shared" ref="V72:V75" si="57">IF(T$12=0,0,T72/T$12)</f>
        <v>2.2495741877430345E-3</v>
      </c>
      <c r="W72" s="1"/>
      <c r="X72" s="1">
        <f t="shared" ref="X72:X75" si="58">+P72-T72</f>
        <v>351.90999999999997</v>
      </c>
      <c r="Y72" s="1"/>
      <c r="Z72" s="5">
        <f t="shared" ref="Z72:Z75" si="59">IF(T72=0,0,X72/T72)</f>
        <v>5.0272857142857141</v>
      </c>
    </row>
    <row r="73" spans="1:26" s="24" customFormat="1" hidden="1" outlineLevel="2" x14ac:dyDescent="0.3">
      <c r="A73" s="29"/>
      <c r="B73" s="11" t="str">
        <f>CONCATENATE("          ", "6237", " - ", "JANITORIAL SUPPLIES")</f>
        <v xml:space="preserve">          6237 - JANITORIAL SUPPLIES</v>
      </c>
      <c r="C73" s="11"/>
      <c r="D73" s="8"/>
      <c r="E73" s="3"/>
      <c r="F73" s="7">
        <f t="shared" si="52"/>
        <v>0</v>
      </c>
      <c r="G73" s="3"/>
      <c r="H73" s="8">
        <v>50</v>
      </c>
      <c r="I73" s="3"/>
      <c r="J73" s="7">
        <f t="shared" si="53"/>
        <v>1.6068387055307388E-3</v>
      </c>
      <c r="K73" s="3"/>
      <c r="L73" s="8">
        <f t="shared" si="54"/>
        <v>-50</v>
      </c>
      <c r="M73" s="3"/>
      <c r="N73" s="7">
        <f t="shared" si="55"/>
        <v>-1</v>
      </c>
      <c r="O73" s="11"/>
      <c r="P73" s="8"/>
      <c r="Q73" s="3"/>
      <c r="R73" s="7">
        <f t="shared" si="56"/>
        <v>0</v>
      </c>
      <c r="S73" s="3"/>
      <c r="T73" s="8">
        <v>50</v>
      </c>
      <c r="U73" s="3"/>
      <c r="V73" s="7">
        <f t="shared" si="57"/>
        <v>1.6068387055307388E-3</v>
      </c>
      <c r="W73" s="3"/>
      <c r="X73" s="8">
        <f t="shared" si="58"/>
        <v>-50</v>
      </c>
      <c r="Y73" s="3"/>
      <c r="Z73" s="7">
        <f t="shared" si="59"/>
        <v>-1</v>
      </c>
    </row>
    <row r="74" spans="1:26" s="24" customFormat="1" hidden="1" outlineLevel="2" x14ac:dyDescent="0.3">
      <c r="A74" s="29"/>
      <c r="B74" s="11" t="str">
        <f>CONCATENATE("          ", "6241", " - ", "OFFICE EXPENSE")</f>
        <v xml:space="preserve">          6241 - OFFICE EXPENSE</v>
      </c>
      <c r="C74" s="11"/>
      <c r="D74" s="8">
        <v>6.59</v>
      </c>
      <c r="E74" s="3"/>
      <c r="F74" s="7">
        <f t="shared" si="52"/>
        <v>2.0716189151695632E-4</v>
      </c>
      <c r="G74" s="3"/>
      <c r="H74" s="8">
        <v>20</v>
      </c>
      <c r="I74" s="3"/>
      <c r="J74" s="7">
        <f t="shared" si="53"/>
        <v>6.4273548221229556E-4</v>
      </c>
      <c r="K74" s="3"/>
      <c r="L74" s="8">
        <f t="shared" si="54"/>
        <v>-13.41</v>
      </c>
      <c r="M74" s="3"/>
      <c r="N74" s="7">
        <f t="shared" si="55"/>
        <v>-0.67049999999999998</v>
      </c>
      <c r="O74" s="11"/>
      <c r="P74" s="8">
        <v>6.59</v>
      </c>
      <c r="Q74" s="3"/>
      <c r="R74" s="7">
        <f t="shared" si="56"/>
        <v>2.0716189151695632E-4</v>
      </c>
      <c r="S74" s="3"/>
      <c r="T74" s="8">
        <v>20</v>
      </c>
      <c r="U74" s="3"/>
      <c r="V74" s="7">
        <f t="shared" si="57"/>
        <v>6.4273548221229556E-4</v>
      </c>
      <c r="W74" s="3"/>
      <c r="X74" s="8">
        <f t="shared" si="58"/>
        <v>-13.41</v>
      </c>
      <c r="Y74" s="3"/>
      <c r="Z74" s="7">
        <f t="shared" si="59"/>
        <v>-0.67049999999999998</v>
      </c>
    </row>
    <row r="75" spans="1:26" s="24" customFormat="1" hidden="1" outlineLevel="2" x14ac:dyDescent="0.3">
      <c r="A75" s="29"/>
      <c r="B75" s="11" t="str">
        <f>CONCATENATE("          ", "6247", " - ", "STORE SUPPLIES")</f>
        <v xml:space="preserve">          6247 - STORE SUPPLIES</v>
      </c>
      <c r="C75" s="11"/>
      <c r="D75" s="8">
        <v>415.32</v>
      </c>
      <c r="E75" s="3"/>
      <c r="F75" s="7">
        <f t="shared" si="52"/>
        <v>1.30559145348744E-2</v>
      </c>
      <c r="G75" s="3"/>
      <c r="H75" s="8"/>
      <c r="I75" s="3"/>
      <c r="J75" s="7">
        <f t="shared" si="53"/>
        <v>0</v>
      </c>
      <c r="K75" s="3"/>
      <c r="L75" s="8">
        <f t="shared" si="54"/>
        <v>415.32</v>
      </c>
      <c r="M75" s="3"/>
      <c r="N75" s="7">
        <f t="shared" si="55"/>
        <v>0</v>
      </c>
      <c r="O75" s="11"/>
      <c r="P75" s="8">
        <v>415.32</v>
      </c>
      <c r="Q75" s="3"/>
      <c r="R75" s="7">
        <f t="shared" si="56"/>
        <v>1.30559145348744E-2</v>
      </c>
      <c r="S75" s="3"/>
      <c r="T75" s="8"/>
      <c r="U75" s="3"/>
      <c r="V75" s="7">
        <f t="shared" si="57"/>
        <v>0</v>
      </c>
      <c r="W75" s="3"/>
      <c r="X75" s="8">
        <f t="shared" si="58"/>
        <v>415.32</v>
      </c>
      <c r="Y75" s="3"/>
      <c r="Z75" s="7">
        <f t="shared" si="59"/>
        <v>0</v>
      </c>
    </row>
    <row r="76" spans="1:26" s="27" customFormat="1" outlineLevel="1" collapsed="1" x14ac:dyDescent="0.3">
      <c r="A76" s="28"/>
      <c r="B76" s="14" t="str">
        <f>CONCATENATE("     ","Telephone/Data Lines                              ")</f>
        <v xml:space="preserve">     Telephone/Data Lines                              </v>
      </c>
      <c r="C76" s="14"/>
      <c r="D76" s="1">
        <f>SUM(OSRRefD22_15x_0)</f>
        <v>392.84</v>
      </c>
      <c r="E76" s="1"/>
      <c r="F76" s="5">
        <f t="shared" ref="F76:F80" si="60">IF(D$12=0,0,D76/D$12)</f>
        <v>1.2349237854859045E-2</v>
      </c>
      <c r="G76" s="1"/>
      <c r="H76" s="1">
        <f>SUM(OSRRefH22_15x_0)</f>
        <v>250</v>
      </c>
      <c r="I76" s="1"/>
      <c r="J76" s="5">
        <f t="shared" ref="J76:J80" si="61">IF(H$12=0,0,H76/H$12)</f>
        <v>8.0341935276536935E-3</v>
      </c>
      <c r="K76" s="1"/>
      <c r="L76" s="1">
        <f t="shared" ref="L76:L80" si="62">+D76-H76</f>
        <v>142.83999999999997</v>
      </c>
      <c r="M76" s="1"/>
      <c r="N76" s="5">
        <f t="shared" ref="N76:N80" si="63">IF(H76=0,0,L76/H76)</f>
        <v>0.57135999999999987</v>
      </c>
      <c r="O76" s="14"/>
      <c r="P76" s="1">
        <f>SUM(OSRRefP22_15x_0)</f>
        <v>392.84</v>
      </c>
      <c r="Q76" s="1"/>
      <c r="R76" s="5">
        <f t="shared" ref="R76:R80" si="64">IF(P$12=0,0,P76/P$12)</f>
        <v>1.2349237854859045E-2</v>
      </c>
      <c r="S76" s="1"/>
      <c r="T76" s="1">
        <f>SUM(OSRRefT22_15x_0)</f>
        <v>250</v>
      </c>
      <c r="U76" s="1"/>
      <c r="V76" s="5">
        <f t="shared" ref="V76:V80" si="65">IF(T$12=0,0,T76/T$12)</f>
        <v>8.0341935276536935E-3</v>
      </c>
      <c r="W76" s="1"/>
      <c r="X76" s="1">
        <f t="shared" ref="X76:X80" si="66">+P76-T76</f>
        <v>142.83999999999997</v>
      </c>
      <c r="Y76" s="1"/>
      <c r="Z76" s="5">
        <f t="shared" ref="Z76:Z80" si="67">IF(T76=0,0,X76/T76)</f>
        <v>0.57135999999999987</v>
      </c>
    </row>
    <row r="77" spans="1:26" s="24" customFormat="1" hidden="1" outlineLevel="2" x14ac:dyDescent="0.3">
      <c r="A77" s="29"/>
      <c r="B77" s="11" t="str">
        <f>CONCATENATE("          ", "6309", " - ", "TELEPHONE")</f>
        <v xml:space="preserve">          6309 - TELEPHONE</v>
      </c>
      <c r="C77" s="11"/>
      <c r="D77" s="8">
        <v>392.84</v>
      </c>
      <c r="E77" s="3"/>
      <c r="F77" s="7">
        <f t="shared" si="60"/>
        <v>1.2349237854859045E-2</v>
      </c>
      <c r="G77" s="3"/>
      <c r="H77" s="8">
        <v>250</v>
      </c>
      <c r="I77" s="3"/>
      <c r="J77" s="7">
        <f t="shared" si="61"/>
        <v>8.0341935276536935E-3</v>
      </c>
      <c r="K77" s="3"/>
      <c r="L77" s="8">
        <f t="shared" si="62"/>
        <v>142.83999999999997</v>
      </c>
      <c r="M77" s="3"/>
      <c r="N77" s="7">
        <f t="shared" si="63"/>
        <v>0.57135999999999987</v>
      </c>
      <c r="O77" s="11"/>
      <c r="P77" s="8">
        <v>392.84</v>
      </c>
      <c r="Q77" s="3"/>
      <c r="R77" s="7">
        <f t="shared" si="64"/>
        <v>1.2349237854859045E-2</v>
      </c>
      <c r="S77" s="3"/>
      <c r="T77" s="8">
        <v>250</v>
      </c>
      <c r="U77" s="3"/>
      <c r="V77" s="7">
        <f t="shared" si="65"/>
        <v>8.0341935276536935E-3</v>
      </c>
      <c r="W77" s="3"/>
      <c r="X77" s="8">
        <f t="shared" si="66"/>
        <v>142.83999999999997</v>
      </c>
      <c r="Y77" s="3"/>
      <c r="Z77" s="7">
        <f t="shared" si="67"/>
        <v>0.57135999999999987</v>
      </c>
    </row>
    <row r="78" spans="1:26" s="27" customFormat="1" outlineLevel="1" collapsed="1" x14ac:dyDescent="0.3">
      <c r="A78" s="28"/>
      <c r="B78" s="14" t="str">
        <f>CONCATENATE("     ","Travel                                            ")</f>
        <v xml:space="preserve">     Travel                                            </v>
      </c>
      <c r="C78" s="14"/>
      <c r="D78" s="1">
        <f>SUM(OSRRefD22_16x_0)</f>
        <v>147.82</v>
      </c>
      <c r="E78" s="1"/>
      <c r="F78" s="5">
        <f t="shared" si="60"/>
        <v>4.6468392722361883E-3</v>
      </c>
      <c r="G78" s="1"/>
      <c r="H78" s="1">
        <f>SUM(OSRRefH22_16x_0)</f>
        <v>25</v>
      </c>
      <c r="I78" s="1"/>
      <c r="J78" s="5">
        <f t="shared" si="61"/>
        <v>8.0341935276536942E-4</v>
      </c>
      <c r="K78" s="1"/>
      <c r="L78" s="1">
        <f t="shared" si="62"/>
        <v>122.82</v>
      </c>
      <c r="M78" s="1"/>
      <c r="N78" s="5">
        <f t="shared" si="63"/>
        <v>4.9127999999999998</v>
      </c>
      <c r="O78" s="14"/>
      <c r="P78" s="1">
        <f>SUM(OSRRefP22_16x_0)</f>
        <v>147.82</v>
      </c>
      <c r="Q78" s="1"/>
      <c r="R78" s="5">
        <f t="shared" si="64"/>
        <v>4.6468392722361883E-3</v>
      </c>
      <c r="S78" s="1"/>
      <c r="T78" s="1">
        <f>SUM(OSRRefT22_16x_0)</f>
        <v>25</v>
      </c>
      <c r="U78" s="1"/>
      <c r="V78" s="5">
        <f t="shared" si="65"/>
        <v>8.0341935276536942E-4</v>
      </c>
      <c r="W78" s="1"/>
      <c r="X78" s="1">
        <f t="shared" si="66"/>
        <v>122.82</v>
      </c>
      <c r="Y78" s="1"/>
      <c r="Z78" s="5">
        <f t="shared" si="67"/>
        <v>4.9127999999999998</v>
      </c>
    </row>
    <row r="79" spans="1:26" s="24" customFormat="1" hidden="1" outlineLevel="2" x14ac:dyDescent="0.3">
      <c r="A79" s="29"/>
      <c r="B79" s="11" t="str">
        <f>CONCATENATE("          ", "6294", " - ", "TRAVEL OPERATIONAL")</f>
        <v xml:space="preserve">          6294 - TRAVEL OPERATIONAL</v>
      </c>
      <c r="C79" s="11"/>
      <c r="D79" s="8">
        <v>147.82</v>
      </c>
      <c r="E79" s="3"/>
      <c r="F79" s="7">
        <f t="shared" si="60"/>
        <v>4.6468392722361883E-3</v>
      </c>
      <c r="G79" s="3"/>
      <c r="H79" s="8"/>
      <c r="I79" s="3"/>
      <c r="J79" s="7">
        <f t="shared" si="61"/>
        <v>0</v>
      </c>
      <c r="K79" s="3"/>
      <c r="L79" s="8">
        <f t="shared" si="62"/>
        <v>147.82</v>
      </c>
      <c r="M79" s="3"/>
      <c r="N79" s="7">
        <f t="shared" si="63"/>
        <v>0</v>
      </c>
      <c r="O79" s="11"/>
      <c r="P79" s="8">
        <v>147.82</v>
      </c>
      <c r="Q79" s="3"/>
      <c r="R79" s="7">
        <f t="shared" si="64"/>
        <v>4.6468392722361883E-3</v>
      </c>
      <c r="S79" s="3"/>
      <c r="T79" s="8"/>
      <c r="U79" s="3"/>
      <c r="V79" s="7">
        <f t="shared" si="65"/>
        <v>0</v>
      </c>
      <c r="W79" s="3"/>
      <c r="X79" s="8">
        <f t="shared" si="66"/>
        <v>147.82</v>
      </c>
      <c r="Y79" s="3"/>
      <c r="Z79" s="7">
        <f t="shared" si="67"/>
        <v>0</v>
      </c>
    </row>
    <row r="80" spans="1:26" s="24" customFormat="1" hidden="1" outlineLevel="2" x14ac:dyDescent="0.3">
      <c r="A80" s="29"/>
      <c r="B80" s="11" t="str">
        <f>CONCATENATE("          ", "6298", " - ", "VEHICLE MILEAGE")</f>
        <v xml:space="preserve">          6298 - VEHICLE MILEAGE</v>
      </c>
      <c r="C80" s="11"/>
      <c r="D80" s="8"/>
      <c r="E80" s="3"/>
      <c r="F80" s="7">
        <f t="shared" si="60"/>
        <v>0</v>
      </c>
      <c r="G80" s="3"/>
      <c r="H80" s="8">
        <v>25</v>
      </c>
      <c r="I80" s="3"/>
      <c r="J80" s="7">
        <f t="shared" si="61"/>
        <v>8.0341935276536942E-4</v>
      </c>
      <c r="K80" s="3"/>
      <c r="L80" s="8">
        <f t="shared" si="62"/>
        <v>-25</v>
      </c>
      <c r="M80" s="3"/>
      <c r="N80" s="7">
        <f t="shared" si="63"/>
        <v>-1</v>
      </c>
      <c r="O80" s="11"/>
      <c r="P80" s="8"/>
      <c r="Q80" s="3"/>
      <c r="R80" s="7">
        <f t="shared" si="64"/>
        <v>0</v>
      </c>
      <c r="S80" s="3"/>
      <c r="T80" s="8">
        <v>25</v>
      </c>
      <c r="U80" s="3"/>
      <c r="V80" s="7">
        <f t="shared" si="65"/>
        <v>8.0341935276536942E-4</v>
      </c>
      <c r="W80" s="3"/>
      <c r="X80" s="8">
        <f t="shared" si="66"/>
        <v>-25</v>
      </c>
      <c r="Y80" s="3"/>
      <c r="Z80" s="7">
        <f t="shared" si="67"/>
        <v>-1</v>
      </c>
    </row>
    <row r="81" spans="1:26" s="27" customFormat="1" outlineLevel="1" collapsed="1" x14ac:dyDescent="0.3">
      <c r="A81" s="28"/>
      <c r="B81" s="14" t="str">
        <f>CONCATENATE("     ","Utilities                                         ")</f>
        <v xml:space="preserve">     Utilities                                         </v>
      </c>
      <c r="C81" s="14"/>
      <c r="D81" s="1">
        <f>SUM(OSRRefD22_17x_0)</f>
        <v>36.49</v>
      </c>
      <c r="E81" s="1"/>
      <c r="F81" s="5">
        <f t="shared" ref="F81:F82" si="68">IF(D$12=0,0,D81/D$12)</f>
        <v>1.1470921732099752E-3</v>
      </c>
      <c r="G81" s="1"/>
      <c r="H81" s="1">
        <f>SUM(OSRRefH22_17x_0)</f>
        <v>120</v>
      </c>
      <c r="I81" s="1"/>
      <c r="J81" s="5">
        <f t="shared" ref="J81:J82" si="69">IF(H$12=0,0,H81/H$12)</f>
        <v>3.8564128932737731E-3</v>
      </c>
      <c r="K81" s="1"/>
      <c r="L81" s="1">
        <f t="shared" ref="L81:L82" si="70">+D81-H81</f>
        <v>-83.509999999999991</v>
      </c>
      <c r="M81" s="1"/>
      <c r="N81" s="5">
        <f t="shared" ref="N81:N82" si="71">IF(H81=0,0,L81/H81)</f>
        <v>-0.69591666666666663</v>
      </c>
      <c r="O81" s="14"/>
      <c r="P81" s="1">
        <f>SUM(OSRRefP22_17x_0)</f>
        <v>36.49</v>
      </c>
      <c r="Q81" s="1"/>
      <c r="R81" s="5">
        <f t="shared" ref="R81:R82" si="72">IF(P$12=0,0,P81/P$12)</f>
        <v>1.1470921732099752E-3</v>
      </c>
      <c r="S81" s="1"/>
      <c r="T81" s="1">
        <f>SUM(OSRRefT22_17x_0)</f>
        <v>120</v>
      </c>
      <c r="U81" s="1"/>
      <c r="V81" s="5">
        <f t="shared" ref="V81:V82" si="73">IF(T$12=0,0,T81/T$12)</f>
        <v>3.8564128932737731E-3</v>
      </c>
      <c r="W81" s="1"/>
      <c r="X81" s="1">
        <f t="shared" ref="X81:X82" si="74">+P81-T81</f>
        <v>-83.509999999999991</v>
      </c>
      <c r="Y81" s="1"/>
      <c r="Z81" s="5">
        <f t="shared" ref="Z81:Z82" si="75">IF(T81=0,0,X81/T81)</f>
        <v>-0.69591666666666663</v>
      </c>
    </row>
    <row r="82" spans="1:26" s="24" customFormat="1" hidden="1" outlineLevel="2" x14ac:dyDescent="0.3">
      <c r="A82" s="29"/>
      <c r="B82" s="11" t="str">
        <f>CONCATENATE("          ", "6274", " - ", "UTILITIES")</f>
        <v xml:space="preserve">          6274 - UTILITIES</v>
      </c>
      <c r="C82" s="11"/>
      <c r="D82" s="8">
        <v>36.49</v>
      </c>
      <c r="E82" s="3"/>
      <c r="F82" s="7">
        <f t="shared" si="68"/>
        <v>1.1470921732099752E-3</v>
      </c>
      <c r="G82" s="3"/>
      <c r="H82" s="8">
        <v>120</v>
      </c>
      <c r="I82" s="3"/>
      <c r="J82" s="7">
        <f t="shared" si="69"/>
        <v>3.8564128932737731E-3</v>
      </c>
      <c r="K82" s="3"/>
      <c r="L82" s="8">
        <f t="shared" si="70"/>
        <v>-83.509999999999991</v>
      </c>
      <c r="M82" s="3"/>
      <c r="N82" s="7">
        <f t="shared" si="71"/>
        <v>-0.69591666666666663</v>
      </c>
      <c r="O82" s="11"/>
      <c r="P82" s="8">
        <v>36.49</v>
      </c>
      <c r="Q82" s="3"/>
      <c r="R82" s="7">
        <f t="shared" si="72"/>
        <v>1.1470921732099752E-3</v>
      </c>
      <c r="S82" s="3"/>
      <c r="T82" s="8">
        <v>120</v>
      </c>
      <c r="U82" s="3"/>
      <c r="V82" s="7">
        <f t="shared" si="73"/>
        <v>3.8564128932737731E-3</v>
      </c>
      <c r="W82" s="3"/>
      <c r="X82" s="8">
        <f t="shared" si="74"/>
        <v>-83.509999999999991</v>
      </c>
      <c r="Y82" s="3"/>
      <c r="Z82" s="7">
        <f t="shared" si="75"/>
        <v>-0.69591666666666663</v>
      </c>
    </row>
    <row r="83" spans="1:26" s="62" customFormat="1" x14ac:dyDescent="0.3">
      <c r="A83" s="36"/>
      <c r="B83" s="36"/>
      <c r="C83" s="36"/>
      <c r="D83" s="1"/>
      <c r="E83" s="1"/>
      <c r="F83" s="5"/>
      <c r="G83" s="1"/>
      <c r="H83" s="1"/>
      <c r="I83" s="1"/>
      <c r="J83" s="5"/>
      <c r="K83" s="1"/>
      <c r="L83" s="1"/>
      <c r="M83" s="1"/>
      <c r="N83" s="5"/>
      <c r="O83" s="36"/>
      <c r="P83" s="1"/>
      <c r="Q83" s="1"/>
      <c r="R83" s="5"/>
      <c r="S83" s="1"/>
      <c r="T83" s="1"/>
      <c r="U83" s="1"/>
      <c r="V83" s="5"/>
      <c r="W83" s="1"/>
      <c r="X83" s="1"/>
      <c r="Y83" s="1"/>
      <c r="Z83" s="5"/>
    </row>
    <row r="84" spans="1:26" s="23" customFormat="1" x14ac:dyDescent="0.3">
      <c r="A84" s="10"/>
      <c r="B84" s="25" t="s">
        <v>293</v>
      </c>
      <c r="C84" s="10"/>
      <c r="D84" s="4">
        <f>SUM(0)</f>
        <v>0</v>
      </c>
      <c r="E84" s="4"/>
      <c r="F84" s="12">
        <f>IF(D$12=0,0,D84/D$12)</f>
        <v>0</v>
      </c>
      <c r="G84" s="4"/>
      <c r="H84" s="4">
        <f>SUM(0)</f>
        <v>0</v>
      </c>
      <c r="I84" s="4"/>
      <c r="J84" s="12">
        <f>IF(H$12=0,0,H84/H$12)</f>
        <v>0</v>
      </c>
      <c r="K84" s="4"/>
      <c r="L84" s="4">
        <f>+D84-H84</f>
        <v>0</v>
      </c>
      <c r="M84" s="4"/>
      <c r="N84" s="12">
        <f>IF(H84=0,0,L84/H84)</f>
        <v>0</v>
      </c>
      <c r="O84" s="10"/>
      <c r="P84" s="4">
        <f>SUM(0)</f>
        <v>0</v>
      </c>
      <c r="Q84" s="4"/>
      <c r="R84" s="12">
        <f>IF(P$12=0,0,P84/P$12)</f>
        <v>0</v>
      </c>
      <c r="S84" s="4"/>
      <c r="T84" s="4">
        <f>SUM(0)</f>
        <v>0</v>
      </c>
      <c r="U84" s="4"/>
      <c r="V84" s="12">
        <f>IF(T$12=0,0,T84/T$12)</f>
        <v>0</v>
      </c>
      <c r="W84" s="4"/>
      <c r="X84" s="4">
        <f>+P84-T84</f>
        <v>0</v>
      </c>
      <c r="Y84" s="4"/>
      <c r="Z84" s="12">
        <f>IF(T84=0,0,X84/T84)</f>
        <v>0</v>
      </c>
    </row>
    <row r="85" spans="1:26" x14ac:dyDescent="0.3">
      <c r="A85" s="9"/>
      <c r="B85" s="10"/>
      <c r="C85" s="10"/>
      <c r="D85" s="2"/>
      <c r="E85" s="2"/>
      <c r="F85" s="6"/>
      <c r="G85" s="2"/>
      <c r="H85" s="2"/>
      <c r="I85" s="2"/>
      <c r="J85" s="6"/>
      <c r="K85" s="2"/>
      <c r="L85" s="2"/>
      <c r="M85" s="2"/>
      <c r="N85" s="6"/>
      <c r="O85" s="10"/>
      <c r="P85" s="2"/>
      <c r="Q85" s="2"/>
      <c r="R85" s="6"/>
      <c r="S85" s="2"/>
      <c r="T85" s="2"/>
      <c r="U85" s="2"/>
      <c r="V85" s="6"/>
      <c r="W85" s="2"/>
      <c r="X85" s="2"/>
      <c r="Y85" s="2"/>
      <c r="Z85" s="6"/>
    </row>
    <row r="86" spans="1:26" s="23" customFormat="1" x14ac:dyDescent="0.3">
      <c r="A86" s="10"/>
      <c r="B86" s="26" t="s">
        <v>277</v>
      </c>
      <c r="C86" s="26"/>
      <c r="D86" s="21">
        <f>+D21-D23+D84</f>
        <v>-1073.2400000000034</v>
      </c>
      <c r="E86" s="13"/>
      <c r="F86" s="22">
        <f>IF(D$12=0,0,D86/D$12)</f>
        <v>-3.3738153027565845E-2</v>
      </c>
      <c r="G86" s="13"/>
      <c r="H86" s="21">
        <f>+H21-H23+H84</f>
        <v>-7210.3162572115398</v>
      </c>
      <c r="I86" s="13"/>
      <c r="J86" s="22">
        <f>IF(H$12=0,0,H86/H$12)</f>
        <v>-0.23171630482410063</v>
      </c>
      <c r="K86" s="16"/>
      <c r="L86" s="21">
        <f>+D86-H86</f>
        <v>6137.0762572115364</v>
      </c>
      <c r="M86" s="16"/>
      <c r="N86" s="22">
        <f>IF(H86=0,0,L86/H86)</f>
        <v>-0.85115216008360506</v>
      </c>
      <c r="O86" s="25"/>
      <c r="P86" s="21">
        <f>+P21-P23+P84</f>
        <v>-1073.2400000000034</v>
      </c>
      <c r="Q86" s="13"/>
      <c r="R86" s="22">
        <f>IF(P$12=0,0,P86/P$12)</f>
        <v>-3.3738153027565845E-2</v>
      </c>
      <c r="S86" s="13"/>
      <c r="T86" s="21">
        <f>+T21-T23+T84</f>
        <v>-7210.3162572115398</v>
      </c>
      <c r="U86" s="13"/>
      <c r="V86" s="22">
        <f>IF(T$12=0,0,T86/T$12)</f>
        <v>-0.23171630482410063</v>
      </c>
      <c r="W86" s="16"/>
      <c r="X86" s="21">
        <f>+P86-T86</f>
        <v>6137.0762572115364</v>
      </c>
      <c r="Y86" s="16"/>
      <c r="Z86" s="22">
        <f>IF(T86=0,0,X86/T86)</f>
        <v>-0.85115216008360506</v>
      </c>
    </row>
    <row r="87" spans="1:26" x14ac:dyDescent="0.3">
      <c r="A87" s="9"/>
      <c r="B87" s="10"/>
      <c r="C87" s="9"/>
      <c r="D87" s="2"/>
      <c r="E87" s="2"/>
      <c r="F87" s="6"/>
      <c r="G87" s="2"/>
      <c r="H87" s="2"/>
      <c r="I87" s="2"/>
      <c r="J87" s="6"/>
      <c r="K87" s="2"/>
      <c r="L87" s="2"/>
      <c r="M87" s="2"/>
      <c r="N87" s="6"/>
      <c r="P87" s="2"/>
      <c r="Q87" s="2"/>
      <c r="R87" s="6"/>
      <c r="S87" s="2"/>
      <c r="T87" s="2"/>
      <c r="U87" s="2"/>
      <c r="V87" s="6"/>
      <c r="W87" s="2"/>
      <c r="X87" s="2"/>
      <c r="Y87" s="2"/>
      <c r="Z87" s="6"/>
    </row>
    <row r="88" spans="1:26" s="23" customFormat="1" x14ac:dyDescent="0.3">
      <c r="A88" s="52"/>
      <c r="B88" s="10" t="s">
        <v>128</v>
      </c>
      <c r="C88" s="10"/>
      <c r="D88" s="4">
        <v>14696.49</v>
      </c>
      <c r="E88" s="4"/>
      <c r="F88" s="12">
        <f>IF(D$12=0,0,D88/D$12)</f>
        <v>0.46199585236115831</v>
      </c>
      <c r="G88" s="4"/>
      <c r="H88" s="4">
        <v>11269</v>
      </c>
      <c r="I88" s="4"/>
      <c r="J88" s="12">
        <f>IF(H$12=0,0,H88/H$12)</f>
        <v>0.36214930745251794</v>
      </c>
      <c r="K88" s="4"/>
      <c r="L88" s="4">
        <f>+D88-H88</f>
        <v>3427.49</v>
      </c>
      <c r="M88" s="4"/>
      <c r="N88" s="12">
        <f>IF(H88=0,0,L88/H88)</f>
        <v>0.30415209867778858</v>
      </c>
      <c r="O88" s="10"/>
      <c r="P88" s="4">
        <v>14696.49</v>
      </c>
      <c r="Q88" s="4"/>
      <c r="R88" s="12">
        <f>IF(P$12=0,0,P88/P$12)</f>
        <v>0.46199585236115831</v>
      </c>
      <c r="S88" s="4"/>
      <c r="T88" s="4">
        <v>11269</v>
      </c>
      <c r="U88" s="4"/>
      <c r="V88" s="12">
        <f>IF(T$12=0,0,T88/T$12)</f>
        <v>0.36214930745251794</v>
      </c>
      <c r="W88" s="4"/>
      <c r="X88" s="4">
        <f>+P88-T88</f>
        <v>3427.49</v>
      </c>
      <c r="Y88" s="4"/>
      <c r="Z88" s="12">
        <f>IF(T88=0,0,X88/T88)</f>
        <v>0.30415209867778858</v>
      </c>
    </row>
    <row r="89" spans="1:26" x14ac:dyDescent="0.3">
      <c r="A89" s="9"/>
      <c r="B89" s="10"/>
      <c r="C89" s="10"/>
      <c r="D89" s="2"/>
      <c r="E89" s="2"/>
      <c r="F89" s="6"/>
      <c r="G89" s="2"/>
      <c r="H89" s="2"/>
      <c r="I89" s="2"/>
      <c r="J89" s="6"/>
      <c r="K89" s="2"/>
      <c r="L89" s="2"/>
      <c r="M89" s="2"/>
      <c r="N89" s="6"/>
      <c r="O89" s="10"/>
      <c r="P89" s="2"/>
      <c r="Q89" s="2"/>
      <c r="R89" s="6"/>
      <c r="S89" s="2"/>
      <c r="T89" s="2"/>
      <c r="U89" s="2"/>
      <c r="V89" s="6"/>
      <c r="W89" s="2"/>
      <c r="X89" s="2"/>
      <c r="Y89" s="2"/>
      <c r="Z89" s="6"/>
    </row>
    <row r="90" spans="1:26" s="23" customFormat="1" ht="15" thickBot="1" x14ac:dyDescent="0.35">
      <c r="A90" s="10"/>
      <c r="B90" s="26" t="s">
        <v>126</v>
      </c>
      <c r="C90" s="26"/>
      <c r="D90" s="35">
        <f>+D86-D88</f>
        <v>-15769.730000000003</v>
      </c>
      <c r="E90" s="13"/>
      <c r="F90" s="30">
        <f>IF(D$12=0,0,D90/D$12)</f>
        <v>-0.49573400538872414</v>
      </c>
      <c r="G90" s="13"/>
      <c r="H90" s="35">
        <f>+H86-H88</f>
        <v>-18479.31625721154</v>
      </c>
      <c r="I90" s="13"/>
      <c r="J90" s="30">
        <f>IF(H$12=0,0,H90/H$12)</f>
        <v>-0.5938656122766186</v>
      </c>
      <c r="K90" s="16"/>
      <c r="L90" s="35">
        <f>D90-H90</f>
        <v>2709.5862572115366</v>
      </c>
      <c r="M90" s="16"/>
      <c r="N90" s="30">
        <f>IF(H90=0,0,L90/H90)</f>
        <v>-0.14662805806757717</v>
      </c>
      <c r="O90" s="25"/>
      <c r="P90" s="35">
        <f>+P86-P88</f>
        <v>-15769.730000000003</v>
      </c>
      <c r="Q90" s="13"/>
      <c r="R90" s="30">
        <f>IF(P$12=0,0,P90/P$12)</f>
        <v>-0.49573400538872414</v>
      </c>
      <c r="S90" s="13"/>
      <c r="T90" s="35">
        <f>+T86-T88</f>
        <v>-18479.31625721154</v>
      </c>
      <c r="U90" s="13"/>
      <c r="V90" s="30">
        <f>IF(T$12=0,0,T90/T$12)</f>
        <v>-0.5938656122766186</v>
      </c>
      <c r="W90" s="16"/>
      <c r="X90" s="35">
        <f>P90-T90</f>
        <v>2709.5862572115366</v>
      </c>
      <c r="Y90" s="16"/>
      <c r="Z90" s="30">
        <f>IF(T90=0,0,X90/T90)</f>
        <v>-0.14662805806757717</v>
      </c>
    </row>
    <row r="91" spans="1:26" ht="15" thickTop="1" x14ac:dyDescent="0.3">
      <c r="A91" s="9"/>
      <c r="B91" s="9"/>
      <c r="C91" s="9"/>
      <c r="D91" s="2"/>
      <c r="E91" s="2"/>
      <c r="F91" s="6"/>
      <c r="G91" s="2"/>
      <c r="H91" s="2"/>
      <c r="I91" s="2"/>
      <c r="J91" s="6"/>
      <c r="K91" s="2"/>
      <c r="L91" s="2"/>
      <c r="M91" s="2"/>
      <c r="N91" s="6"/>
      <c r="P91" s="2"/>
      <c r="Q91" s="2"/>
      <c r="R91" s="6"/>
      <c r="S91" s="2"/>
      <c r="T91" s="2"/>
      <c r="U91" s="2"/>
      <c r="V91" s="6"/>
      <c r="W91" s="2"/>
      <c r="X91" s="2"/>
      <c r="Y91" s="2"/>
      <c r="Z91" s="6"/>
    </row>
    <row r="92" spans="1:26" x14ac:dyDescent="0.3">
      <c r="A92" s="9"/>
      <c r="B92" s="9"/>
      <c r="C92" s="9"/>
      <c r="D92" s="2"/>
      <c r="E92" s="2"/>
      <c r="F92" s="6"/>
      <c r="G92" s="2"/>
      <c r="H92" s="2"/>
      <c r="I92" s="2"/>
      <c r="J92" s="6"/>
      <c r="K92" s="2"/>
      <c r="L92" s="2"/>
      <c r="M92" s="2"/>
      <c r="N92" s="6"/>
      <c r="P92" s="2"/>
      <c r="Q92" s="2"/>
      <c r="R92" s="6"/>
      <c r="S92" s="2"/>
      <c r="T92" s="2"/>
      <c r="U92" s="2"/>
      <c r="V92" s="6"/>
      <c r="W92" s="2"/>
      <c r="X92" s="2"/>
      <c r="Y92" s="2"/>
      <c r="Z92" s="6"/>
    </row>
    <row r="93" spans="1:26" s="23" customFormat="1" ht="15" thickBot="1" x14ac:dyDescent="0.35">
      <c r="A93" s="10"/>
      <c r="B93" s="26" t="s">
        <v>294</v>
      </c>
      <c r="C93" s="26"/>
      <c r="D93" s="33">
        <f>SUM(D90:D92)</f>
        <v>-15769.730000000003</v>
      </c>
      <c r="E93" s="13"/>
      <c r="F93" s="31">
        <f>IF(D$12=0,0,D93/D$12)</f>
        <v>-0.49573400538872414</v>
      </c>
      <c r="G93" s="13"/>
      <c r="H93" s="33">
        <f>SUM(H90:H92)</f>
        <v>-18479.31625721154</v>
      </c>
      <c r="I93" s="13"/>
      <c r="J93" s="31">
        <f>IF(H$12=0,0,H93/H$12)</f>
        <v>-0.5938656122766186</v>
      </c>
      <c r="K93" s="16"/>
      <c r="L93" s="33">
        <f>+D93-H93</f>
        <v>2709.5862572115366</v>
      </c>
      <c r="M93" s="16"/>
      <c r="N93" s="31">
        <f>IF(H93=0,0,L93/H93)</f>
        <v>-0.14662805806757717</v>
      </c>
      <c r="O93" s="25"/>
      <c r="P93" s="33">
        <f>SUM(P90:P92)</f>
        <v>-15769.730000000003</v>
      </c>
      <c r="Q93" s="13"/>
      <c r="R93" s="31">
        <f>IF(P$12=0,0,P93/P$12)</f>
        <v>-0.49573400538872414</v>
      </c>
      <c r="S93" s="13"/>
      <c r="T93" s="33">
        <f>SUM(T90:T92)</f>
        <v>-18479.31625721154</v>
      </c>
      <c r="U93" s="13"/>
      <c r="V93" s="31">
        <f>IF(T$12=0,0,T93/T$12)</f>
        <v>-0.5938656122766186</v>
      </c>
      <c r="W93" s="16"/>
      <c r="X93" s="33">
        <f>+P93-T93</f>
        <v>2709.5862572115366</v>
      </c>
      <c r="Y93" s="16"/>
      <c r="Z93" s="31">
        <f>IF(T93=0,0,X93/T93)</f>
        <v>-0.14662805806757717</v>
      </c>
    </row>
    <row r="94" spans="1:26" ht="15" thickTop="1" x14ac:dyDescent="0.3">
      <c r="A94" s="9"/>
      <c r="C94" s="9"/>
      <c r="D94" s="18"/>
      <c r="E94" s="18"/>
      <c r="G94" s="18"/>
      <c r="H94" s="18"/>
      <c r="I94" s="18"/>
      <c r="J94" s="43"/>
      <c r="K94" s="18"/>
      <c r="L94" s="18"/>
      <c r="M94" s="18"/>
      <c r="P94" s="18"/>
      <c r="Q94" s="18"/>
      <c r="R94" s="43"/>
      <c r="S94" s="18"/>
      <c r="T94" s="18"/>
      <c r="U94" s="18"/>
      <c r="V94" s="43"/>
      <c r="W94" s="18"/>
      <c r="X94" s="18"/>
    </row>
    <row r="95" spans="1:26" x14ac:dyDescent="0.3">
      <c r="A95" s="9"/>
      <c r="B95" s="54">
        <v>44462.64548684028</v>
      </c>
      <c r="D95" s="18"/>
      <c r="E95" s="18"/>
      <c r="G95" s="18"/>
      <c r="H95" s="18"/>
      <c r="I95" s="18"/>
      <c r="J95" s="43"/>
      <c r="K95" s="18"/>
      <c r="L95" s="18"/>
      <c r="M95" s="18"/>
      <c r="P95" s="18"/>
      <c r="Q95" s="18"/>
      <c r="R95" s="43"/>
      <c r="S95" s="18"/>
      <c r="T95" s="18"/>
      <c r="U95" s="18"/>
      <c r="V95" s="43"/>
      <c r="W95" s="18"/>
      <c r="X95" s="18"/>
    </row>
    <row r="96" spans="1:26" x14ac:dyDescent="0.3">
      <c r="A96" s="9"/>
      <c r="B96" s="59" t="s">
        <v>56</v>
      </c>
      <c r="D96" s="18"/>
      <c r="E96" s="18"/>
      <c r="G96" s="18"/>
      <c r="H96" s="18"/>
      <c r="I96" s="18"/>
      <c r="J96" s="43"/>
      <c r="K96" s="18"/>
      <c r="L96" s="18"/>
      <c r="M96" s="18"/>
      <c r="P96" s="18"/>
      <c r="Q96" s="18"/>
      <c r="R96" s="43"/>
      <c r="S96" s="18"/>
      <c r="T96" s="18"/>
      <c r="U96" s="18"/>
      <c r="V96" s="43"/>
      <c r="W96" s="18"/>
      <c r="X96" s="18"/>
    </row>
    <row r="97" spans="1:24" x14ac:dyDescent="0.3">
      <c r="A97" s="9"/>
      <c r="B97" s="55"/>
      <c r="D97" s="18"/>
      <c r="E97" s="18"/>
      <c r="G97" s="18"/>
      <c r="H97" s="18"/>
      <c r="I97" s="18"/>
      <c r="J97" s="43"/>
      <c r="K97" s="18"/>
      <c r="L97" s="18"/>
      <c r="M97" s="18"/>
      <c r="P97" s="18"/>
      <c r="Q97" s="18"/>
      <c r="R97" s="43"/>
      <c r="S97" s="18"/>
      <c r="T97" s="18"/>
      <c r="U97" s="18"/>
      <c r="V97" s="43"/>
      <c r="W97" s="18"/>
      <c r="X97" s="18"/>
    </row>
    <row r="98" spans="1:24" x14ac:dyDescent="0.3">
      <c r="D98" s="18"/>
      <c r="E98" s="18"/>
      <c r="G98" s="18"/>
      <c r="H98" s="18"/>
      <c r="I98" s="18"/>
      <c r="J98" s="43"/>
      <c r="K98" s="18"/>
      <c r="L98" s="18"/>
      <c r="M98" s="18"/>
      <c r="P98" s="18"/>
      <c r="Q98" s="18"/>
      <c r="R98" s="43"/>
      <c r="S98" s="18"/>
      <c r="T98" s="18"/>
      <c r="U98" s="18"/>
      <c r="V98" s="43"/>
      <c r="W98" s="18"/>
      <c r="X98" s="18"/>
    </row>
  </sheetData>
  <pageMargins left="0.25" right="0.25" top="0.75" bottom="0.75" header="0.3" footer="0.3"/>
  <pageSetup scale="55" fitToWidth="2" orientation="landscape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50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7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50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7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7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7" customWidth="1" outlineLevel="1"/>
  </cols>
  <sheetData>
    <row r="2" spans="1:26" x14ac:dyDescent="0.3">
      <c r="D2" s="57" t="s">
        <v>23</v>
      </c>
    </row>
    <row r="3" spans="1:26" x14ac:dyDescent="0.3">
      <c r="D3" s="57" t="s">
        <v>237</v>
      </c>
      <c r="E3" s="17"/>
      <c r="F3" s="51"/>
      <c r="G3" s="17"/>
      <c r="H3" s="17"/>
      <c r="I3" s="17"/>
      <c r="J3" s="39"/>
      <c r="K3" s="17"/>
      <c r="L3" s="17"/>
      <c r="M3" s="17"/>
      <c r="N3" s="51"/>
      <c r="O3" s="61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3">
      <c r="D4" s="57" t="e">
        <f ca="1">CONCATENATE("Period ",RIGHT(_xll.OneStop.ReportPlayer.OSRFunctions.OSRGet("Period","PeriodId"),2),", ",_xll.OneStop.ReportPlayer.OSRFunctions.OSRGet("Period","Year"))</f>
        <v>#NAME?</v>
      </c>
      <c r="E4" s="17"/>
      <c r="F4" s="51"/>
      <c r="G4" s="17"/>
      <c r="H4" s="17"/>
      <c r="I4" s="17"/>
      <c r="J4" s="39"/>
      <c r="K4" s="17"/>
      <c r="L4" s="17"/>
      <c r="M4" s="17"/>
      <c r="N4" s="51"/>
      <c r="O4" s="61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3">
      <c r="A5" s="23"/>
      <c r="D5" s="65" t="e">
        <f ca="1">_xll.OneStop.ReportPlayer.OSRFunctions.OSRGet("Period","PeriodEnd")</f>
        <v>#NAME?</v>
      </c>
      <c r="E5" s="17"/>
      <c r="F5" s="51"/>
      <c r="G5" s="17"/>
      <c r="H5" s="17"/>
      <c r="I5" s="17"/>
      <c r="J5" s="39"/>
      <c r="K5" s="17"/>
      <c r="L5" s="17"/>
      <c r="M5" s="17"/>
      <c r="N5" s="51"/>
      <c r="O5" s="61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3">
      <c r="A6" s="23"/>
      <c r="B6" s="47"/>
      <c r="C6" s="47"/>
      <c r="D6" s="23" t="s">
        <v>218</v>
      </c>
      <c r="E6" s="17"/>
      <c r="F6" s="51"/>
      <c r="G6" s="17"/>
      <c r="H6" s="17"/>
      <c r="I6" s="17"/>
      <c r="J6" s="39"/>
      <c r="K6" s="17"/>
      <c r="L6" s="17"/>
      <c r="M6" s="17"/>
      <c r="N6" s="51"/>
      <c r="O6" s="60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3">
      <c r="B7" s="63"/>
    </row>
    <row r="8" spans="1:26" x14ac:dyDescent="0.3">
      <c r="B8" s="63"/>
    </row>
    <row r="9" spans="1:26" x14ac:dyDescent="0.3">
      <c r="B9" s="9"/>
      <c r="C9" s="9"/>
      <c r="D9" s="15" t="s">
        <v>292</v>
      </c>
      <c r="E9" s="15"/>
      <c r="F9" s="38"/>
      <c r="G9" s="15"/>
      <c r="H9" s="15"/>
      <c r="I9" s="15"/>
      <c r="J9" s="49"/>
      <c r="K9" s="15"/>
      <c r="L9" s="15"/>
      <c r="M9" s="15"/>
      <c r="N9" s="38"/>
      <c r="P9" s="15" t="s">
        <v>39</v>
      </c>
      <c r="Q9" s="15"/>
      <c r="R9" s="38"/>
      <c r="S9" s="15"/>
      <c r="T9" s="15"/>
      <c r="U9" s="15"/>
      <c r="V9" s="49"/>
      <c r="W9" s="15"/>
      <c r="X9" s="15"/>
      <c r="Y9" s="15"/>
      <c r="Z9" s="38"/>
    </row>
    <row r="10" spans="1:26" x14ac:dyDescent="0.3">
      <c r="A10" s="10"/>
      <c r="B10" s="53"/>
      <c r="C10" s="10"/>
      <c r="D10" s="42" t="s">
        <v>57</v>
      </c>
      <c r="E10" s="34"/>
      <c r="F10" s="40" t="s">
        <v>40</v>
      </c>
      <c r="G10" s="34"/>
      <c r="H10" s="45" t="s">
        <v>238</v>
      </c>
      <c r="I10" s="34"/>
      <c r="J10" s="48" t="s">
        <v>58</v>
      </c>
      <c r="K10" s="10"/>
      <c r="L10" s="42" t="s">
        <v>127</v>
      </c>
      <c r="M10" s="10"/>
      <c r="N10" s="40" t="s">
        <v>258</v>
      </c>
      <c r="O10" s="10"/>
      <c r="P10" s="56" t="s">
        <v>57</v>
      </c>
      <c r="Q10" s="34"/>
      <c r="R10" s="40" t="s">
        <v>40</v>
      </c>
      <c r="S10" s="34"/>
      <c r="T10" s="45" t="s">
        <v>238</v>
      </c>
      <c r="U10" s="34"/>
      <c r="V10" s="48" t="s">
        <v>58</v>
      </c>
      <c r="W10" s="10"/>
      <c r="X10" s="42" t="s">
        <v>127</v>
      </c>
      <c r="Y10" s="10"/>
      <c r="Z10" s="40" t="s">
        <v>258</v>
      </c>
    </row>
    <row r="11" spans="1:26" ht="15.6" x14ac:dyDescent="0.3">
      <c r="A11" s="9"/>
      <c r="B11" s="58"/>
      <c r="C11" s="9"/>
      <c r="D11" s="9"/>
      <c r="E11" s="9"/>
      <c r="F11" s="6"/>
      <c r="G11" s="9"/>
      <c r="H11" s="9"/>
      <c r="I11" s="9"/>
      <c r="J11" s="46"/>
      <c r="K11" s="9"/>
      <c r="L11" s="9"/>
      <c r="M11" s="9"/>
      <c r="N11" s="6"/>
      <c r="P11" s="9"/>
      <c r="Q11" s="9"/>
      <c r="R11" s="6"/>
      <c r="S11" s="9"/>
      <c r="T11" s="9"/>
      <c r="U11" s="9"/>
      <c r="V11" s="46"/>
      <c r="W11" s="9"/>
      <c r="X11" s="9"/>
      <c r="Y11" s="9"/>
      <c r="Z11" s="6"/>
    </row>
    <row r="12" spans="1:26" s="23" customFormat="1" collapsed="1" x14ac:dyDescent="0.3">
      <c r="A12" s="10"/>
      <c r="B12" s="25" t="s">
        <v>140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3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3" t="e">
        <f ca="1">-_xll.OneStop.ReportPlayer.OSRFunctions.OSRGet("GL_F_Trans","Value1")</f>
        <v>#NAME?</v>
      </c>
      <c r="E13" s="3"/>
      <c r="F13" s="19"/>
      <c r="G13" s="3"/>
      <c r="H13" s="3" t="e">
        <f ca="1">_xll.OneStop.ReportPlayer.OSRFunctions.OSRGet("GL_F_Trans","Value1")</f>
        <v>#NAME?</v>
      </c>
      <c r="I13" s="3"/>
      <c r="J13" s="19"/>
      <c r="K13" s="3"/>
      <c r="L13" s="3" t="e">
        <f t="shared" ca="1" si="0"/>
        <v>#NAME?</v>
      </c>
      <c r="M13" s="3"/>
      <c r="N13" s="19" t="e">
        <f t="shared" ca="1" si="1"/>
        <v>#NAME?</v>
      </c>
      <c r="O13" s="11"/>
      <c r="P13" s="3" t="e">
        <f ca="1">-_xll.OneStop.ReportPlayer.OSRFunctions.OSRGet("GL_F_Trans","Value1")</f>
        <v>#NAME?</v>
      </c>
      <c r="Q13" s="3"/>
      <c r="R13" s="19"/>
      <c r="S13" s="3"/>
      <c r="T13" s="3" t="e">
        <f ca="1">_xll.OneStop.ReportPlayer.OSRFunctions.OSRGet("GL_F_Trans","Value1")</f>
        <v>#NAME?</v>
      </c>
      <c r="U13" s="3"/>
      <c r="V13" s="19"/>
      <c r="W13" s="3"/>
      <c r="X13" s="3" t="e">
        <f t="shared" ca="1" si="2"/>
        <v>#NAME?</v>
      </c>
      <c r="Y13" s="3"/>
      <c r="Z13" s="19" t="e">
        <f t="shared" ca="1" si="3"/>
        <v>#NAME?</v>
      </c>
    </row>
    <row r="14" spans="1:26" x14ac:dyDescent="0.3">
      <c r="A14" s="9"/>
      <c r="B14" s="10"/>
      <c r="C14" s="9"/>
      <c r="D14" s="2"/>
      <c r="E14" s="2"/>
      <c r="F14" s="6"/>
      <c r="G14" s="2"/>
      <c r="H14" s="2"/>
      <c r="I14" s="2"/>
      <c r="J14" s="6"/>
      <c r="K14" s="2"/>
      <c r="L14" s="2"/>
      <c r="M14" s="2"/>
      <c r="N14" s="6"/>
      <c r="P14" s="2"/>
      <c r="Q14" s="2"/>
      <c r="R14" s="6"/>
      <c r="S14" s="2"/>
      <c r="T14" s="2"/>
      <c r="U14" s="2"/>
      <c r="V14" s="6"/>
      <c r="W14" s="2"/>
      <c r="X14" s="2"/>
      <c r="Y14" s="2"/>
      <c r="Z14" s="6"/>
    </row>
    <row r="15" spans="1:26" s="23" customFormat="1" collapsed="1" x14ac:dyDescent="0.3">
      <c r="A15" s="10"/>
      <c r="B15" s="25" t="s">
        <v>257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3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3" t="e">
        <f ca="1">_xll.OneStop.ReportPlayer.OSRFunctions.OSRGet("GL_F_Trans","Value1")</f>
        <v>#NAME?</v>
      </c>
      <c r="E16" s="3"/>
      <c r="F16" s="19" t="e">
        <f t="shared" ca="1" si="4"/>
        <v>#NAME?</v>
      </c>
      <c r="G16" s="3"/>
      <c r="H16" s="3" t="e">
        <f ca="1">_xll.OneStop.ReportPlayer.OSRFunctions.OSRGet("GL_F_Trans","Value1")</f>
        <v>#NAME?</v>
      </c>
      <c r="I16" s="3"/>
      <c r="J16" s="19" t="e">
        <f t="shared" ca="1" si="5"/>
        <v>#NAME?</v>
      </c>
      <c r="K16" s="3"/>
      <c r="L16" s="3" t="e">
        <f t="shared" ca="1" si="6"/>
        <v>#NAME?</v>
      </c>
      <c r="M16" s="3"/>
      <c r="N16" s="19" t="e">
        <f t="shared" ca="1" si="7"/>
        <v>#NAME?</v>
      </c>
      <c r="O16" s="11"/>
      <c r="P16" s="3" t="e">
        <f ca="1">_xll.OneStop.ReportPlayer.OSRFunctions.OSRGet("GL_F_Trans","Value1")</f>
        <v>#NAME?</v>
      </c>
      <c r="Q16" s="3"/>
      <c r="R16" s="19" t="e">
        <f t="shared" ca="1" si="8"/>
        <v>#NAME?</v>
      </c>
      <c r="S16" s="3"/>
      <c r="T16" s="3" t="e">
        <f ca="1">_xll.OneStop.ReportPlayer.OSRFunctions.OSRGet("GL_F_Trans","Value1")</f>
        <v>#NAME?</v>
      </c>
      <c r="U16" s="3"/>
      <c r="V16" s="19" t="e">
        <f t="shared" ca="1" si="9"/>
        <v>#NAME?</v>
      </c>
      <c r="W16" s="3"/>
      <c r="X16" s="3" t="e">
        <f t="shared" ca="1" si="10"/>
        <v>#NAME?</v>
      </c>
      <c r="Y16" s="3"/>
      <c r="Z16" s="19" t="e">
        <f t="shared" ca="1" si="11"/>
        <v>#NAME?</v>
      </c>
    </row>
    <row r="17" spans="1:26" x14ac:dyDescent="0.3">
      <c r="A17" s="9"/>
      <c r="B17" s="10"/>
      <c r="C17" s="10"/>
      <c r="D17" s="2"/>
      <c r="E17" s="2"/>
      <c r="F17" s="6"/>
      <c r="G17" s="2"/>
      <c r="H17" s="2"/>
      <c r="I17" s="2"/>
      <c r="J17" s="6"/>
      <c r="K17" s="2"/>
      <c r="L17" s="2"/>
      <c r="M17" s="2"/>
      <c r="N17" s="6"/>
      <c r="O17" s="10"/>
      <c r="P17" s="2"/>
      <c r="Q17" s="2"/>
      <c r="R17" s="6"/>
      <c r="S17" s="2"/>
      <c r="T17" s="2"/>
      <c r="U17" s="2"/>
      <c r="V17" s="6"/>
      <c r="W17" s="2"/>
      <c r="X17" s="2"/>
      <c r="Y17" s="2"/>
      <c r="Z17" s="6"/>
    </row>
    <row r="18" spans="1:26" s="23" customFormat="1" x14ac:dyDescent="0.3">
      <c r="A18" s="10"/>
      <c r="B18" s="26" t="s">
        <v>108</v>
      </c>
      <c r="C18" s="26"/>
      <c r="D18" s="21" t="e">
        <f ca="1">D12-D15</f>
        <v>#NAME?</v>
      </c>
      <c r="E18" s="13"/>
      <c r="F18" s="22" t="e">
        <f ca="1">IF(D$12=0,0,D18/D$12)</f>
        <v>#NAME?</v>
      </c>
      <c r="G18" s="13"/>
      <c r="H18" s="21" t="e">
        <f ca="1">H12-H15</f>
        <v>#NAME?</v>
      </c>
      <c r="I18" s="13"/>
      <c r="J18" s="22" t="e">
        <f ca="1">IF(H$12=0,0,H18/H$12)</f>
        <v>#NAME?</v>
      </c>
      <c r="K18" s="16"/>
      <c r="L18" s="21" t="e">
        <f ca="1">+D18-H18</f>
        <v>#NAME?</v>
      </c>
      <c r="M18" s="16"/>
      <c r="N18" s="22" t="e">
        <f ca="1">IF(H18=0,0,L18/H18)</f>
        <v>#NAME?</v>
      </c>
      <c r="O18" s="25"/>
      <c r="P18" s="21" t="e">
        <f ca="1">P12-P15</f>
        <v>#NAME?</v>
      </c>
      <c r="Q18" s="13"/>
      <c r="R18" s="22" t="e">
        <f ca="1">IF(P$12=0,0,P18/P$12)</f>
        <v>#NAME?</v>
      </c>
      <c r="S18" s="13"/>
      <c r="T18" s="21" t="e">
        <f ca="1">T12-T15</f>
        <v>#NAME?</v>
      </c>
      <c r="U18" s="13"/>
      <c r="V18" s="22" t="e">
        <f ca="1">IF(T$12=0,0,T18/T$12)</f>
        <v>#NAME?</v>
      </c>
      <c r="W18" s="16"/>
      <c r="X18" s="21" t="e">
        <f ca="1">+P18-T18</f>
        <v>#NAME?</v>
      </c>
      <c r="Y18" s="16"/>
      <c r="Z18" s="22" t="e">
        <f ca="1">IF(T18=0,0,X18/T18)</f>
        <v>#NAME?</v>
      </c>
    </row>
    <row r="19" spans="1:26" x14ac:dyDescent="0.3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">
      <c r="A20" s="10"/>
      <c r="B20" s="25" t="s">
        <v>295</v>
      </c>
      <c r="C20" s="10"/>
      <c r="D20" s="20" t="e">
        <f ca="1">SUM(_xll.OneStop.ReportPlayer.OSRFunctions.OSRRef(D22))</f>
        <v>#NAME?</v>
      </c>
      <c r="E20" s="20"/>
      <c r="F20" s="32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2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2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2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2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2" t="e">
        <f t="shared" ref="Z20:Z22" ca="1" si="19">IF(T20=0,0,X20/T20)</f>
        <v>#NAME?</v>
      </c>
    </row>
    <row r="21" spans="1:26" s="27" customFormat="1" outlineLevel="1" collapsed="1" x14ac:dyDescent="0.3">
      <c r="A21" s="28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3">
      <c r="A22" s="29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8" t="e">
        <f ca="1">_xll.OneStop.ReportPlayer.OSRFunctions.OSRGet("GL_F_Trans","Value1")</f>
        <v>#NAME?</v>
      </c>
      <c r="E22" s="3"/>
      <c r="F22" s="7" t="e">
        <f t="shared" ca="1" si="12"/>
        <v>#NAME?</v>
      </c>
      <c r="G22" s="3"/>
      <c r="H22" s="8" t="e">
        <f ca="1">_xll.OneStop.ReportPlayer.OSRFunctions.OSRGet("GL_F_Trans","Value1")</f>
        <v>#NAME?</v>
      </c>
      <c r="I22" s="3"/>
      <c r="J22" s="7" t="e">
        <f t="shared" ca="1" si="13"/>
        <v>#NAME?</v>
      </c>
      <c r="K22" s="3"/>
      <c r="L22" s="8" t="e">
        <f t="shared" ca="1" si="14"/>
        <v>#NAME?</v>
      </c>
      <c r="M22" s="3"/>
      <c r="N22" s="7" t="e">
        <f t="shared" ca="1" si="15"/>
        <v>#NAME?</v>
      </c>
      <c r="O22" s="11"/>
      <c r="P22" s="8" t="e">
        <f ca="1">_xll.OneStop.ReportPlayer.OSRFunctions.OSRGet("GL_F_Trans","Value1")</f>
        <v>#NAME?</v>
      </c>
      <c r="Q22" s="3"/>
      <c r="R22" s="7" t="e">
        <f t="shared" ca="1" si="16"/>
        <v>#NAME?</v>
      </c>
      <c r="S22" s="3"/>
      <c r="T22" s="8" t="e">
        <f ca="1">_xll.OneStop.ReportPlayer.OSRFunctions.OSRGet("GL_F_Trans","Value1")</f>
        <v>#NAME?</v>
      </c>
      <c r="U22" s="3"/>
      <c r="V22" s="7" t="e">
        <f t="shared" ca="1" si="17"/>
        <v>#NAME?</v>
      </c>
      <c r="W22" s="3"/>
      <c r="X22" s="8" t="e">
        <f t="shared" ca="1" si="18"/>
        <v>#NAME?</v>
      </c>
      <c r="Y22" s="3"/>
      <c r="Z22" s="7" t="e">
        <f t="shared" ca="1" si="19"/>
        <v>#NAME?</v>
      </c>
    </row>
    <row r="23" spans="1:26" s="62" customFormat="1" x14ac:dyDescent="0.3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3">
      <c r="A24" s="10"/>
      <c r="B24" s="25" t="s">
        <v>293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3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3" t="e">
        <f ca="1">-_xll.OneStop.ReportPlayer.OSRFunctions.OSRGet("GL_F_Trans","Value1")</f>
        <v>#NAME?</v>
      </c>
      <c r="E25" s="3"/>
      <c r="F25" s="19" t="e">
        <f t="shared" ca="1" si="20"/>
        <v>#NAME?</v>
      </c>
      <c r="G25" s="3"/>
      <c r="H25" s="3" t="e">
        <f ca="1">_xll.OneStop.ReportPlayer.OSRFunctions.OSRGet("GL_F_Trans","Value1")</f>
        <v>#NAME?</v>
      </c>
      <c r="I25" s="3"/>
      <c r="J25" s="19" t="e">
        <f t="shared" ca="1" si="21"/>
        <v>#NAME?</v>
      </c>
      <c r="K25" s="3"/>
      <c r="L25" s="3" t="e">
        <f t="shared" ca="1" si="22"/>
        <v>#NAME?</v>
      </c>
      <c r="M25" s="3"/>
      <c r="N25" s="19" t="e">
        <f t="shared" ca="1" si="23"/>
        <v>#NAME?</v>
      </c>
      <c r="O25" s="11"/>
      <c r="P25" s="3" t="e">
        <f ca="1">-_xll.OneStop.ReportPlayer.OSRFunctions.OSRGet("GL_F_Trans","Value1")</f>
        <v>#NAME?</v>
      </c>
      <c r="Q25" s="3"/>
      <c r="R25" s="19" t="e">
        <f t="shared" ca="1" si="24"/>
        <v>#NAME?</v>
      </c>
      <c r="S25" s="3"/>
      <c r="T25" s="3" t="e">
        <f ca="1">_xll.OneStop.ReportPlayer.OSRFunctions.OSRGet("GL_F_Trans","Value1")</f>
        <v>#NAME?</v>
      </c>
      <c r="U25" s="3"/>
      <c r="V25" s="19" t="e">
        <f t="shared" ca="1" si="25"/>
        <v>#NAME?</v>
      </c>
      <c r="W25" s="3"/>
      <c r="X25" s="3" t="e">
        <f t="shared" ca="1" si="26"/>
        <v>#NAME?</v>
      </c>
      <c r="Y25" s="3"/>
      <c r="Z25" s="19" t="e">
        <f t="shared" ca="1" si="27"/>
        <v>#NAME?</v>
      </c>
    </row>
    <row r="26" spans="1:26" x14ac:dyDescent="0.3">
      <c r="A26" s="9"/>
      <c r="B26" s="10"/>
      <c r="C26" s="10"/>
      <c r="D26" s="2"/>
      <c r="E26" s="2"/>
      <c r="F26" s="6"/>
      <c r="G26" s="2"/>
      <c r="H26" s="2"/>
      <c r="I26" s="2"/>
      <c r="J26" s="6"/>
      <c r="K26" s="2"/>
      <c r="L26" s="2"/>
      <c r="M26" s="2"/>
      <c r="N26" s="6"/>
      <c r="O26" s="10"/>
      <c r="P26" s="2"/>
      <c r="Q26" s="2"/>
      <c r="R26" s="6"/>
      <c r="S26" s="2"/>
      <c r="T26" s="2"/>
      <c r="U26" s="2"/>
      <c r="V26" s="6"/>
      <c r="W26" s="2"/>
      <c r="X26" s="2"/>
      <c r="Y26" s="2"/>
      <c r="Z26" s="6"/>
    </row>
    <row r="27" spans="1:26" s="23" customFormat="1" x14ac:dyDescent="0.3">
      <c r="A27" s="10"/>
      <c r="B27" s="26" t="s">
        <v>277</v>
      </c>
      <c r="C27" s="26"/>
      <c r="D27" s="21" t="e">
        <f ca="1">+D18-D20+D24</f>
        <v>#NAME?</v>
      </c>
      <c r="E27" s="13"/>
      <c r="F27" s="22" t="e">
        <f ca="1">IF(D$12=0,0,D27/D$12)</f>
        <v>#NAME?</v>
      </c>
      <c r="G27" s="13"/>
      <c r="H27" s="21" t="e">
        <f ca="1">+H18-H20+H24</f>
        <v>#NAME?</v>
      </c>
      <c r="I27" s="13"/>
      <c r="J27" s="22" t="e">
        <f ca="1">IF(H$12=0,0,H27/H$12)</f>
        <v>#NAME?</v>
      </c>
      <c r="K27" s="16"/>
      <c r="L27" s="21" t="e">
        <f ca="1">+D27-H27</f>
        <v>#NAME?</v>
      </c>
      <c r="M27" s="16"/>
      <c r="N27" s="22" t="e">
        <f ca="1">IF(H27=0,0,L27/H27)</f>
        <v>#NAME?</v>
      </c>
      <c r="O27" s="25"/>
      <c r="P27" s="21" t="e">
        <f ca="1">+P18-P20+P24</f>
        <v>#NAME?</v>
      </c>
      <c r="Q27" s="13"/>
      <c r="R27" s="22" t="e">
        <f ca="1">IF(P$12=0,0,P27/P$12)</f>
        <v>#NAME?</v>
      </c>
      <c r="S27" s="13"/>
      <c r="T27" s="21" t="e">
        <f ca="1">+T18-T20+T24</f>
        <v>#NAME?</v>
      </c>
      <c r="U27" s="13"/>
      <c r="V27" s="22" t="e">
        <f ca="1">IF(T$12=0,0,T27/T$12)</f>
        <v>#NAME?</v>
      </c>
      <c r="W27" s="16"/>
      <c r="X27" s="21" t="e">
        <f ca="1">+P27-T27</f>
        <v>#NAME?</v>
      </c>
      <c r="Y27" s="16"/>
      <c r="Z27" s="22" t="e">
        <f ca="1">IF(T27=0,0,X27/T27)</f>
        <v>#NAME?</v>
      </c>
    </row>
    <row r="28" spans="1:26" x14ac:dyDescent="0.3">
      <c r="A28" s="9"/>
      <c r="B28" s="10"/>
      <c r="C28" s="9"/>
      <c r="D28" s="2"/>
      <c r="E28" s="2"/>
      <c r="F28" s="6"/>
      <c r="G28" s="2"/>
      <c r="H28" s="2"/>
      <c r="I28" s="2"/>
      <c r="J28" s="6"/>
      <c r="K28" s="2"/>
      <c r="L28" s="2"/>
      <c r="M28" s="2"/>
      <c r="N28" s="6"/>
      <c r="P28" s="2"/>
      <c r="Q28" s="2"/>
      <c r="R28" s="6"/>
      <c r="S28" s="2"/>
      <c r="T28" s="2"/>
      <c r="U28" s="2"/>
      <c r="V28" s="6"/>
      <c r="W28" s="2"/>
      <c r="X28" s="2"/>
      <c r="Y28" s="2"/>
      <c r="Z28" s="6"/>
    </row>
    <row r="29" spans="1:26" s="23" customFormat="1" x14ac:dyDescent="0.3">
      <c r="A29" s="52"/>
      <c r="B29" s="10" t="s">
        <v>128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3">
      <c r="A30" s="9"/>
      <c r="B30" s="10"/>
      <c r="C30" s="10"/>
      <c r="D30" s="2"/>
      <c r="E30" s="2"/>
      <c r="F30" s="6"/>
      <c r="G30" s="2"/>
      <c r="H30" s="2"/>
      <c r="I30" s="2"/>
      <c r="J30" s="6"/>
      <c r="K30" s="2"/>
      <c r="L30" s="2"/>
      <c r="M30" s="2"/>
      <c r="N30" s="6"/>
      <c r="O30" s="10"/>
      <c r="P30" s="2"/>
      <c r="Q30" s="2"/>
      <c r="R30" s="6"/>
      <c r="S30" s="2"/>
      <c r="T30" s="2"/>
      <c r="U30" s="2"/>
      <c r="V30" s="6"/>
      <c r="W30" s="2"/>
      <c r="X30" s="2"/>
      <c r="Y30" s="2"/>
      <c r="Z30" s="6"/>
    </row>
    <row r="31" spans="1:26" s="23" customFormat="1" ht="15" thickBot="1" x14ac:dyDescent="0.35">
      <c r="A31" s="10"/>
      <c r="B31" s="26" t="s">
        <v>126</v>
      </c>
      <c r="C31" s="26"/>
      <c r="D31" s="35" t="e">
        <f ca="1">+D27-D29</f>
        <v>#NAME?</v>
      </c>
      <c r="E31" s="13"/>
      <c r="F31" s="30" t="e">
        <f ca="1">IF(D$12=0,0,D31/D$12)</f>
        <v>#NAME?</v>
      </c>
      <c r="G31" s="13"/>
      <c r="H31" s="35" t="e">
        <f ca="1">+H27-H29</f>
        <v>#NAME?</v>
      </c>
      <c r="I31" s="13"/>
      <c r="J31" s="30" t="e">
        <f ca="1">IF(H$12=0,0,H31/H$12)</f>
        <v>#NAME?</v>
      </c>
      <c r="K31" s="16"/>
      <c r="L31" s="35" t="e">
        <f ca="1">D31-H31</f>
        <v>#NAME?</v>
      </c>
      <c r="M31" s="16"/>
      <c r="N31" s="30" t="e">
        <f ca="1">IF(H31=0,0,L31/H31)</f>
        <v>#NAME?</v>
      </c>
      <c r="O31" s="25"/>
      <c r="P31" s="35" t="e">
        <f ca="1">+P27-P29</f>
        <v>#NAME?</v>
      </c>
      <c r="Q31" s="13"/>
      <c r="R31" s="30" t="e">
        <f ca="1">IF(P$12=0,0,P31/P$12)</f>
        <v>#NAME?</v>
      </c>
      <c r="S31" s="13"/>
      <c r="T31" s="35" t="e">
        <f ca="1">+T27-T29</f>
        <v>#NAME?</v>
      </c>
      <c r="U31" s="13"/>
      <c r="V31" s="30" t="e">
        <f ca="1">IF(T$12=0,0,T31/T$12)</f>
        <v>#NAME?</v>
      </c>
      <c r="W31" s="16"/>
      <c r="X31" s="35" t="e">
        <f ca="1">P31-T31</f>
        <v>#NAME?</v>
      </c>
      <c r="Y31" s="16"/>
      <c r="Z31" s="30" t="e">
        <f ca="1">IF(T31=0,0,X31/T31)</f>
        <v>#NAME?</v>
      </c>
    </row>
    <row r="32" spans="1:26" ht="15" thickTop="1" x14ac:dyDescent="0.3">
      <c r="A32" s="9"/>
      <c r="B32" s="9"/>
      <c r="C32" s="9"/>
      <c r="D32" s="2"/>
      <c r="E32" s="2"/>
      <c r="F32" s="6"/>
      <c r="G32" s="2"/>
      <c r="H32" s="2"/>
      <c r="I32" s="2"/>
      <c r="J32" s="6"/>
      <c r="K32" s="2"/>
      <c r="L32" s="2"/>
      <c r="M32" s="2"/>
      <c r="N32" s="6"/>
      <c r="P32" s="2"/>
      <c r="Q32" s="2"/>
      <c r="R32" s="6"/>
      <c r="S32" s="2"/>
      <c r="T32" s="2"/>
      <c r="U32" s="2"/>
      <c r="V32" s="6"/>
      <c r="W32" s="2"/>
      <c r="X32" s="2"/>
      <c r="Y32" s="2"/>
      <c r="Z32" s="6"/>
    </row>
    <row r="33" spans="1:26" s="23" customFormat="1" x14ac:dyDescent="0.3">
      <c r="A33" s="52"/>
      <c r="B33" s="10" t="s">
        <v>184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3">
      <c r="A34" s="52"/>
      <c r="B34" s="10" t="s">
        <v>82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3">
      <c r="A35" s="9"/>
      <c r="B35" s="9"/>
      <c r="C35" s="9"/>
      <c r="D35" s="2"/>
      <c r="E35" s="2"/>
      <c r="F35" s="6"/>
      <c r="G35" s="2"/>
      <c r="H35" s="2"/>
      <c r="I35" s="2"/>
      <c r="J35" s="6"/>
      <c r="K35" s="2"/>
      <c r="L35" s="2"/>
      <c r="M35" s="2"/>
      <c r="N35" s="6"/>
      <c r="P35" s="2"/>
      <c r="Q35" s="2"/>
      <c r="R35" s="6"/>
      <c r="S35" s="2"/>
      <c r="T35" s="2"/>
      <c r="U35" s="2"/>
      <c r="V35" s="6"/>
      <c r="W35" s="2"/>
      <c r="X35" s="2"/>
      <c r="Y35" s="2"/>
      <c r="Z35" s="6"/>
    </row>
    <row r="36" spans="1:26" s="23" customFormat="1" ht="15" thickBot="1" x14ac:dyDescent="0.35">
      <c r="A36" s="10"/>
      <c r="B36" s="26" t="s">
        <v>294</v>
      </c>
      <c r="C36" s="26"/>
      <c r="D36" s="33" t="e">
        <f ca="1">SUM(D31:D35)</f>
        <v>#NAME?</v>
      </c>
      <c r="E36" s="13"/>
      <c r="F36" s="31" t="e">
        <f ca="1">IF(D$12=0,0,D36/D$12)</f>
        <v>#NAME?</v>
      </c>
      <c r="G36" s="13"/>
      <c r="H36" s="33" t="e">
        <f ca="1">SUM(H31:H35)</f>
        <v>#NAME?</v>
      </c>
      <c r="I36" s="13"/>
      <c r="J36" s="31" t="e">
        <f ca="1">IF(H$12=0,0,H36/H$12)</f>
        <v>#NAME?</v>
      </c>
      <c r="K36" s="16"/>
      <c r="L36" s="33" t="e">
        <f ca="1">+D36-H36</f>
        <v>#NAME?</v>
      </c>
      <c r="M36" s="16"/>
      <c r="N36" s="31" t="e">
        <f ca="1">IF(H36=0,0,L36/H36)</f>
        <v>#NAME?</v>
      </c>
      <c r="O36" s="25"/>
      <c r="P36" s="33" t="e">
        <f ca="1">SUM(P31:P35)</f>
        <v>#NAME?</v>
      </c>
      <c r="Q36" s="13"/>
      <c r="R36" s="31" t="e">
        <f ca="1">IF(P$12=0,0,P36/P$12)</f>
        <v>#NAME?</v>
      </c>
      <c r="S36" s="13"/>
      <c r="T36" s="33" t="e">
        <f ca="1">SUM(T31:T35)</f>
        <v>#NAME?</v>
      </c>
      <c r="U36" s="13"/>
      <c r="V36" s="31" t="e">
        <f ca="1">IF(T$12=0,0,T36/T$12)</f>
        <v>#NAME?</v>
      </c>
      <c r="W36" s="16"/>
      <c r="X36" s="33" t="e">
        <f ca="1">+P36-T36</f>
        <v>#NAME?</v>
      </c>
      <c r="Y36" s="16"/>
      <c r="Z36" s="31" t="e">
        <f ca="1">IF(T36=0,0,X36/T36)</f>
        <v>#NAME?</v>
      </c>
    </row>
    <row r="37" spans="1:26" ht="15" thickTop="1" x14ac:dyDescent="0.3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3">
      <c r="A38" s="9"/>
      <c r="B38" s="54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3">
      <c r="A39" s="9"/>
      <c r="B39" s="59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3">
      <c r="A40" s="9"/>
      <c r="B40" s="55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3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tabColor rgb="FFFFFF00"/>
    <outlinePr summaryBelow="0" summaryRight="0"/>
  </sheetPr>
  <dimension ref="A2:Z8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50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7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50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7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7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7" customWidth="1" outlineLevel="1"/>
  </cols>
  <sheetData>
    <row r="2" spans="1:26" x14ac:dyDescent="0.3">
      <c r="D2" s="57" t="s">
        <v>23</v>
      </c>
    </row>
    <row r="3" spans="1:26" x14ac:dyDescent="0.3">
      <c r="D3" s="57" t="s">
        <v>237</v>
      </c>
      <c r="E3" s="17"/>
      <c r="F3" s="51"/>
      <c r="G3" s="17"/>
      <c r="H3" s="17"/>
      <c r="I3" s="17"/>
      <c r="J3" s="39"/>
      <c r="K3" s="17"/>
      <c r="L3" s="17"/>
      <c r="M3" s="17"/>
      <c r="N3" s="51"/>
      <c r="O3" s="61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3">
      <c r="D4" s="57" t="str">
        <f>CONCATENATE("Period ",RIGHT(202201,2),", ",2022)</f>
        <v>Period 01, 2022</v>
      </c>
      <c r="E4" s="17"/>
      <c r="F4" s="51"/>
      <c r="G4" s="17"/>
      <c r="H4" s="17"/>
      <c r="I4" s="17"/>
      <c r="J4" s="39"/>
      <c r="K4" s="17"/>
      <c r="L4" s="17"/>
      <c r="M4" s="17"/>
      <c r="N4" s="51"/>
      <c r="O4" s="61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3">
      <c r="A5" s="23"/>
      <c r="D5" s="64">
        <v>44408</v>
      </c>
      <c r="E5" s="17"/>
      <c r="F5" s="51"/>
      <c r="G5" s="17"/>
      <c r="H5" s="17"/>
      <c r="I5" s="17"/>
      <c r="J5" s="39"/>
      <c r="K5" s="17"/>
      <c r="L5" s="17"/>
      <c r="M5" s="17"/>
      <c r="N5" s="51"/>
      <c r="O5" s="61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3">
      <c r="A6" s="23"/>
      <c r="B6" s="47"/>
      <c r="C6" s="47"/>
      <c r="D6" s="23" t="s">
        <v>125</v>
      </c>
      <c r="E6" s="17"/>
      <c r="F6" s="51"/>
      <c r="G6" s="17"/>
      <c r="H6" s="17"/>
      <c r="I6" s="17"/>
      <c r="J6" s="39"/>
      <c r="K6" s="17"/>
      <c r="L6" s="17"/>
      <c r="M6" s="17"/>
      <c r="N6" s="51"/>
      <c r="O6" s="60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3">
      <c r="B7" s="63"/>
    </row>
    <row r="8" spans="1:26" x14ac:dyDescent="0.3">
      <c r="B8" s="63"/>
    </row>
    <row r="9" spans="1:26" x14ac:dyDescent="0.3">
      <c r="B9" s="9"/>
      <c r="C9" s="9"/>
      <c r="D9" s="15" t="s">
        <v>292</v>
      </c>
      <c r="E9" s="15"/>
      <c r="F9" s="38"/>
      <c r="G9" s="15"/>
      <c r="H9" s="15"/>
      <c r="I9" s="15"/>
      <c r="J9" s="49"/>
      <c r="K9" s="15"/>
      <c r="L9" s="15"/>
      <c r="M9" s="15"/>
      <c r="N9" s="38"/>
      <c r="P9" s="15" t="s">
        <v>39</v>
      </c>
      <c r="Q9" s="15"/>
      <c r="R9" s="38"/>
      <c r="S9" s="15"/>
      <c r="T9" s="15"/>
      <c r="U9" s="15"/>
      <c r="V9" s="49"/>
      <c r="W9" s="15"/>
      <c r="X9" s="15"/>
      <c r="Y9" s="15"/>
      <c r="Z9" s="38"/>
    </row>
    <row r="10" spans="1:26" x14ac:dyDescent="0.3">
      <c r="A10" s="10"/>
      <c r="B10" s="53"/>
      <c r="C10" s="10"/>
      <c r="D10" s="42" t="s">
        <v>57</v>
      </c>
      <c r="E10" s="34"/>
      <c r="F10" s="40" t="s">
        <v>40</v>
      </c>
      <c r="G10" s="34"/>
      <c r="H10" s="45" t="s">
        <v>238</v>
      </c>
      <c r="I10" s="34"/>
      <c r="J10" s="48" t="s">
        <v>58</v>
      </c>
      <c r="K10" s="10"/>
      <c r="L10" s="42" t="s">
        <v>127</v>
      </c>
      <c r="M10" s="10"/>
      <c r="N10" s="40" t="s">
        <v>258</v>
      </c>
      <c r="O10" s="10"/>
      <c r="P10" s="56" t="s">
        <v>57</v>
      </c>
      <c r="Q10" s="34"/>
      <c r="R10" s="40" t="s">
        <v>40</v>
      </c>
      <c r="S10" s="34"/>
      <c r="T10" s="45" t="s">
        <v>238</v>
      </c>
      <c r="U10" s="34"/>
      <c r="V10" s="48" t="s">
        <v>58</v>
      </c>
      <c r="W10" s="10"/>
      <c r="X10" s="42" t="s">
        <v>127</v>
      </c>
      <c r="Y10" s="10"/>
      <c r="Z10" s="40" t="s">
        <v>258</v>
      </c>
    </row>
    <row r="11" spans="1:26" ht="15.6" x14ac:dyDescent="0.3">
      <c r="A11" s="9"/>
      <c r="B11" s="58"/>
      <c r="C11" s="9"/>
      <c r="D11" s="9"/>
      <c r="E11" s="9"/>
      <c r="F11" s="6"/>
      <c r="G11" s="9"/>
      <c r="H11" s="9"/>
      <c r="I11" s="9"/>
      <c r="J11" s="46"/>
      <c r="K11" s="9"/>
      <c r="L11" s="9"/>
      <c r="M11" s="9"/>
      <c r="N11" s="6"/>
      <c r="P11" s="9"/>
      <c r="Q11" s="9"/>
      <c r="R11" s="6"/>
      <c r="S11" s="9"/>
      <c r="T11" s="9"/>
      <c r="U11" s="9"/>
      <c r="V11" s="46"/>
      <c r="W11" s="9"/>
      <c r="X11" s="9"/>
      <c r="Y11" s="9"/>
      <c r="Z11" s="6"/>
    </row>
    <row r="12" spans="1:26" s="23" customFormat="1" collapsed="1" x14ac:dyDescent="0.3">
      <c r="A12" s="10"/>
      <c r="B12" s="25" t="s">
        <v>140</v>
      </c>
      <c r="C12" s="10"/>
      <c r="D12" s="4">
        <f>SUM(OSRRefD13x_0)</f>
        <v>2531.7999999999997</v>
      </c>
      <c r="E12" s="4"/>
      <c r="F12" s="12"/>
      <c r="G12" s="4"/>
      <c r="H12" s="4">
        <f>SUM(OSRRefH13x_0)</f>
        <v>2700</v>
      </c>
      <c r="I12" s="4"/>
      <c r="J12" s="12"/>
      <c r="K12" s="4"/>
      <c r="L12" s="4">
        <f t="shared" ref="L12:L15" si="0">+D12-H12</f>
        <v>-168.20000000000027</v>
      </c>
      <c r="M12" s="4"/>
      <c r="N12" s="12">
        <f t="shared" ref="N12:N15" si="1">IF(H12=0,0,L12/H12)</f>
        <v>-6.2296296296296398E-2</v>
      </c>
      <c r="O12" s="10"/>
      <c r="P12" s="4">
        <f>SUM(OSRRefP13x_0)</f>
        <v>2531.7999999999997</v>
      </c>
      <c r="Q12" s="4"/>
      <c r="R12" s="12"/>
      <c r="S12" s="4"/>
      <c r="T12" s="4">
        <f>SUM(OSRRefT13x_0)</f>
        <v>2700</v>
      </c>
      <c r="U12" s="4"/>
      <c r="V12" s="12"/>
      <c r="W12" s="4"/>
      <c r="X12" s="4">
        <f t="shared" ref="X12:X15" si="2">+P12-T12</f>
        <v>-168.20000000000027</v>
      </c>
      <c r="Y12" s="4"/>
      <c r="Z12" s="12">
        <f t="shared" ref="Z12:Z15" si="3">IF(T12=0,0,X12/T12)</f>
        <v>-6.2296296296296398E-2</v>
      </c>
    </row>
    <row r="13" spans="1:26" s="24" customFormat="1" hidden="1" outlineLevel="1" x14ac:dyDescent="0.3">
      <c r="A13" s="44"/>
      <c r="B13" s="11" t="str">
        <f>CONCATENATE("          ", "4000", " - ", "TAXABLE SALES")</f>
        <v xml:space="preserve">          4000 - TAXABLE SALES</v>
      </c>
      <c r="C13" s="11"/>
      <c r="D13" s="3">
        <f>--2230.15</f>
        <v>2230.15</v>
      </c>
      <c r="E13" s="3"/>
      <c r="F13" s="19"/>
      <c r="G13" s="3"/>
      <c r="H13" s="3">
        <v>2700</v>
      </c>
      <c r="I13" s="3"/>
      <c r="J13" s="19"/>
      <c r="K13" s="3"/>
      <c r="L13" s="3">
        <f t="shared" si="0"/>
        <v>-469.84999999999991</v>
      </c>
      <c r="M13" s="3"/>
      <c r="N13" s="19">
        <f t="shared" si="1"/>
        <v>-0.17401851851851849</v>
      </c>
      <c r="O13" s="11"/>
      <c r="P13" s="3">
        <f>--2230.15</f>
        <v>2230.15</v>
      </c>
      <c r="Q13" s="3"/>
      <c r="R13" s="19"/>
      <c r="S13" s="3"/>
      <c r="T13" s="3">
        <v>2700</v>
      </c>
      <c r="U13" s="3"/>
      <c r="V13" s="19"/>
      <c r="W13" s="3"/>
      <c r="X13" s="3">
        <f t="shared" si="2"/>
        <v>-469.84999999999991</v>
      </c>
      <c r="Y13" s="3"/>
      <c r="Z13" s="19">
        <f t="shared" si="3"/>
        <v>-0.17401851851851849</v>
      </c>
    </row>
    <row r="14" spans="1:26" s="24" customFormat="1" hidden="1" outlineLevel="1" x14ac:dyDescent="0.3">
      <c r="A14" s="44"/>
      <c r="B14" s="11" t="str">
        <f>CONCATENATE("          ", "4100", " - ", "NON-TAXABLE SALES")</f>
        <v xml:space="preserve">          4100 - NON-TAXABLE SALES</v>
      </c>
      <c r="C14" s="11"/>
      <c r="D14" s="3">
        <f>--281.45</f>
        <v>281.45</v>
      </c>
      <c r="E14" s="3"/>
      <c r="F14" s="19"/>
      <c r="G14" s="3"/>
      <c r="H14" s="3">
        <v>0</v>
      </c>
      <c r="I14" s="3"/>
      <c r="J14" s="19"/>
      <c r="K14" s="3"/>
      <c r="L14" s="3">
        <f t="shared" si="0"/>
        <v>281.45</v>
      </c>
      <c r="M14" s="3"/>
      <c r="N14" s="19">
        <f t="shared" si="1"/>
        <v>0</v>
      </c>
      <c r="O14" s="11"/>
      <c r="P14" s="3">
        <f>--281.45</f>
        <v>281.45</v>
      </c>
      <c r="Q14" s="3"/>
      <c r="R14" s="19"/>
      <c r="S14" s="3"/>
      <c r="T14" s="3">
        <v>0</v>
      </c>
      <c r="U14" s="3"/>
      <c r="V14" s="19"/>
      <c r="W14" s="3"/>
      <c r="X14" s="3">
        <f t="shared" si="2"/>
        <v>281.45</v>
      </c>
      <c r="Y14" s="3"/>
      <c r="Z14" s="19">
        <f t="shared" si="3"/>
        <v>0</v>
      </c>
    </row>
    <row r="15" spans="1:26" s="24" customFormat="1" hidden="1" outlineLevel="1" x14ac:dyDescent="0.3">
      <c r="A15" s="44"/>
      <c r="B15" s="11" t="str">
        <f>CONCATENATE("          ", "4146", " - ", "NON-TAXABLE SALES-COIN OP MACH")</f>
        <v xml:space="preserve">          4146 - NON-TAXABLE SALES-COIN OP MACH</v>
      </c>
      <c r="C15" s="11"/>
      <c r="D15" s="3">
        <f>--20.2</f>
        <v>20.2</v>
      </c>
      <c r="E15" s="3"/>
      <c r="F15" s="19"/>
      <c r="G15" s="3"/>
      <c r="H15" s="3"/>
      <c r="I15" s="3"/>
      <c r="J15" s="19"/>
      <c r="K15" s="3"/>
      <c r="L15" s="3">
        <f t="shared" si="0"/>
        <v>20.2</v>
      </c>
      <c r="M15" s="3"/>
      <c r="N15" s="19">
        <f t="shared" si="1"/>
        <v>0</v>
      </c>
      <c r="O15" s="11"/>
      <c r="P15" s="3">
        <f>--20.2</f>
        <v>20.2</v>
      </c>
      <c r="Q15" s="3"/>
      <c r="R15" s="19"/>
      <c r="S15" s="3"/>
      <c r="T15" s="3"/>
      <c r="U15" s="3"/>
      <c r="V15" s="19"/>
      <c r="W15" s="3"/>
      <c r="X15" s="3">
        <f t="shared" si="2"/>
        <v>20.2</v>
      </c>
      <c r="Y15" s="3"/>
      <c r="Z15" s="19">
        <f t="shared" si="3"/>
        <v>0</v>
      </c>
    </row>
    <row r="16" spans="1:26" x14ac:dyDescent="0.3">
      <c r="A16" s="9"/>
      <c r="B16" s="10"/>
      <c r="C16" s="9"/>
      <c r="D16" s="2"/>
      <c r="E16" s="2"/>
      <c r="F16" s="6"/>
      <c r="G16" s="2"/>
      <c r="H16" s="2"/>
      <c r="I16" s="2"/>
      <c r="J16" s="6"/>
      <c r="K16" s="2"/>
      <c r="L16" s="2"/>
      <c r="M16" s="2"/>
      <c r="N16" s="6"/>
      <c r="P16" s="2"/>
      <c r="Q16" s="2"/>
      <c r="R16" s="6"/>
      <c r="S16" s="2"/>
      <c r="T16" s="2"/>
      <c r="U16" s="2"/>
      <c r="V16" s="6"/>
      <c r="W16" s="2"/>
      <c r="X16" s="2"/>
      <c r="Y16" s="2"/>
      <c r="Z16" s="6"/>
    </row>
    <row r="17" spans="1:26" s="23" customFormat="1" collapsed="1" x14ac:dyDescent="0.3">
      <c r="A17" s="10"/>
      <c r="B17" s="25" t="s">
        <v>257</v>
      </c>
      <c r="C17" s="10"/>
      <c r="D17" s="4">
        <f>SUM(OSRRefD16x_0)</f>
        <v>0</v>
      </c>
      <c r="E17" s="4"/>
      <c r="F17" s="12">
        <f t="shared" ref="F17:F18" si="4">IF(D$12=0,0,D17/D$12)</f>
        <v>0</v>
      </c>
      <c r="G17" s="4"/>
      <c r="H17" s="4">
        <f>SUM(OSRRefH16x_0)</f>
        <v>0</v>
      </c>
      <c r="I17" s="4"/>
      <c r="J17" s="12">
        <f t="shared" ref="J17:J18" si="5">IF(H$12=0,0,H17/H$12)</f>
        <v>0</v>
      </c>
      <c r="K17" s="4"/>
      <c r="L17" s="4">
        <f t="shared" ref="L17:L18" si="6">+D17-H17</f>
        <v>0</v>
      </c>
      <c r="M17" s="4"/>
      <c r="N17" s="12">
        <f t="shared" ref="N17:N18" si="7">IF(H17=0,0,L17/H17)</f>
        <v>0</v>
      </c>
      <c r="O17" s="10"/>
      <c r="P17" s="4">
        <f>SUM(OSRRefP16x_0)</f>
        <v>0</v>
      </c>
      <c r="Q17" s="4"/>
      <c r="R17" s="12">
        <f t="shared" ref="R17:R18" si="8">IF(P$12=0,0,P17/P$12)</f>
        <v>0</v>
      </c>
      <c r="S17" s="4"/>
      <c r="T17" s="4">
        <f>SUM(OSRRefT16x_0)</f>
        <v>0</v>
      </c>
      <c r="U17" s="4"/>
      <c r="V17" s="12">
        <f t="shared" ref="V17:V18" si="9">IF(T$12=0,0,T17/T$12)</f>
        <v>0</v>
      </c>
      <c r="W17" s="4"/>
      <c r="X17" s="4">
        <f t="shared" ref="X17:X18" si="10">+P17-T17</f>
        <v>0</v>
      </c>
      <c r="Y17" s="4"/>
      <c r="Z17" s="12">
        <f t="shared" ref="Z17:Z18" si="11">IF(T17=0,0,X17/T17)</f>
        <v>0</v>
      </c>
    </row>
    <row r="18" spans="1:26" s="24" customFormat="1" hidden="1" outlineLevel="1" x14ac:dyDescent="0.3">
      <c r="A18" s="44"/>
      <c r="B18" s="11" t="str">
        <f>CONCATENATE("          ", "5000", " - ", "PURCHASES @ COST")</f>
        <v xml:space="preserve">          5000 - PURCHASES @ COST</v>
      </c>
      <c r="C18" s="11"/>
      <c r="D18" s="3"/>
      <c r="E18" s="3"/>
      <c r="F18" s="19">
        <f t="shared" si="4"/>
        <v>0</v>
      </c>
      <c r="G18" s="3"/>
      <c r="H18" s="3">
        <v>0</v>
      </c>
      <c r="I18" s="3"/>
      <c r="J18" s="19">
        <f t="shared" si="5"/>
        <v>0</v>
      </c>
      <c r="K18" s="3"/>
      <c r="L18" s="3">
        <f t="shared" si="6"/>
        <v>0</v>
      </c>
      <c r="M18" s="3"/>
      <c r="N18" s="19">
        <f t="shared" si="7"/>
        <v>0</v>
      </c>
      <c r="O18" s="11"/>
      <c r="P18" s="3"/>
      <c r="Q18" s="3"/>
      <c r="R18" s="19">
        <f t="shared" si="8"/>
        <v>0</v>
      </c>
      <c r="S18" s="3"/>
      <c r="T18" s="3">
        <v>0</v>
      </c>
      <c r="U18" s="3"/>
      <c r="V18" s="19">
        <f t="shared" si="9"/>
        <v>0</v>
      </c>
      <c r="W18" s="3"/>
      <c r="X18" s="3">
        <f t="shared" si="10"/>
        <v>0</v>
      </c>
      <c r="Y18" s="3"/>
      <c r="Z18" s="19">
        <f t="shared" si="11"/>
        <v>0</v>
      </c>
    </row>
    <row r="19" spans="1:26" x14ac:dyDescent="0.3">
      <c r="A19" s="9"/>
      <c r="B19" s="10"/>
      <c r="C19" s="10"/>
      <c r="D19" s="2"/>
      <c r="E19" s="2"/>
      <c r="F19" s="6"/>
      <c r="G19" s="2"/>
      <c r="H19" s="2"/>
      <c r="I19" s="2"/>
      <c r="J19" s="6"/>
      <c r="K19" s="2"/>
      <c r="L19" s="2"/>
      <c r="M19" s="2"/>
      <c r="N19" s="6"/>
      <c r="O19" s="10"/>
      <c r="P19" s="2"/>
      <c r="Q19" s="2"/>
      <c r="R19" s="6"/>
      <c r="S19" s="2"/>
      <c r="T19" s="2"/>
      <c r="U19" s="2"/>
      <c r="V19" s="6"/>
      <c r="W19" s="2"/>
      <c r="X19" s="2"/>
      <c r="Y19" s="2"/>
      <c r="Z19" s="6"/>
    </row>
    <row r="20" spans="1:26" s="23" customFormat="1" x14ac:dyDescent="0.3">
      <c r="A20" s="10"/>
      <c r="B20" s="26" t="s">
        <v>108</v>
      </c>
      <c r="C20" s="26"/>
      <c r="D20" s="21">
        <f>D12-D17</f>
        <v>2531.7999999999997</v>
      </c>
      <c r="E20" s="13"/>
      <c r="F20" s="22">
        <f>IF(D$12=0,0,D20/D$12)</f>
        <v>1</v>
      </c>
      <c r="G20" s="13"/>
      <c r="H20" s="21">
        <f>H12-H17</f>
        <v>2700</v>
      </c>
      <c r="I20" s="13"/>
      <c r="J20" s="22">
        <f>IF(H$12=0,0,H20/H$12)</f>
        <v>1</v>
      </c>
      <c r="K20" s="16"/>
      <c r="L20" s="21">
        <f>+D20-H20</f>
        <v>-168.20000000000027</v>
      </c>
      <c r="M20" s="16"/>
      <c r="N20" s="22">
        <f>IF(H20=0,0,L20/H20)</f>
        <v>-6.2296296296296398E-2</v>
      </c>
      <c r="O20" s="25"/>
      <c r="P20" s="21">
        <f>P12-P17</f>
        <v>2531.7999999999997</v>
      </c>
      <c r="Q20" s="13"/>
      <c r="R20" s="22">
        <f>IF(P$12=0,0,P20/P$12)</f>
        <v>1</v>
      </c>
      <c r="S20" s="13"/>
      <c r="T20" s="21">
        <f>T12-T17</f>
        <v>2700</v>
      </c>
      <c r="U20" s="13"/>
      <c r="V20" s="22">
        <f>IF(T$12=0,0,T20/T$12)</f>
        <v>1</v>
      </c>
      <c r="W20" s="16"/>
      <c r="X20" s="21">
        <f>+P20-T20</f>
        <v>-168.20000000000027</v>
      </c>
      <c r="Y20" s="16"/>
      <c r="Z20" s="22">
        <f>IF(T20=0,0,X20/T20)</f>
        <v>-6.2296296296296398E-2</v>
      </c>
    </row>
    <row r="21" spans="1:26" x14ac:dyDescent="0.3">
      <c r="A21" s="9"/>
      <c r="B21" s="10"/>
      <c r="C21" s="9"/>
      <c r="D21" s="1"/>
      <c r="E21" s="1"/>
      <c r="F21" s="5"/>
      <c r="G21" s="1"/>
      <c r="H21" s="1"/>
      <c r="I21" s="1"/>
      <c r="J21" s="5"/>
      <c r="K21" s="1"/>
      <c r="L21" s="1"/>
      <c r="M21" s="1"/>
      <c r="N21" s="5"/>
      <c r="O21" s="36"/>
      <c r="P21" s="1"/>
      <c r="Q21" s="1"/>
      <c r="R21" s="5"/>
      <c r="S21" s="1"/>
      <c r="T21" s="1"/>
      <c r="U21" s="1"/>
      <c r="V21" s="5"/>
      <c r="W21" s="1"/>
      <c r="X21" s="1"/>
      <c r="Y21" s="1"/>
      <c r="Z21" s="5"/>
    </row>
    <row r="22" spans="1:26" s="23" customFormat="1" x14ac:dyDescent="0.3">
      <c r="A22" s="10"/>
      <c r="B22" s="25" t="s">
        <v>295</v>
      </c>
      <c r="C22" s="10"/>
      <c r="D22" s="20">
        <f>SUM(OSRRefD22x_0)</f>
        <v>37658.879999999997</v>
      </c>
      <c r="E22" s="20"/>
      <c r="F22" s="32">
        <f t="shared" ref="F22:F32" si="12">IF(D$12=0,0,D22/D$12)</f>
        <v>14.874350264633858</v>
      </c>
      <c r="G22" s="20"/>
      <c r="H22" s="20">
        <f>SUM(OSRRefH22x_0)</f>
        <v>51276.78175528851</v>
      </c>
      <c r="I22" s="20"/>
      <c r="J22" s="32">
        <f t="shared" ref="J22:J32" si="13">IF(H$12=0,0,H22/H$12)</f>
        <v>18.991400650106854</v>
      </c>
      <c r="K22" s="4"/>
      <c r="L22" s="20">
        <f t="shared" ref="L22:L32" si="14">+D22-H22</f>
        <v>-13617.901755288513</v>
      </c>
      <c r="M22" s="4"/>
      <c r="N22" s="32">
        <f t="shared" ref="N22:N32" si="15">IF(H22=0,0,L22/H22)</f>
        <v>-0.26557637373340048</v>
      </c>
      <c r="O22" s="10"/>
      <c r="P22" s="20">
        <f>SUM(OSRRefP22x_0)</f>
        <v>37658.879999999997</v>
      </c>
      <c r="Q22" s="20"/>
      <c r="R22" s="32">
        <f t="shared" ref="R22:R32" si="16">IF(P$12=0,0,P22/P$12)</f>
        <v>14.874350264633858</v>
      </c>
      <c r="S22" s="20"/>
      <c r="T22" s="20">
        <f>SUM(OSRRefT22x_0)</f>
        <v>51276.78175528851</v>
      </c>
      <c r="U22" s="20"/>
      <c r="V22" s="32">
        <f t="shared" ref="V22:V32" si="17">IF(T$12=0,0,T22/T$12)</f>
        <v>18.991400650106854</v>
      </c>
      <c r="W22" s="4"/>
      <c r="X22" s="20">
        <f t="shared" ref="X22:X32" si="18">+P22-T22</f>
        <v>-13617.901755288513</v>
      </c>
      <c r="Y22" s="4"/>
      <c r="Z22" s="32">
        <f t="shared" ref="Z22:Z32" si="19">IF(T22=0,0,X22/T22)</f>
        <v>-0.26557637373340048</v>
      </c>
    </row>
    <row r="23" spans="1:26" s="27" customFormat="1" outlineLevel="1" collapsed="1" x14ac:dyDescent="0.3">
      <c r="A23" s="28"/>
      <c r="B23" s="14" t="str">
        <f>CONCATENATE("     ","*Benefits                                         ")</f>
        <v xml:space="preserve">     *Benefits                                         </v>
      </c>
      <c r="C23" s="14"/>
      <c r="D23" s="1">
        <f>SUM(OSRRefD22_0x_0)</f>
        <v>8921.32</v>
      </c>
      <c r="E23" s="1"/>
      <c r="F23" s="5">
        <f t="shared" si="12"/>
        <v>3.5237064539063119</v>
      </c>
      <c r="G23" s="1"/>
      <c r="H23" s="1">
        <f>SUM(OSRRefH22_0x_0)</f>
        <v>10107.440409134611</v>
      </c>
      <c r="I23" s="1"/>
      <c r="J23" s="5">
        <f t="shared" si="13"/>
        <v>3.743496447827634</v>
      </c>
      <c r="K23" s="1"/>
      <c r="L23" s="1">
        <f t="shared" si="14"/>
        <v>-1186.1204091346117</v>
      </c>
      <c r="M23" s="1"/>
      <c r="N23" s="5">
        <f t="shared" si="15"/>
        <v>-0.11735121466188947</v>
      </c>
      <c r="O23" s="14"/>
      <c r="P23" s="1">
        <f>SUM(OSRRefP22_0x_0)</f>
        <v>8921.32</v>
      </c>
      <c r="Q23" s="1"/>
      <c r="R23" s="5">
        <f t="shared" si="16"/>
        <v>3.5237064539063119</v>
      </c>
      <c r="S23" s="1"/>
      <c r="T23" s="1">
        <f>SUM(OSRRefT22_0x_0)</f>
        <v>10107.440409134611</v>
      </c>
      <c r="U23" s="1"/>
      <c r="V23" s="5">
        <f t="shared" si="17"/>
        <v>3.743496447827634</v>
      </c>
      <c r="W23" s="1"/>
      <c r="X23" s="1">
        <f t="shared" si="18"/>
        <v>-1186.1204091346117</v>
      </c>
      <c r="Y23" s="1"/>
      <c r="Z23" s="5">
        <f t="shared" si="19"/>
        <v>-0.11735121466188947</v>
      </c>
    </row>
    <row r="24" spans="1:26" s="24" customFormat="1" hidden="1" outlineLevel="2" x14ac:dyDescent="0.3">
      <c r="A24" s="29"/>
      <c r="B24" s="11" t="str">
        <f>CONCATENATE("          ", "6111", " - ", "F.I.C.A.")</f>
        <v xml:space="preserve">          6111 - F.I.C.A.</v>
      </c>
      <c r="C24" s="11"/>
      <c r="D24" s="8">
        <v>1247.51</v>
      </c>
      <c r="E24" s="3"/>
      <c r="F24" s="7">
        <f t="shared" si="12"/>
        <v>0.49273639308002215</v>
      </c>
      <c r="G24" s="3"/>
      <c r="H24" s="8">
        <v>1583.7184427884599</v>
      </c>
      <c r="I24" s="3"/>
      <c r="J24" s="7">
        <f t="shared" si="13"/>
        <v>0.5865623862179481</v>
      </c>
      <c r="K24" s="3"/>
      <c r="L24" s="8">
        <f t="shared" si="14"/>
        <v>-336.20844278845993</v>
      </c>
      <c r="M24" s="3"/>
      <c r="N24" s="7">
        <f t="shared" si="15"/>
        <v>-0.21229053959648048</v>
      </c>
      <c r="O24" s="11"/>
      <c r="P24" s="8">
        <v>1247.51</v>
      </c>
      <c r="Q24" s="3"/>
      <c r="R24" s="7">
        <f t="shared" si="16"/>
        <v>0.49273639308002215</v>
      </c>
      <c r="S24" s="3"/>
      <c r="T24" s="8">
        <v>1583.7184427884599</v>
      </c>
      <c r="U24" s="3"/>
      <c r="V24" s="7">
        <f t="shared" si="17"/>
        <v>0.5865623862179481</v>
      </c>
      <c r="W24" s="3"/>
      <c r="X24" s="8">
        <f t="shared" si="18"/>
        <v>-336.20844278845993</v>
      </c>
      <c r="Y24" s="3"/>
      <c r="Z24" s="7">
        <f t="shared" si="19"/>
        <v>-0.21229053959648048</v>
      </c>
    </row>
    <row r="25" spans="1:26" s="24" customFormat="1" hidden="1" outlineLevel="2" x14ac:dyDescent="0.3">
      <c r="A25" s="29"/>
      <c r="B25" s="11" t="str">
        <f>CONCATENATE("          ", "6112", " - ", "COMPENSATION INSURANCE")</f>
        <v xml:space="preserve">          6112 - COMPENSATION INSURANCE</v>
      </c>
      <c r="C25" s="11"/>
      <c r="D25" s="8">
        <v>251.73</v>
      </c>
      <c r="E25" s="3"/>
      <c r="F25" s="7">
        <f t="shared" si="12"/>
        <v>9.9427284935618934E-2</v>
      </c>
      <c r="G25" s="3"/>
      <c r="H25" s="8">
        <v>322.82774999999998</v>
      </c>
      <c r="I25" s="3"/>
      <c r="J25" s="7">
        <f t="shared" si="13"/>
        <v>0.11956583333333333</v>
      </c>
      <c r="K25" s="3"/>
      <c r="L25" s="8">
        <f t="shared" si="14"/>
        <v>-71.097749999999991</v>
      </c>
      <c r="M25" s="3"/>
      <c r="N25" s="7">
        <f t="shared" si="15"/>
        <v>-0.22023432000501814</v>
      </c>
      <c r="O25" s="11"/>
      <c r="P25" s="8">
        <v>251.73</v>
      </c>
      <c r="Q25" s="3"/>
      <c r="R25" s="7">
        <f t="shared" si="16"/>
        <v>9.9427284935618934E-2</v>
      </c>
      <c r="S25" s="3"/>
      <c r="T25" s="8">
        <v>322.82774999999998</v>
      </c>
      <c r="U25" s="3"/>
      <c r="V25" s="7">
        <f t="shared" si="17"/>
        <v>0.11956583333333333</v>
      </c>
      <c r="W25" s="3"/>
      <c r="X25" s="8">
        <f t="shared" si="18"/>
        <v>-71.097749999999991</v>
      </c>
      <c r="Y25" s="3"/>
      <c r="Z25" s="7">
        <f t="shared" si="19"/>
        <v>-0.22023432000501814</v>
      </c>
    </row>
    <row r="26" spans="1:26" s="24" customFormat="1" hidden="1" outlineLevel="2" x14ac:dyDescent="0.3">
      <c r="A26" s="29"/>
      <c r="B26" s="11" t="str">
        <f>CONCATENATE("          ", "6113", " - ", "GROUP INSURANCE")</f>
        <v xml:space="preserve">          6113 - GROUP INSURANCE</v>
      </c>
      <c r="C26" s="11"/>
      <c r="D26" s="8">
        <v>3410.23</v>
      </c>
      <c r="E26" s="3"/>
      <c r="F26" s="7">
        <f t="shared" si="12"/>
        <v>1.3469586855201834</v>
      </c>
      <c r="G26" s="3"/>
      <c r="H26" s="8">
        <v>3303</v>
      </c>
      <c r="I26" s="3"/>
      <c r="J26" s="7">
        <f t="shared" si="13"/>
        <v>1.2233333333333334</v>
      </c>
      <c r="K26" s="3"/>
      <c r="L26" s="8">
        <f t="shared" si="14"/>
        <v>107.23000000000002</v>
      </c>
      <c r="M26" s="3"/>
      <c r="N26" s="7">
        <f t="shared" si="15"/>
        <v>3.2464426279140181E-2</v>
      </c>
      <c r="O26" s="11"/>
      <c r="P26" s="8">
        <v>3410.23</v>
      </c>
      <c r="Q26" s="3"/>
      <c r="R26" s="7">
        <f t="shared" si="16"/>
        <v>1.3469586855201834</v>
      </c>
      <c r="S26" s="3"/>
      <c r="T26" s="8">
        <v>3303</v>
      </c>
      <c r="U26" s="3"/>
      <c r="V26" s="7">
        <f t="shared" si="17"/>
        <v>1.2233333333333334</v>
      </c>
      <c r="W26" s="3"/>
      <c r="X26" s="8">
        <f t="shared" si="18"/>
        <v>107.23000000000002</v>
      </c>
      <c r="Y26" s="3"/>
      <c r="Z26" s="7">
        <f t="shared" si="19"/>
        <v>3.2464426279140181E-2</v>
      </c>
    </row>
    <row r="27" spans="1:26" s="24" customFormat="1" hidden="1" outlineLevel="2" x14ac:dyDescent="0.3">
      <c r="A27" s="29"/>
      <c r="B27" s="11" t="str">
        <f>CONCATENATE("          ", "6114", " - ", "STATE UNEMPLOYMENT INSURANCE")</f>
        <v xml:space="preserve">          6114 - STATE UNEMPLOYMENT INSURANCE</v>
      </c>
      <c r="C27" s="11"/>
      <c r="D27" s="8">
        <v>44.22</v>
      </c>
      <c r="E27" s="3"/>
      <c r="F27" s="7">
        <f t="shared" si="12"/>
        <v>1.7465834584090373E-2</v>
      </c>
      <c r="G27" s="3"/>
      <c r="H27" s="8">
        <v>43.457581730769199</v>
      </c>
      <c r="I27" s="3"/>
      <c r="J27" s="7">
        <f t="shared" si="13"/>
        <v>1.6095400641025628E-2</v>
      </c>
      <c r="K27" s="3"/>
      <c r="L27" s="8">
        <f t="shared" si="14"/>
        <v>0.76241826923079969</v>
      </c>
      <c r="M27" s="3"/>
      <c r="N27" s="7">
        <f t="shared" si="15"/>
        <v>1.7543964456056833E-2</v>
      </c>
      <c r="O27" s="11"/>
      <c r="P27" s="8">
        <v>44.22</v>
      </c>
      <c r="Q27" s="3"/>
      <c r="R27" s="7">
        <f t="shared" si="16"/>
        <v>1.7465834584090373E-2</v>
      </c>
      <c r="S27" s="3"/>
      <c r="T27" s="8">
        <v>43.457581730769199</v>
      </c>
      <c r="U27" s="3"/>
      <c r="V27" s="7">
        <f t="shared" si="17"/>
        <v>1.6095400641025628E-2</v>
      </c>
      <c r="W27" s="3"/>
      <c r="X27" s="8">
        <f t="shared" si="18"/>
        <v>0.76241826923079969</v>
      </c>
      <c r="Y27" s="3"/>
      <c r="Z27" s="7">
        <f t="shared" si="19"/>
        <v>1.7543964456056833E-2</v>
      </c>
    </row>
    <row r="28" spans="1:26" s="24" customFormat="1" hidden="1" outlineLevel="2" x14ac:dyDescent="0.3">
      <c r="A28" s="29"/>
      <c r="B28" s="11" t="str">
        <f>CONCATENATE("          ", "6115", " - ", "P.E.R.S.")</f>
        <v xml:space="preserve">          6115 - P.E.R.S.</v>
      </c>
      <c r="C28" s="11"/>
      <c r="D28" s="8">
        <v>1590.79</v>
      </c>
      <c r="E28" s="3"/>
      <c r="F28" s="7">
        <f t="shared" si="12"/>
        <v>0.62832372225294264</v>
      </c>
      <c r="G28" s="3"/>
      <c r="H28" s="8">
        <v>1779.6914423076901</v>
      </c>
      <c r="I28" s="3"/>
      <c r="J28" s="7">
        <f t="shared" si="13"/>
        <v>0.65914497863247778</v>
      </c>
      <c r="K28" s="3"/>
      <c r="L28" s="8">
        <f t="shared" si="14"/>
        <v>-188.9014423076901</v>
      </c>
      <c r="M28" s="3"/>
      <c r="N28" s="7">
        <f t="shared" si="15"/>
        <v>-0.10614280532963928</v>
      </c>
      <c r="O28" s="11"/>
      <c r="P28" s="8">
        <v>1590.79</v>
      </c>
      <c r="Q28" s="3"/>
      <c r="R28" s="7">
        <f t="shared" si="16"/>
        <v>0.62832372225294264</v>
      </c>
      <c r="S28" s="3"/>
      <c r="T28" s="8">
        <v>1779.6914423076901</v>
      </c>
      <c r="U28" s="3"/>
      <c r="V28" s="7">
        <f t="shared" si="17"/>
        <v>0.65914497863247778</v>
      </c>
      <c r="W28" s="3"/>
      <c r="X28" s="8">
        <f t="shared" si="18"/>
        <v>-188.9014423076901</v>
      </c>
      <c r="Y28" s="3"/>
      <c r="Z28" s="7">
        <f t="shared" si="19"/>
        <v>-0.10614280532963928</v>
      </c>
    </row>
    <row r="29" spans="1:26" s="24" customFormat="1" hidden="1" outlineLevel="2" x14ac:dyDescent="0.3">
      <c r="A29" s="29"/>
      <c r="B29" s="11" t="str">
        <f>CONCATENATE("          ", "6116", " - ", "EDUCATIONAL BENEFITS")</f>
        <v xml:space="preserve">          6116 - EDUCATIONAL BENEFITS</v>
      </c>
      <c r="C29" s="11"/>
      <c r="D29" s="8"/>
      <c r="E29" s="3"/>
      <c r="F29" s="7">
        <f t="shared" si="12"/>
        <v>0</v>
      </c>
      <c r="G29" s="3"/>
      <c r="H29" s="8">
        <v>0</v>
      </c>
      <c r="I29" s="3"/>
      <c r="J29" s="7">
        <f t="shared" si="13"/>
        <v>0</v>
      </c>
      <c r="K29" s="3"/>
      <c r="L29" s="8">
        <f t="shared" si="14"/>
        <v>0</v>
      </c>
      <c r="M29" s="3"/>
      <c r="N29" s="7">
        <f t="shared" si="15"/>
        <v>0</v>
      </c>
      <c r="O29" s="11"/>
      <c r="P29" s="8"/>
      <c r="Q29" s="3"/>
      <c r="R29" s="7">
        <f t="shared" si="16"/>
        <v>0</v>
      </c>
      <c r="S29" s="3"/>
      <c r="T29" s="8">
        <v>0</v>
      </c>
      <c r="U29" s="3"/>
      <c r="V29" s="7">
        <f t="shared" si="17"/>
        <v>0</v>
      </c>
      <c r="W29" s="3"/>
      <c r="X29" s="8">
        <f t="shared" si="18"/>
        <v>0</v>
      </c>
      <c r="Y29" s="3"/>
      <c r="Z29" s="7">
        <f t="shared" si="19"/>
        <v>0</v>
      </c>
    </row>
    <row r="30" spans="1:26" s="24" customFormat="1" hidden="1" outlineLevel="2" x14ac:dyDescent="0.3">
      <c r="A30" s="29"/>
      <c r="B30" s="11" t="str">
        <f>CONCATENATE("          ", "6118", " - ", "VACATION")</f>
        <v xml:space="preserve">          6118 - VACATION</v>
      </c>
      <c r="C30" s="11"/>
      <c r="D30" s="8">
        <v>1216.0999999999999</v>
      </c>
      <c r="E30" s="3"/>
      <c r="F30" s="7">
        <f t="shared" si="12"/>
        <v>0.48033019985780867</v>
      </c>
      <c r="G30" s="3"/>
      <c r="H30" s="8">
        <v>1736.78798076923</v>
      </c>
      <c r="I30" s="3"/>
      <c r="J30" s="7">
        <f t="shared" si="13"/>
        <v>0.64325480769230736</v>
      </c>
      <c r="K30" s="3"/>
      <c r="L30" s="8">
        <f t="shared" si="14"/>
        <v>-520.68798076923008</v>
      </c>
      <c r="M30" s="3"/>
      <c r="N30" s="7">
        <f t="shared" si="15"/>
        <v>-0.29979939205856054</v>
      </c>
      <c r="O30" s="11"/>
      <c r="P30" s="8">
        <v>1216.0999999999999</v>
      </c>
      <c r="Q30" s="3"/>
      <c r="R30" s="7">
        <f t="shared" si="16"/>
        <v>0.48033019985780867</v>
      </c>
      <c r="S30" s="3"/>
      <c r="T30" s="8">
        <v>1736.78798076923</v>
      </c>
      <c r="U30" s="3"/>
      <c r="V30" s="7">
        <f t="shared" si="17"/>
        <v>0.64325480769230736</v>
      </c>
      <c r="W30" s="3"/>
      <c r="X30" s="8">
        <f t="shared" si="18"/>
        <v>-520.68798076923008</v>
      </c>
      <c r="Y30" s="3"/>
      <c r="Z30" s="7">
        <f t="shared" si="19"/>
        <v>-0.29979939205856054</v>
      </c>
    </row>
    <row r="31" spans="1:26" s="24" customFormat="1" hidden="1" outlineLevel="2" x14ac:dyDescent="0.3">
      <c r="A31" s="29"/>
      <c r="B31" s="11" t="str">
        <f>CONCATENATE("          ", "6119", " - ", "SICK LEAVE")</f>
        <v xml:space="preserve">          6119 - SICK LEAVE</v>
      </c>
      <c r="C31" s="11"/>
      <c r="D31" s="8">
        <v>738.5</v>
      </c>
      <c r="E31" s="3"/>
      <c r="F31" s="7">
        <f t="shared" si="12"/>
        <v>0.29168970692787743</v>
      </c>
      <c r="G31" s="3"/>
      <c r="H31" s="8">
        <v>812.95721153846205</v>
      </c>
      <c r="I31" s="3"/>
      <c r="J31" s="7">
        <f t="shared" si="13"/>
        <v>0.30109526353276372</v>
      </c>
      <c r="K31" s="3"/>
      <c r="L31" s="8">
        <f t="shared" si="14"/>
        <v>-74.457211538462047</v>
      </c>
      <c r="M31" s="3"/>
      <c r="N31" s="7">
        <f t="shared" si="15"/>
        <v>-9.15881063377951E-2</v>
      </c>
      <c r="O31" s="11"/>
      <c r="P31" s="8">
        <v>738.5</v>
      </c>
      <c r="Q31" s="3"/>
      <c r="R31" s="7">
        <f t="shared" si="16"/>
        <v>0.29168970692787743</v>
      </c>
      <c r="S31" s="3"/>
      <c r="T31" s="8">
        <v>812.95721153846205</v>
      </c>
      <c r="U31" s="3"/>
      <c r="V31" s="7">
        <f t="shared" si="17"/>
        <v>0.30109526353276372</v>
      </c>
      <c r="W31" s="3"/>
      <c r="X31" s="8">
        <f t="shared" si="18"/>
        <v>-74.457211538462047</v>
      </c>
      <c r="Y31" s="3"/>
      <c r="Z31" s="7">
        <f t="shared" si="19"/>
        <v>-9.15881063377951E-2</v>
      </c>
    </row>
    <row r="32" spans="1:26" s="24" customFormat="1" hidden="1" outlineLevel="2" x14ac:dyDescent="0.3">
      <c r="A32" s="29"/>
      <c r="B32" s="11" t="str">
        <f>CONCATENATE("          ", "6156", " - ", "EMPLOYEE MEALS")</f>
        <v xml:space="preserve">          6156 - EMPLOYEE MEALS</v>
      </c>
      <c r="C32" s="11"/>
      <c r="D32" s="8">
        <v>422.24</v>
      </c>
      <c r="E32" s="3"/>
      <c r="F32" s="7">
        <f t="shared" si="12"/>
        <v>0.16677462674776841</v>
      </c>
      <c r="G32" s="3"/>
      <c r="H32" s="8">
        <v>525</v>
      </c>
      <c r="I32" s="3"/>
      <c r="J32" s="7">
        <f t="shared" si="13"/>
        <v>0.19444444444444445</v>
      </c>
      <c r="K32" s="3"/>
      <c r="L32" s="8">
        <f t="shared" si="14"/>
        <v>-102.75999999999999</v>
      </c>
      <c r="M32" s="3"/>
      <c r="N32" s="7">
        <f t="shared" si="15"/>
        <v>-0.19573333333333331</v>
      </c>
      <c r="O32" s="11"/>
      <c r="P32" s="8">
        <v>422.24</v>
      </c>
      <c r="Q32" s="3"/>
      <c r="R32" s="7">
        <f t="shared" si="16"/>
        <v>0.16677462674776841</v>
      </c>
      <c r="S32" s="3"/>
      <c r="T32" s="8">
        <v>525</v>
      </c>
      <c r="U32" s="3"/>
      <c r="V32" s="7">
        <f t="shared" si="17"/>
        <v>0.19444444444444445</v>
      </c>
      <c r="W32" s="3"/>
      <c r="X32" s="8">
        <f t="shared" si="18"/>
        <v>-102.75999999999999</v>
      </c>
      <c r="Y32" s="3"/>
      <c r="Z32" s="7">
        <f t="shared" si="19"/>
        <v>-0.19573333333333331</v>
      </c>
    </row>
    <row r="33" spans="1:26" s="27" customFormat="1" outlineLevel="1" collapsed="1" x14ac:dyDescent="0.3">
      <c r="A33" s="28"/>
      <c r="B33" s="14" t="str">
        <f>CONCATENATE("     ","*Payroll                                          ")</f>
        <v xml:space="preserve">     *Payroll                                          </v>
      </c>
      <c r="C33" s="14"/>
      <c r="D33" s="1">
        <f>SUM(OSRRefD22_1x_0)</f>
        <v>19441.55</v>
      </c>
      <c r="E33" s="1"/>
      <c r="F33" s="5">
        <f t="shared" ref="F33:F43" si="20">IF(D$12=0,0,D33/D$12)</f>
        <v>7.678943834426101</v>
      </c>
      <c r="G33" s="1"/>
      <c r="H33" s="1">
        <f>SUM(OSRRefH22_1x_0)</f>
        <v>18144.341346153898</v>
      </c>
      <c r="I33" s="1"/>
      <c r="J33" s="5">
        <f t="shared" ref="J33:J43" si="21">IF(H$12=0,0,H33/H$12)</f>
        <v>6.7201264245014443</v>
      </c>
      <c r="K33" s="1"/>
      <c r="L33" s="1">
        <f t="shared" ref="L33:L43" si="22">+D33-H33</f>
        <v>1297.2086538461008</v>
      </c>
      <c r="M33" s="1"/>
      <c r="N33" s="5">
        <f t="shared" ref="N33:N43" si="23">IF(H33=0,0,L33/H33)</f>
        <v>7.1493840922534968E-2</v>
      </c>
      <c r="O33" s="14"/>
      <c r="P33" s="1">
        <f>SUM(OSRRefP22_1x_0)</f>
        <v>19441.55</v>
      </c>
      <c r="Q33" s="1"/>
      <c r="R33" s="5">
        <f t="shared" ref="R33:R43" si="24">IF(P$12=0,0,P33/P$12)</f>
        <v>7.678943834426101</v>
      </c>
      <c r="S33" s="1"/>
      <c r="T33" s="1">
        <f>SUM(OSRRefT22_1x_0)</f>
        <v>18144.341346153898</v>
      </c>
      <c r="U33" s="1"/>
      <c r="V33" s="5">
        <f t="shared" ref="V33:V43" si="25">IF(T$12=0,0,T33/T$12)</f>
        <v>6.7201264245014443</v>
      </c>
      <c r="W33" s="1"/>
      <c r="X33" s="1">
        <f t="shared" ref="X33:X43" si="26">+P33-T33</f>
        <v>1297.2086538461008</v>
      </c>
      <c r="Y33" s="1"/>
      <c r="Z33" s="5">
        <f t="shared" ref="Z33:Z43" si="27">IF(T33=0,0,X33/T33)</f>
        <v>7.1493840922534968E-2</v>
      </c>
    </row>
    <row r="34" spans="1:26" s="24" customFormat="1" hidden="1" outlineLevel="2" x14ac:dyDescent="0.3">
      <c r="A34" s="29"/>
      <c r="B34" s="11" t="str">
        <f>CONCATENATE("          ", "6001", " - ", "ADMINISTRATIVE SALARIES")</f>
        <v xml:space="preserve">          6001 - ADMINISTRATIVE SALARIES</v>
      </c>
      <c r="C34" s="11"/>
      <c r="D34" s="8"/>
      <c r="E34" s="3"/>
      <c r="F34" s="7">
        <f t="shared" si="20"/>
        <v>0</v>
      </c>
      <c r="G34" s="3"/>
      <c r="H34" s="8">
        <v>0</v>
      </c>
      <c r="I34" s="3"/>
      <c r="J34" s="7">
        <f t="shared" si="21"/>
        <v>0</v>
      </c>
      <c r="K34" s="3"/>
      <c r="L34" s="8">
        <f t="shared" si="22"/>
        <v>0</v>
      </c>
      <c r="M34" s="3"/>
      <c r="N34" s="7">
        <f t="shared" si="23"/>
        <v>0</v>
      </c>
      <c r="O34" s="11"/>
      <c r="P34" s="8"/>
      <c r="Q34" s="3"/>
      <c r="R34" s="7">
        <f t="shared" si="24"/>
        <v>0</v>
      </c>
      <c r="S34" s="3"/>
      <c r="T34" s="8">
        <v>0</v>
      </c>
      <c r="U34" s="3"/>
      <c r="V34" s="7">
        <f t="shared" si="25"/>
        <v>0</v>
      </c>
      <c r="W34" s="3"/>
      <c r="X34" s="8">
        <f t="shared" si="26"/>
        <v>0</v>
      </c>
      <c r="Y34" s="3"/>
      <c r="Z34" s="7">
        <f t="shared" si="27"/>
        <v>0</v>
      </c>
    </row>
    <row r="35" spans="1:26" s="24" customFormat="1" hidden="1" outlineLevel="2" x14ac:dyDescent="0.3">
      <c r="A35" s="29"/>
      <c r="B35" s="11" t="str">
        <f>CONCATENATE("          ", "6002", " - ", "STAFF SALARIES")</f>
        <v xml:space="preserve">          6002 - STAFF SALARIES</v>
      </c>
      <c r="C35" s="11"/>
      <c r="D35" s="8">
        <v>18934.05</v>
      </c>
      <c r="E35" s="3"/>
      <c r="F35" s="7">
        <f t="shared" si="20"/>
        <v>7.4784935618927246</v>
      </c>
      <c r="G35" s="3"/>
      <c r="H35" s="8">
        <v>18144.341346153898</v>
      </c>
      <c r="I35" s="3"/>
      <c r="J35" s="7">
        <f t="shared" si="21"/>
        <v>6.7201264245014443</v>
      </c>
      <c r="K35" s="3"/>
      <c r="L35" s="8">
        <f t="shared" si="22"/>
        <v>789.70865384610079</v>
      </c>
      <c r="M35" s="3"/>
      <c r="N35" s="7">
        <f t="shared" si="23"/>
        <v>4.3523688117424957E-2</v>
      </c>
      <c r="O35" s="11"/>
      <c r="P35" s="8">
        <v>18934.05</v>
      </c>
      <c r="Q35" s="3"/>
      <c r="R35" s="7">
        <f t="shared" si="24"/>
        <v>7.4784935618927246</v>
      </c>
      <c r="S35" s="3"/>
      <c r="T35" s="8">
        <v>18144.341346153898</v>
      </c>
      <c r="U35" s="3"/>
      <c r="V35" s="7">
        <f t="shared" si="25"/>
        <v>6.7201264245014443</v>
      </c>
      <c r="W35" s="3"/>
      <c r="X35" s="8">
        <f t="shared" si="26"/>
        <v>789.70865384610079</v>
      </c>
      <c r="Y35" s="3"/>
      <c r="Z35" s="7">
        <f t="shared" si="27"/>
        <v>4.3523688117424957E-2</v>
      </c>
    </row>
    <row r="36" spans="1:26" s="24" customFormat="1" hidden="1" outlineLevel="2" x14ac:dyDescent="0.3">
      <c r="A36" s="29"/>
      <c r="B36" s="11" t="str">
        <f>CONCATENATE("          ", "6003", " - ", "STAFF HOURLY-9 MONTH")</f>
        <v xml:space="preserve">          6003 - STAFF HOURLY-9 MONTH</v>
      </c>
      <c r="C36" s="11"/>
      <c r="D36" s="8"/>
      <c r="E36" s="3"/>
      <c r="F36" s="7">
        <f t="shared" si="20"/>
        <v>0</v>
      </c>
      <c r="G36" s="3"/>
      <c r="H36" s="8">
        <v>0</v>
      </c>
      <c r="I36" s="3"/>
      <c r="J36" s="7">
        <f t="shared" si="21"/>
        <v>0</v>
      </c>
      <c r="K36" s="3"/>
      <c r="L36" s="8">
        <f t="shared" si="22"/>
        <v>0</v>
      </c>
      <c r="M36" s="3"/>
      <c r="N36" s="7">
        <f t="shared" si="23"/>
        <v>0</v>
      </c>
      <c r="O36" s="11"/>
      <c r="P36" s="8"/>
      <c r="Q36" s="3"/>
      <c r="R36" s="7">
        <f t="shared" si="24"/>
        <v>0</v>
      </c>
      <c r="S36" s="3"/>
      <c r="T36" s="8">
        <v>0</v>
      </c>
      <c r="U36" s="3"/>
      <c r="V36" s="7">
        <f t="shared" si="25"/>
        <v>0</v>
      </c>
      <c r="W36" s="3"/>
      <c r="X36" s="8">
        <f t="shared" si="26"/>
        <v>0</v>
      </c>
      <c r="Y36" s="3"/>
      <c r="Z36" s="7">
        <f t="shared" si="27"/>
        <v>0</v>
      </c>
    </row>
    <row r="37" spans="1:26" s="24" customFormat="1" hidden="1" outlineLevel="2" x14ac:dyDescent="0.3">
      <c r="A37" s="29"/>
      <c r="B37" s="11" t="str">
        <f>CONCATENATE("          ", "6004", " - ", "STAFF HOURLY")</f>
        <v xml:space="preserve">          6004 - STAFF HOURLY</v>
      </c>
      <c r="C37" s="11"/>
      <c r="D37" s="8"/>
      <c r="E37" s="3"/>
      <c r="F37" s="7">
        <f t="shared" si="20"/>
        <v>0</v>
      </c>
      <c r="G37" s="3"/>
      <c r="H37" s="8">
        <v>0</v>
      </c>
      <c r="I37" s="3"/>
      <c r="J37" s="7">
        <f t="shared" si="21"/>
        <v>0</v>
      </c>
      <c r="K37" s="3"/>
      <c r="L37" s="8">
        <f t="shared" si="22"/>
        <v>0</v>
      </c>
      <c r="M37" s="3"/>
      <c r="N37" s="7">
        <f t="shared" si="23"/>
        <v>0</v>
      </c>
      <c r="O37" s="11"/>
      <c r="P37" s="8"/>
      <c r="Q37" s="3"/>
      <c r="R37" s="7">
        <f t="shared" si="24"/>
        <v>0</v>
      </c>
      <c r="S37" s="3"/>
      <c r="T37" s="8">
        <v>0</v>
      </c>
      <c r="U37" s="3"/>
      <c r="V37" s="7">
        <f t="shared" si="25"/>
        <v>0</v>
      </c>
      <c r="W37" s="3"/>
      <c r="X37" s="8">
        <f t="shared" si="26"/>
        <v>0</v>
      </c>
      <c r="Y37" s="3"/>
      <c r="Z37" s="7">
        <f t="shared" si="27"/>
        <v>0</v>
      </c>
    </row>
    <row r="38" spans="1:26" s="24" customFormat="1" hidden="1" outlineLevel="2" x14ac:dyDescent="0.3">
      <c r="A38" s="29"/>
      <c r="B38" s="11" t="str">
        <f>CONCATENATE("          ", "6005", " - ", "TEMPORARY WAGES-HOURLY")</f>
        <v xml:space="preserve">          6005 - TEMPORARY WAGES-HOURLY</v>
      </c>
      <c r="C38" s="11"/>
      <c r="D38" s="8"/>
      <c r="E38" s="3"/>
      <c r="F38" s="7">
        <f t="shared" si="20"/>
        <v>0</v>
      </c>
      <c r="G38" s="3"/>
      <c r="H38" s="8">
        <v>0</v>
      </c>
      <c r="I38" s="3"/>
      <c r="J38" s="7">
        <f t="shared" si="21"/>
        <v>0</v>
      </c>
      <c r="K38" s="3"/>
      <c r="L38" s="8">
        <f t="shared" si="22"/>
        <v>0</v>
      </c>
      <c r="M38" s="3"/>
      <c r="N38" s="7">
        <f t="shared" si="23"/>
        <v>0</v>
      </c>
      <c r="O38" s="11"/>
      <c r="P38" s="8"/>
      <c r="Q38" s="3"/>
      <c r="R38" s="7">
        <f t="shared" si="24"/>
        <v>0</v>
      </c>
      <c r="S38" s="3"/>
      <c r="T38" s="8">
        <v>0</v>
      </c>
      <c r="U38" s="3"/>
      <c r="V38" s="7">
        <f t="shared" si="25"/>
        <v>0</v>
      </c>
      <c r="W38" s="3"/>
      <c r="X38" s="8">
        <f t="shared" si="26"/>
        <v>0</v>
      </c>
      <c r="Y38" s="3"/>
      <c r="Z38" s="7">
        <f t="shared" si="27"/>
        <v>0</v>
      </c>
    </row>
    <row r="39" spans="1:26" s="24" customFormat="1" hidden="1" outlineLevel="2" x14ac:dyDescent="0.3">
      <c r="A39" s="29"/>
      <c r="B39" s="11" t="str">
        <f>CONCATENATE("          ", "6006", " - ", "TEMPORARY PART TIME")</f>
        <v xml:space="preserve">          6006 - TEMPORARY PART TIME</v>
      </c>
      <c r="C39" s="11"/>
      <c r="D39" s="8"/>
      <c r="E39" s="3"/>
      <c r="F39" s="7">
        <f t="shared" si="20"/>
        <v>0</v>
      </c>
      <c r="G39" s="3"/>
      <c r="H39" s="8">
        <v>0</v>
      </c>
      <c r="I39" s="3"/>
      <c r="J39" s="7">
        <f t="shared" si="21"/>
        <v>0</v>
      </c>
      <c r="K39" s="3"/>
      <c r="L39" s="8">
        <f t="shared" si="22"/>
        <v>0</v>
      </c>
      <c r="M39" s="3"/>
      <c r="N39" s="7">
        <f t="shared" si="23"/>
        <v>0</v>
      </c>
      <c r="O39" s="11"/>
      <c r="P39" s="8"/>
      <c r="Q39" s="3"/>
      <c r="R39" s="7">
        <f t="shared" si="24"/>
        <v>0</v>
      </c>
      <c r="S39" s="3"/>
      <c r="T39" s="8">
        <v>0</v>
      </c>
      <c r="U39" s="3"/>
      <c r="V39" s="7">
        <f t="shared" si="25"/>
        <v>0</v>
      </c>
      <c r="W39" s="3"/>
      <c r="X39" s="8">
        <f t="shared" si="26"/>
        <v>0</v>
      </c>
      <c r="Y39" s="3"/>
      <c r="Z39" s="7">
        <f t="shared" si="27"/>
        <v>0</v>
      </c>
    </row>
    <row r="40" spans="1:26" s="24" customFormat="1" hidden="1" outlineLevel="2" x14ac:dyDescent="0.3">
      <c r="A40" s="29"/>
      <c r="B40" s="11" t="str">
        <f>CONCATENATE("          ", "6007", " - ", "STUDENT HOURLY")</f>
        <v xml:space="preserve">          6007 - STUDENT HOURLY</v>
      </c>
      <c r="C40" s="11"/>
      <c r="D40" s="8">
        <v>507.5</v>
      </c>
      <c r="E40" s="3"/>
      <c r="F40" s="7">
        <f t="shared" si="20"/>
        <v>0.2004502725333755</v>
      </c>
      <c r="G40" s="3"/>
      <c r="H40" s="8">
        <v>0</v>
      </c>
      <c r="I40" s="3"/>
      <c r="J40" s="7">
        <f t="shared" si="21"/>
        <v>0</v>
      </c>
      <c r="K40" s="3"/>
      <c r="L40" s="8">
        <f t="shared" si="22"/>
        <v>507.5</v>
      </c>
      <c r="M40" s="3"/>
      <c r="N40" s="7">
        <f t="shared" si="23"/>
        <v>0</v>
      </c>
      <c r="O40" s="11"/>
      <c r="P40" s="8">
        <v>507.5</v>
      </c>
      <c r="Q40" s="3"/>
      <c r="R40" s="7">
        <f t="shared" si="24"/>
        <v>0.2004502725333755</v>
      </c>
      <c r="S40" s="3"/>
      <c r="T40" s="8">
        <v>0</v>
      </c>
      <c r="U40" s="3"/>
      <c r="V40" s="7">
        <f t="shared" si="25"/>
        <v>0</v>
      </c>
      <c r="W40" s="3"/>
      <c r="X40" s="8">
        <f t="shared" si="26"/>
        <v>507.5</v>
      </c>
      <c r="Y40" s="3"/>
      <c r="Z40" s="7">
        <f t="shared" si="27"/>
        <v>0</v>
      </c>
    </row>
    <row r="41" spans="1:26" s="24" customFormat="1" hidden="1" outlineLevel="2" x14ac:dyDescent="0.3">
      <c r="A41" s="29"/>
      <c r="B41" s="11" t="str">
        <f>CONCATENATE("          ", "6008", " - ", "STUDENT HOURLY-FICA EXEMPT")</f>
        <v xml:space="preserve">          6008 - STUDENT HOURLY-FICA EXEMPT</v>
      </c>
      <c r="C41" s="11"/>
      <c r="D41" s="8"/>
      <c r="E41" s="3"/>
      <c r="F41" s="7">
        <f t="shared" si="20"/>
        <v>0</v>
      </c>
      <c r="G41" s="3"/>
      <c r="H41" s="8">
        <v>0</v>
      </c>
      <c r="I41" s="3"/>
      <c r="J41" s="7">
        <f t="shared" si="21"/>
        <v>0</v>
      </c>
      <c r="K41" s="3"/>
      <c r="L41" s="8">
        <f t="shared" si="22"/>
        <v>0</v>
      </c>
      <c r="M41" s="3"/>
      <c r="N41" s="7">
        <f t="shared" si="23"/>
        <v>0</v>
      </c>
      <c r="O41" s="11"/>
      <c r="P41" s="8"/>
      <c r="Q41" s="3"/>
      <c r="R41" s="7">
        <f t="shared" si="24"/>
        <v>0</v>
      </c>
      <c r="S41" s="3"/>
      <c r="T41" s="8">
        <v>0</v>
      </c>
      <c r="U41" s="3"/>
      <c r="V41" s="7">
        <f t="shared" si="25"/>
        <v>0</v>
      </c>
      <c r="W41" s="3"/>
      <c r="X41" s="8">
        <f t="shared" si="26"/>
        <v>0</v>
      </c>
      <c r="Y41" s="3"/>
      <c r="Z41" s="7">
        <f t="shared" si="27"/>
        <v>0</v>
      </c>
    </row>
    <row r="42" spans="1:26" s="24" customFormat="1" hidden="1" outlineLevel="2" x14ac:dyDescent="0.3">
      <c r="A42" s="29"/>
      <c r="B42" s="11" t="str">
        <f>CONCATENATE("          ", "6009", " - ", "TEMPORARY-SEASONAL")</f>
        <v xml:space="preserve">          6009 - TEMPORARY-SEASONAL</v>
      </c>
      <c r="C42" s="11"/>
      <c r="D42" s="8"/>
      <c r="E42" s="3"/>
      <c r="F42" s="7">
        <f t="shared" si="20"/>
        <v>0</v>
      </c>
      <c r="G42" s="3"/>
      <c r="H42" s="8">
        <v>0</v>
      </c>
      <c r="I42" s="3"/>
      <c r="J42" s="7">
        <f t="shared" si="21"/>
        <v>0</v>
      </c>
      <c r="K42" s="3"/>
      <c r="L42" s="8">
        <f t="shared" si="22"/>
        <v>0</v>
      </c>
      <c r="M42" s="3"/>
      <c r="N42" s="7">
        <f t="shared" si="23"/>
        <v>0</v>
      </c>
      <c r="O42" s="11"/>
      <c r="P42" s="8"/>
      <c r="Q42" s="3"/>
      <c r="R42" s="7">
        <f t="shared" si="24"/>
        <v>0</v>
      </c>
      <c r="S42" s="3"/>
      <c r="T42" s="8">
        <v>0</v>
      </c>
      <c r="U42" s="3"/>
      <c r="V42" s="7">
        <f t="shared" si="25"/>
        <v>0</v>
      </c>
      <c r="W42" s="3"/>
      <c r="X42" s="8">
        <f t="shared" si="26"/>
        <v>0</v>
      </c>
      <c r="Y42" s="3"/>
      <c r="Z42" s="7">
        <f t="shared" si="27"/>
        <v>0</v>
      </c>
    </row>
    <row r="43" spans="1:26" s="24" customFormat="1" hidden="1" outlineLevel="2" x14ac:dyDescent="0.3">
      <c r="A43" s="29"/>
      <c r="B43" s="11" t="str">
        <f>CONCATENATE("          ", "6010", " - ", "GRATUITY")</f>
        <v xml:space="preserve">          6010 - GRATUITY</v>
      </c>
      <c r="C43" s="11"/>
      <c r="D43" s="8"/>
      <c r="E43" s="3"/>
      <c r="F43" s="7">
        <f t="shared" si="20"/>
        <v>0</v>
      </c>
      <c r="G43" s="3"/>
      <c r="H43" s="8">
        <v>0</v>
      </c>
      <c r="I43" s="3"/>
      <c r="J43" s="7">
        <f t="shared" si="21"/>
        <v>0</v>
      </c>
      <c r="K43" s="3"/>
      <c r="L43" s="8">
        <f t="shared" si="22"/>
        <v>0</v>
      </c>
      <c r="M43" s="3"/>
      <c r="N43" s="7">
        <f t="shared" si="23"/>
        <v>0</v>
      </c>
      <c r="O43" s="11"/>
      <c r="P43" s="8"/>
      <c r="Q43" s="3"/>
      <c r="R43" s="7">
        <f t="shared" si="24"/>
        <v>0</v>
      </c>
      <c r="S43" s="3"/>
      <c r="T43" s="8">
        <v>0</v>
      </c>
      <c r="U43" s="3"/>
      <c r="V43" s="7">
        <f t="shared" si="25"/>
        <v>0</v>
      </c>
      <c r="W43" s="3"/>
      <c r="X43" s="8">
        <f t="shared" si="26"/>
        <v>0</v>
      </c>
      <c r="Y43" s="3"/>
      <c r="Z43" s="7">
        <f t="shared" si="27"/>
        <v>0</v>
      </c>
    </row>
    <row r="44" spans="1:26" s="27" customFormat="1" outlineLevel="1" collapsed="1" x14ac:dyDescent="0.3">
      <c r="A44" s="28"/>
      <c r="B44" s="14" t="str">
        <f>CONCATENATE("     ","Advertising/Promo                                 ")</f>
        <v xml:space="preserve">     Advertising/Promo                                 </v>
      </c>
      <c r="C44" s="14"/>
      <c r="D44" s="1">
        <f>SUM(OSRRefD22_2x_0)</f>
        <v>0</v>
      </c>
      <c r="E44" s="1"/>
      <c r="F44" s="5">
        <f t="shared" ref="F44:F52" si="28">IF(D$12=0,0,D44/D$12)</f>
        <v>0</v>
      </c>
      <c r="G44" s="1"/>
      <c r="H44" s="1">
        <f>SUM(OSRRefH22_2x_0)</f>
        <v>50</v>
      </c>
      <c r="I44" s="1"/>
      <c r="J44" s="5">
        <f t="shared" ref="J44:J52" si="29">IF(H$12=0,0,H44/H$12)</f>
        <v>1.8518518518518517E-2</v>
      </c>
      <c r="K44" s="1"/>
      <c r="L44" s="1">
        <f t="shared" ref="L44:L52" si="30">+D44-H44</f>
        <v>-50</v>
      </c>
      <c r="M44" s="1"/>
      <c r="N44" s="5">
        <f t="shared" ref="N44:N52" si="31">IF(H44=0,0,L44/H44)</f>
        <v>-1</v>
      </c>
      <c r="O44" s="14"/>
      <c r="P44" s="1">
        <f>SUM(OSRRefP22_2x_0)</f>
        <v>0</v>
      </c>
      <c r="Q44" s="1"/>
      <c r="R44" s="5">
        <f t="shared" ref="R44:R52" si="32">IF(P$12=0,0,P44/P$12)</f>
        <v>0</v>
      </c>
      <c r="S44" s="1"/>
      <c r="T44" s="1">
        <f>SUM(OSRRefT22_2x_0)</f>
        <v>50</v>
      </c>
      <c r="U44" s="1"/>
      <c r="V44" s="5">
        <f t="shared" ref="V44:V52" si="33">IF(T$12=0,0,T44/T$12)</f>
        <v>1.8518518518518517E-2</v>
      </c>
      <c r="W44" s="1"/>
      <c r="X44" s="1">
        <f t="shared" ref="X44:X52" si="34">+P44-T44</f>
        <v>-50</v>
      </c>
      <c r="Y44" s="1"/>
      <c r="Z44" s="5">
        <f t="shared" ref="Z44:Z52" si="35">IF(T44=0,0,X44/T44)</f>
        <v>-1</v>
      </c>
    </row>
    <row r="45" spans="1:26" s="24" customFormat="1" hidden="1" outlineLevel="2" x14ac:dyDescent="0.3">
      <c r="A45" s="29"/>
      <c r="B45" s="11" t="str">
        <f>CONCATENATE("          ", "6362", " - ", "ADVERTISING EXPENSE")</f>
        <v xml:space="preserve">          6362 - ADVERTISING EXPENSE</v>
      </c>
      <c r="C45" s="11"/>
      <c r="D45" s="8"/>
      <c r="E45" s="3"/>
      <c r="F45" s="7">
        <f t="shared" si="28"/>
        <v>0</v>
      </c>
      <c r="G45" s="3"/>
      <c r="H45" s="8">
        <v>50</v>
      </c>
      <c r="I45" s="3"/>
      <c r="J45" s="7">
        <f t="shared" si="29"/>
        <v>1.8518518518518517E-2</v>
      </c>
      <c r="K45" s="3"/>
      <c r="L45" s="8">
        <f t="shared" si="30"/>
        <v>-50</v>
      </c>
      <c r="M45" s="3"/>
      <c r="N45" s="7">
        <f t="shared" si="31"/>
        <v>-1</v>
      </c>
      <c r="O45" s="11"/>
      <c r="P45" s="8"/>
      <c r="Q45" s="3"/>
      <c r="R45" s="7">
        <f t="shared" si="32"/>
        <v>0</v>
      </c>
      <c r="S45" s="3"/>
      <c r="T45" s="8">
        <v>50</v>
      </c>
      <c r="U45" s="3"/>
      <c r="V45" s="7">
        <f t="shared" si="33"/>
        <v>1.8518518518518517E-2</v>
      </c>
      <c r="W45" s="3"/>
      <c r="X45" s="8">
        <f t="shared" si="34"/>
        <v>-50</v>
      </c>
      <c r="Y45" s="3"/>
      <c r="Z45" s="7">
        <f t="shared" si="35"/>
        <v>-1</v>
      </c>
    </row>
    <row r="46" spans="1:26" s="27" customFormat="1" outlineLevel="1" collapsed="1" x14ac:dyDescent="0.3">
      <c r="A46" s="28"/>
      <c r="B46" s="14" t="str">
        <f>CONCATENATE("     ","Depreciation                                      ")</f>
        <v xml:space="preserve">     Depreciation                                      </v>
      </c>
      <c r="C46" s="14"/>
      <c r="D46" s="1">
        <f>SUM(OSRRefD22_3x_0)</f>
        <v>169.88</v>
      </c>
      <c r="E46" s="1"/>
      <c r="F46" s="5">
        <f t="shared" si="28"/>
        <v>6.7098506991073545E-2</v>
      </c>
      <c r="G46" s="1"/>
      <c r="H46" s="1">
        <f>SUM(OSRRefH22_3x_0)</f>
        <v>170</v>
      </c>
      <c r="I46" s="1"/>
      <c r="J46" s="5">
        <f t="shared" si="29"/>
        <v>6.2962962962962957E-2</v>
      </c>
      <c r="K46" s="1"/>
      <c r="L46" s="1">
        <f t="shared" si="30"/>
        <v>-0.12000000000000455</v>
      </c>
      <c r="M46" s="1"/>
      <c r="N46" s="5">
        <f t="shared" si="31"/>
        <v>-7.0588235294120319E-4</v>
      </c>
      <c r="O46" s="14"/>
      <c r="P46" s="1">
        <f>SUM(OSRRefP22_3x_0)</f>
        <v>169.88</v>
      </c>
      <c r="Q46" s="1"/>
      <c r="R46" s="5">
        <f t="shared" si="32"/>
        <v>6.7098506991073545E-2</v>
      </c>
      <c r="S46" s="1"/>
      <c r="T46" s="1">
        <f>SUM(OSRRefT22_3x_0)</f>
        <v>170</v>
      </c>
      <c r="U46" s="1"/>
      <c r="V46" s="5">
        <f t="shared" si="33"/>
        <v>6.2962962962962957E-2</v>
      </c>
      <c r="W46" s="1"/>
      <c r="X46" s="1">
        <f t="shared" si="34"/>
        <v>-0.12000000000000455</v>
      </c>
      <c r="Y46" s="1"/>
      <c r="Z46" s="5">
        <f t="shared" si="35"/>
        <v>-7.0588235294120319E-4</v>
      </c>
    </row>
    <row r="47" spans="1:26" s="24" customFormat="1" hidden="1" outlineLevel="2" x14ac:dyDescent="0.3">
      <c r="A47" s="29"/>
      <c r="B47" s="11" t="str">
        <f>CONCATENATE("          ", "6322", " - ", "EQUIPMENT DEPRECIATION EXPENSE")</f>
        <v xml:space="preserve">          6322 - EQUIPMENT DEPRECIATION EXPENSE</v>
      </c>
      <c r="C47" s="11"/>
      <c r="D47" s="8">
        <v>169.88</v>
      </c>
      <c r="E47" s="3"/>
      <c r="F47" s="7">
        <f t="shared" si="28"/>
        <v>6.7098506991073545E-2</v>
      </c>
      <c r="G47" s="3"/>
      <c r="H47" s="8">
        <v>170</v>
      </c>
      <c r="I47" s="3"/>
      <c r="J47" s="7">
        <f t="shared" si="29"/>
        <v>6.2962962962962957E-2</v>
      </c>
      <c r="K47" s="3"/>
      <c r="L47" s="8">
        <f t="shared" si="30"/>
        <v>-0.12000000000000455</v>
      </c>
      <c r="M47" s="3"/>
      <c r="N47" s="7">
        <f t="shared" si="31"/>
        <v>-7.0588235294120319E-4</v>
      </c>
      <c r="O47" s="11"/>
      <c r="P47" s="8">
        <v>169.88</v>
      </c>
      <c r="Q47" s="3"/>
      <c r="R47" s="7">
        <f t="shared" si="32"/>
        <v>6.7098506991073545E-2</v>
      </c>
      <c r="S47" s="3"/>
      <c r="T47" s="8">
        <v>170</v>
      </c>
      <c r="U47" s="3"/>
      <c r="V47" s="7">
        <f t="shared" si="33"/>
        <v>6.2962962962962957E-2</v>
      </c>
      <c r="W47" s="3"/>
      <c r="X47" s="8">
        <f t="shared" si="34"/>
        <v>-0.12000000000000455</v>
      </c>
      <c r="Y47" s="3"/>
      <c r="Z47" s="7">
        <f t="shared" si="35"/>
        <v>-7.0588235294120319E-4</v>
      </c>
    </row>
    <row r="48" spans="1:26" s="27" customFormat="1" outlineLevel="1" collapsed="1" x14ac:dyDescent="0.3">
      <c r="A48" s="28"/>
      <c r="B48" s="14" t="str">
        <f>CONCATENATE("     ","Equipment Rental                                  ")</f>
        <v xml:space="preserve">     Equipment Rental                                  </v>
      </c>
      <c r="C48" s="14"/>
      <c r="D48" s="1">
        <f>SUM(OSRRefD22_4x_0)</f>
        <v>1205.6400000000001</v>
      </c>
      <c r="E48" s="1"/>
      <c r="F48" s="5">
        <f t="shared" si="28"/>
        <v>0.47619875187613564</v>
      </c>
      <c r="G48" s="1"/>
      <c r="H48" s="1">
        <f>SUM(OSRRefH22_4x_0)</f>
        <v>1200</v>
      </c>
      <c r="I48" s="1"/>
      <c r="J48" s="5">
        <f t="shared" si="29"/>
        <v>0.44444444444444442</v>
      </c>
      <c r="K48" s="1"/>
      <c r="L48" s="1">
        <f t="shared" si="30"/>
        <v>5.6400000000001</v>
      </c>
      <c r="M48" s="1"/>
      <c r="N48" s="5">
        <f t="shared" si="31"/>
        <v>4.7000000000000835E-3</v>
      </c>
      <c r="O48" s="14"/>
      <c r="P48" s="1">
        <f>SUM(OSRRefP22_4x_0)</f>
        <v>1205.6400000000001</v>
      </c>
      <c r="Q48" s="1"/>
      <c r="R48" s="5">
        <f t="shared" si="32"/>
        <v>0.47619875187613564</v>
      </c>
      <c r="S48" s="1"/>
      <c r="T48" s="1">
        <f>SUM(OSRRefT22_4x_0)</f>
        <v>1200</v>
      </c>
      <c r="U48" s="1"/>
      <c r="V48" s="5">
        <f t="shared" si="33"/>
        <v>0.44444444444444442</v>
      </c>
      <c r="W48" s="1"/>
      <c r="X48" s="1">
        <f t="shared" si="34"/>
        <v>5.6400000000001</v>
      </c>
      <c r="Y48" s="1"/>
      <c r="Z48" s="5">
        <f t="shared" si="35"/>
        <v>4.7000000000000835E-3</v>
      </c>
    </row>
    <row r="49" spans="1:26" s="24" customFormat="1" hidden="1" outlineLevel="2" x14ac:dyDescent="0.3">
      <c r="A49" s="29"/>
      <c r="B49" s="11" t="str">
        <f>CONCATENATE("          ", "6351", " - ", "EQUIPMENT RENTAL")</f>
        <v xml:space="preserve">          6351 - EQUIPMENT RENTAL</v>
      </c>
      <c r="C49" s="11"/>
      <c r="D49" s="8">
        <v>1205.6400000000001</v>
      </c>
      <c r="E49" s="3"/>
      <c r="F49" s="7">
        <f t="shared" si="28"/>
        <v>0.47619875187613564</v>
      </c>
      <c r="G49" s="3"/>
      <c r="H49" s="8">
        <v>1200</v>
      </c>
      <c r="I49" s="3"/>
      <c r="J49" s="7">
        <f t="shared" si="29"/>
        <v>0.44444444444444442</v>
      </c>
      <c r="K49" s="3"/>
      <c r="L49" s="8">
        <f t="shared" si="30"/>
        <v>5.6400000000001</v>
      </c>
      <c r="M49" s="3"/>
      <c r="N49" s="7">
        <f t="shared" si="31"/>
        <v>4.7000000000000835E-3</v>
      </c>
      <c r="O49" s="11"/>
      <c r="P49" s="8">
        <v>1205.6400000000001</v>
      </c>
      <c r="Q49" s="3"/>
      <c r="R49" s="7">
        <f t="shared" si="32"/>
        <v>0.47619875187613564</v>
      </c>
      <c r="S49" s="3"/>
      <c r="T49" s="8">
        <v>1200</v>
      </c>
      <c r="U49" s="3"/>
      <c r="V49" s="7">
        <f t="shared" si="33"/>
        <v>0.44444444444444442</v>
      </c>
      <c r="W49" s="3"/>
      <c r="X49" s="8">
        <f t="shared" si="34"/>
        <v>5.6400000000001</v>
      </c>
      <c r="Y49" s="3"/>
      <c r="Z49" s="7">
        <f t="shared" si="35"/>
        <v>4.7000000000000835E-3</v>
      </c>
    </row>
    <row r="50" spans="1:26" s="27" customFormat="1" outlineLevel="1" collapsed="1" x14ac:dyDescent="0.3">
      <c r="A50" s="28"/>
      <c r="B50" s="14" t="str">
        <f>CONCATENATE("     ","Freight out/Postage                               ")</f>
        <v xml:space="preserve">     Freight out/Postage                               </v>
      </c>
      <c r="C50" s="14"/>
      <c r="D50" s="1">
        <f>SUM(OSRRefD22_5x_0)</f>
        <v>2283.8600000000006</v>
      </c>
      <c r="E50" s="1"/>
      <c r="F50" s="5">
        <f t="shared" si="28"/>
        <v>0.90206967374990155</v>
      </c>
      <c r="G50" s="1"/>
      <c r="H50" s="1">
        <f>SUM(OSRRefH22_5x_0)</f>
        <v>5000</v>
      </c>
      <c r="I50" s="1"/>
      <c r="J50" s="5">
        <f t="shared" si="29"/>
        <v>1.8518518518518519</v>
      </c>
      <c r="K50" s="1"/>
      <c r="L50" s="1">
        <f t="shared" si="30"/>
        <v>-2716.1399999999994</v>
      </c>
      <c r="M50" s="1"/>
      <c r="N50" s="5">
        <f t="shared" si="31"/>
        <v>-0.54322799999999993</v>
      </c>
      <c r="O50" s="14"/>
      <c r="P50" s="1">
        <f>SUM(OSRRefP22_5x_0)</f>
        <v>2283.8600000000006</v>
      </c>
      <c r="Q50" s="1"/>
      <c r="R50" s="5">
        <f t="shared" si="32"/>
        <v>0.90206967374990155</v>
      </c>
      <c r="S50" s="1"/>
      <c r="T50" s="1">
        <f>SUM(OSRRefT22_5x_0)</f>
        <v>5000</v>
      </c>
      <c r="U50" s="1"/>
      <c r="V50" s="5">
        <f t="shared" si="33"/>
        <v>1.8518518518518519</v>
      </c>
      <c r="W50" s="1"/>
      <c r="X50" s="1">
        <f t="shared" si="34"/>
        <v>-2716.1399999999994</v>
      </c>
      <c r="Y50" s="1"/>
      <c r="Z50" s="5">
        <f t="shared" si="35"/>
        <v>-0.54322799999999993</v>
      </c>
    </row>
    <row r="51" spans="1:26" s="24" customFormat="1" hidden="1" outlineLevel="2" x14ac:dyDescent="0.3">
      <c r="A51" s="29"/>
      <c r="B51" s="11" t="str">
        <f>CONCATENATE("          ", "6305", " - ", "FREIGHT OUT")</f>
        <v xml:space="preserve">          6305 - FREIGHT OUT</v>
      </c>
      <c r="C51" s="11"/>
      <c r="D51" s="8">
        <v>9911.1200000000008</v>
      </c>
      <c r="E51" s="3"/>
      <c r="F51" s="7">
        <f t="shared" si="28"/>
        <v>3.914653606130027</v>
      </c>
      <c r="G51" s="3"/>
      <c r="H51" s="8">
        <v>9000</v>
      </c>
      <c r="I51" s="3"/>
      <c r="J51" s="7">
        <f t="shared" si="29"/>
        <v>3.3333333333333335</v>
      </c>
      <c r="K51" s="3"/>
      <c r="L51" s="8">
        <f t="shared" si="30"/>
        <v>911.1200000000008</v>
      </c>
      <c r="M51" s="3"/>
      <c r="N51" s="7">
        <f t="shared" si="31"/>
        <v>0.10123555555555565</v>
      </c>
      <c r="O51" s="11"/>
      <c r="P51" s="8">
        <v>9911.1200000000008</v>
      </c>
      <c r="Q51" s="3"/>
      <c r="R51" s="7">
        <f t="shared" si="32"/>
        <v>3.914653606130027</v>
      </c>
      <c r="S51" s="3"/>
      <c r="T51" s="8">
        <v>9000</v>
      </c>
      <c r="U51" s="3"/>
      <c r="V51" s="7">
        <f t="shared" si="33"/>
        <v>3.3333333333333335</v>
      </c>
      <c r="W51" s="3"/>
      <c r="X51" s="8">
        <f t="shared" si="34"/>
        <v>911.1200000000008</v>
      </c>
      <c r="Y51" s="3"/>
      <c r="Z51" s="7">
        <f t="shared" si="35"/>
        <v>0.10123555555555565</v>
      </c>
    </row>
    <row r="52" spans="1:26" s="24" customFormat="1" hidden="1" outlineLevel="2" x14ac:dyDescent="0.3">
      <c r="A52" s="29"/>
      <c r="B52" s="11" t="str">
        <f>CONCATENATE("          ", "6307", " - ", "POSTAGE")</f>
        <v xml:space="preserve">          6307 - POSTAGE</v>
      </c>
      <c r="C52" s="11"/>
      <c r="D52" s="8">
        <v>-7627.26</v>
      </c>
      <c r="E52" s="3"/>
      <c r="F52" s="7">
        <f t="shared" si="28"/>
        <v>-3.0125839323801253</v>
      </c>
      <c r="G52" s="3"/>
      <c r="H52" s="8">
        <v>-4000</v>
      </c>
      <c r="I52" s="3"/>
      <c r="J52" s="7">
        <f t="shared" si="29"/>
        <v>-1.4814814814814814</v>
      </c>
      <c r="K52" s="3"/>
      <c r="L52" s="8">
        <f t="shared" si="30"/>
        <v>-3627.26</v>
      </c>
      <c r="M52" s="3"/>
      <c r="N52" s="7">
        <f t="shared" si="31"/>
        <v>0.90681500000000004</v>
      </c>
      <c r="O52" s="11"/>
      <c r="P52" s="8">
        <v>-7627.26</v>
      </c>
      <c r="Q52" s="3"/>
      <c r="R52" s="7">
        <f t="shared" si="32"/>
        <v>-3.0125839323801253</v>
      </c>
      <c r="S52" s="3"/>
      <c r="T52" s="8">
        <v>-4000</v>
      </c>
      <c r="U52" s="3"/>
      <c r="V52" s="7">
        <f t="shared" si="33"/>
        <v>-1.4814814814814814</v>
      </c>
      <c r="W52" s="3"/>
      <c r="X52" s="8">
        <f t="shared" si="34"/>
        <v>-3627.26</v>
      </c>
      <c r="Y52" s="3"/>
      <c r="Z52" s="7">
        <f t="shared" si="35"/>
        <v>0.90681500000000004</v>
      </c>
    </row>
    <row r="53" spans="1:26" s="27" customFormat="1" outlineLevel="1" collapsed="1" x14ac:dyDescent="0.3">
      <c r="A53" s="28"/>
      <c r="B53" s="14" t="str">
        <f>CONCATENATE("     ","Repair and Maintenance                            ")</f>
        <v xml:space="preserve">     Repair and Maintenance                            </v>
      </c>
      <c r="C53" s="14"/>
      <c r="D53" s="1">
        <f>SUM(OSRRefD22_6x_0)</f>
        <v>2345.98</v>
      </c>
      <c r="E53" s="1"/>
      <c r="F53" s="5">
        <f t="shared" ref="F53:F55" si="36">IF(D$12=0,0,D53/D$12)</f>
        <v>0.92660557705979951</v>
      </c>
      <c r="G53" s="1"/>
      <c r="H53" s="1">
        <f>SUM(OSRRefH22_6x_0)</f>
        <v>6000</v>
      </c>
      <c r="I53" s="1"/>
      <c r="J53" s="5">
        <f t="shared" ref="J53:J55" si="37">IF(H$12=0,0,H53/H$12)</f>
        <v>2.2222222222222223</v>
      </c>
      <c r="K53" s="1"/>
      <c r="L53" s="1">
        <f t="shared" ref="L53:L55" si="38">+D53-H53</f>
        <v>-3654.02</v>
      </c>
      <c r="M53" s="1"/>
      <c r="N53" s="5">
        <f t="shared" ref="N53:N55" si="39">IF(H53=0,0,L53/H53)</f>
        <v>-0.60900333333333334</v>
      </c>
      <c r="O53" s="14"/>
      <c r="P53" s="1">
        <f>SUM(OSRRefP22_6x_0)</f>
        <v>2345.98</v>
      </c>
      <c r="Q53" s="1"/>
      <c r="R53" s="5">
        <f t="shared" ref="R53:R55" si="40">IF(P$12=0,0,P53/P$12)</f>
        <v>0.92660557705979951</v>
      </c>
      <c r="S53" s="1"/>
      <c r="T53" s="1">
        <f>SUM(OSRRefT22_6x_0)</f>
        <v>6000</v>
      </c>
      <c r="U53" s="1"/>
      <c r="V53" s="5">
        <f t="shared" ref="V53:V55" si="41">IF(T$12=0,0,T53/T$12)</f>
        <v>2.2222222222222223</v>
      </c>
      <c r="W53" s="1"/>
      <c r="X53" s="1">
        <f t="shared" ref="X53:X55" si="42">+P53-T53</f>
        <v>-3654.02</v>
      </c>
      <c r="Y53" s="1"/>
      <c r="Z53" s="5">
        <f t="shared" ref="Z53:Z55" si="43">IF(T53=0,0,X53/T53)</f>
        <v>-0.60900333333333334</v>
      </c>
    </row>
    <row r="54" spans="1:26" s="24" customFormat="1" hidden="1" outlineLevel="2" x14ac:dyDescent="0.3">
      <c r="A54" s="29"/>
      <c r="B54" s="11" t="str">
        <f>CONCATENATE("          ", "6373", " - ", "MAINTENANCE CONTRACTS")</f>
        <v xml:space="preserve">          6373 - MAINTENANCE CONTRACTS</v>
      </c>
      <c r="C54" s="11"/>
      <c r="D54" s="8">
        <v>625.34</v>
      </c>
      <c r="E54" s="3"/>
      <c r="F54" s="7">
        <f t="shared" si="36"/>
        <v>0.24699423335176557</v>
      </c>
      <c r="G54" s="3"/>
      <c r="H54" s="8">
        <v>6000</v>
      </c>
      <c r="I54" s="3"/>
      <c r="J54" s="7">
        <f t="shared" si="37"/>
        <v>2.2222222222222223</v>
      </c>
      <c r="K54" s="3"/>
      <c r="L54" s="8">
        <f t="shared" si="38"/>
        <v>-5374.66</v>
      </c>
      <c r="M54" s="3"/>
      <c r="N54" s="7">
        <f t="shared" si="39"/>
        <v>-0.89577666666666667</v>
      </c>
      <c r="O54" s="11"/>
      <c r="P54" s="8">
        <v>625.34</v>
      </c>
      <c r="Q54" s="3"/>
      <c r="R54" s="7">
        <f t="shared" si="40"/>
        <v>0.24699423335176557</v>
      </c>
      <c r="S54" s="3"/>
      <c r="T54" s="8">
        <v>6000</v>
      </c>
      <c r="U54" s="3"/>
      <c r="V54" s="7">
        <f t="shared" si="41"/>
        <v>2.2222222222222223</v>
      </c>
      <c r="W54" s="3"/>
      <c r="X54" s="8">
        <f t="shared" si="42"/>
        <v>-5374.66</v>
      </c>
      <c r="Y54" s="3"/>
      <c r="Z54" s="7">
        <f t="shared" si="43"/>
        <v>-0.89577666666666667</v>
      </c>
    </row>
    <row r="55" spans="1:26" s="24" customFormat="1" hidden="1" outlineLevel="2" x14ac:dyDescent="0.3">
      <c r="A55" s="29"/>
      <c r="B55" s="11" t="str">
        <f>CONCATENATE("          ", "6375", " - ", "OUTSIDE REPAIRS &amp; MAINTENANCE")</f>
        <v xml:space="preserve">          6375 - OUTSIDE REPAIRS &amp; MAINTENANCE</v>
      </c>
      <c r="C55" s="11"/>
      <c r="D55" s="8">
        <v>1720.64</v>
      </c>
      <c r="E55" s="3"/>
      <c r="F55" s="7">
        <f t="shared" si="36"/>
        <v>0.67961134370803389</v>
      </c>
      <c r="G55" s="3"/>
      <c r="H55" s="8"/>
      <c r="I55" s="3"/>
      <c r="J55" s="7">
        <f t="shared" si="37"/>
        <v>0</v>
      </c>
      <c r="K55" s="3"/>
      <c r="L55" s="8">
        <f t="shared" si="38"/>
        <v>1720.64</v>
      </c>
      <c r="M55" s="3"/>
      <c r="N55" s="7">
        <f t="shared" si="39"/>
        <v>0</v>
      </c>
      <c r="O55" s="11"/>
      <c r="P55" s="8">
        <v>1720.64</v>
      </c>
      <c r="Q55" s="3"/>
      <c r="R55" s="7">
        <f t="shared" si="40"/>
        <v>0.67961134370803389</v>
      </c>
      <c r="S55" s="3"/>
      <c r="T55" s="8"/>
      <c r="U55" s="3"/>
      <c r="V55" s="7">
        <f t="shared" si="41"/>
        <v>0</v>
      </c>
      <c r="W55" s="3"/>
      <c r="X55" s="8">
        <f t="shared" si="42"/>
        <v>1720.64</v>
      </c>
      <c r="Y55" s="3"/>
      <c r="Z55" s="7">
        <f t="shared" si="43"/>
        <v>0</v>
      </c>
    </row>
    <row r="56" spans="1:26" s="27" customFormat="1" outlineLevel="1" collapsed="1" x14ac:dyDescent="0.3">
      <c r="A56" s="28"/>
      <c r="B56" s="14" t="str">
        <f>CONCATENATE("     ","Royalty &amp; Commissions                             ")</f>
        <v xml:space="preserve">     Royalty &amp; Commissions                             </v>
      </c>
      <c r="C56" s="14"/>
      <c r="D56" s="1">
        <f>SUM(OSRRefD22_7x_0)</f>
        <v>6.06</v>
      </c>
      <c r="E56" s="1"/>
      <c r="F56" s="5">
        <f t="shared" ref="F56:F62" si="44">IF(D$12=0,0,D56/D$12)</f>
        <v>2.3935539932064143E-3</v>
      </c>
      <c r="G56" s="1"/>
      <c r="H56" s="1">
        <f>SUM(OSRRefH22_7x_0)</f>
        <v>6000</v>
      </c>
      <c r="I56" s="1"/>
      <c r="J56" s="5">
        <f t="shared" ref="J56:J62" si="45">IF(H$12=0,0,H56/H$12)</f>
        <v>2.2222222222222223</v>
      </c>
      <c r="K56" s="1"/>
      <c r="L56" s="1">
        <f t="shared" ref="L56:L62" si="46">+D56-H56</f>
        <v>-5993.94</v>
      </c>
      <c r="M56" s="1"/>
      <c r="N56" s="5">
        <f t="shared" ref="N56:N62" si="47">IF(H56=0,0,L56/H56)</f>
        <v>-0.99898999999999993</v>
      </c>
      <c r="O56" s="14"/>
      <c r="P56" s="1">
        <f>SUM(OSRRefP22_7x_0)</f>
        <v>6.06</v>
      </c>
      <c r="Q56" s="1"/>
      <c r="R56" s="5">
        <f t="shared" ref="R56:R62" si="48">IF(P$12=0,0,P56/P$12)</f>
        <v>2.3935539932064143E-3</v>
      </c>
      <c r="S56" s="1"/>
      <c r="T56" s="1">
        <f>SUM(OSRRefT22_7x_0)</f>
        <v>6000</v>
      </c>
      <c r="U56" s="1"/>
      <c r="V56" s="5">
        <f t="shared" ref="V56:V62" si="49">IF(T$12=0,0,T56/T$12)</f>
        <v>2.2222222222222223</v>
      </c>
      <c r="W56" s="1"/>
      <c r="X56" s="1">
        <f t="shared" ref="X56:X62" si="50">+P56-T56</f>
        <v>-5993.94</v>
      </c>
      <c r="Y56" s="1"/>
      <c r="Z56" s="5">
        <f t="shared" ref="Z56:Z62" si="51">IF(T56=0,0,X56/T56)</f>
        <v>-0.99898999999999993</v>
      </c>
    </row>
    <row r="57" spans="1:26" s="24" customFormat="1" hidden="1" outlineLevel="2" x14ac:dyDescent="0.3">
      <c r="A57" s="29"/>
      <c r="B57" s="11" t="str">
        <f>CONCATENATE("          ", "6259", " - ", "ROYALTY &amp; COMMISSIONS")</f>
        <v xml:space="preserve">          6259 - ROYALTY &amp; COMMISSIONS</v>
      </c>
      <c r="C57" s="11"/>
      <c r="D57" s="8">
        <v>6.06</v>
      </c>
      <c r="E57" s="3"/>
      <c r="F57" s="7">
        <f t="shared" si="44"/>
        <v>2.3935539932064143E-3</v>
      </c>
      <c r="G57" s="3"/>
      <c r="H57" s="8">
        <v>6000</v>
      </c>
      <c r="I57" s="3"/>
      <c r="J57" s="7">
        <f t="shared" si="45"/>
        <v>2.2222222222222223</v>
      </c>
      <c r="K57" s="3"/>
      <c r="L57" s="8">
        <f t="shared" si="46"/>
        <v>-5993.94</v>
      </c>
      <c r="M57" s="3"/>
      <c r="N57" s="7">
        <f t="shared" si="47"/>
        <v>-0.99898999999999993</v>
      </c>
      <c r="O57" s="11"/>
      <c r="P57" s="8">
        <v>6.06</v>
      </c>
      <c r="Q57" s="3"/>
      <c r="R57" s="7">
        <f t="shared" si="48"/>
        <v>2.3935539932064143E-3</v>
      </c>
      <c r="S57" s="3"/>
      <c r="T57" s="8">
        <v>6000</v>
      </c>
      <c r="U57" s="3"/>
      <c r="V57" s="7">
        <f t="shared" si="49"/>
        <v>2.2222222222222223</v>
      </c>
      <c r="W57" s="3"/>
      <c r="X57" s="8">
        <f t="shared" si="50"/>
        <v>-5993.94</v>
      </c>
      <c r="Y57" s="3"/>
      <c r="Z57" s="7">
        <f t="shared" si="51"/>
        <v>-0.99898999999999993</v>
      </c>
    </row>
    <row r="58" spans="1:26" s="27" customFormat="1" outlineLevel="1" collapsed="1" x14ac:dyDescent="0.3">
      <c r="A58" s="28"/>
      <c r="B58" s="14" t="str">
        <f>CONCATENATE("     ","Supplies                                          ")</f>
        <v xml:space="preserve">     Supplies                                          </v>
      </c>
      <c r="C58" s="14"/>
      <c r="D58" s="1">
        <f>SUM(OSRRefD22_8x_0)</f>
        <v>3116.79</v>
      </c>
      <c r="E58" s="1"/>
      <c r="F58" s="5">
        <f t="shared" si="44"/>
        <v>1.2310569555257131</v>
      </c>
      <c r="G58" s="1"/>
      <c r="H58" s="1">
        <f>SUM(OSRRefH22_8x_0)</f>
        <v>4430</v>
      </c>
      <c r="I58" s="1"/>
      <c r="J58" s="5">
        <f t="shared" si="45"/>
        <v>1.6407407407407408</v>
      </c>
      <c r="K58" s="1"/>
      <c r="L58" s="1">
        <f t="shared" si="46"/>
        <v>-1313.21</v>
      </c>
      <c r="M58" s="1"/>
      <c r="N58" s="5">
        <f t="shared" si="47"/>
        <v>-0.29643566591422121</v>
      </c>
      <c r="O58" s="14"/>
      <c r="P58" s="1">
        <f>SUM(OSRRefP22_8x_0)</f>
        <v>3116.79</v>
      </c>
      <c r="Q58" s="1"/>
      <c r="R58" s="5">
        <f t="shared" si="48"/>
        <v>1.2310569555257131</v>
      </c>
      <c r="S58" s="1"/>
      <c r="T58" s="1">
        <f>SUM(OSRRefT22_8x_0)</f>
        <v>4430</v>
      </c>
      <c r="U58" s="1"/>
      <c r="V58" s="5">
        <f t="shared" si="49"/>
        <v>1.6407407407407408</v>
      </c>
      <c r="W58" s="1"/>
      <c r="X58" s="1">
        <f t="shared" si="50"/>
        <v>-1313.21</v>
      </c>
      <c r="Y58" s="1"/>
      <c r="Z58" s="5">
        <f t="shared" si="51"/>
        <v>-0.29643566591422121</v>
      </c>
    </row>
    <row r="59" spans="1:26" s="24" customFormat="1" hidden="1" outlineLevel="2" x14ac:dyDescent="0.3">
      <c r="A59" s="29"/>
      <c r="B59" s="11" t="str">
        <f>CONCATENATE("          ", "6241", " - ", "OFFICE EXPENSE")</f>
        <v xml:space="preserve">          6241 - OFFICE EXPENSE</v>
      </c>
      <c r="C59" s="11"/>
      <c r="D59" s="8">
        <v>153.85</v>
      </c>
      <c r="E59" s="3"/>
      <c r="F59" s="7">
        <f t="shared" si="44"/>
        <v>6.076704321036417E-2</v>
      </c>
      <c r="G59" s="3"/>
      <c r="H59" s="8"/>
      <c r="I59" s="3"/>
      <c r="J59" s="7">
        <f t="shared" si="45"/>
        <v>0</v>
      </c>
      <c r="K59" s="3"/>
      <c r="L59" s="8">
        <f t="shared" si="46"/>
        <v>153.85</v>
      </c>
      <c r="M59" s="3"/>
      <c r="N59" s="7">
        <f t="shared" si="47"/>
        <v>0</v>
      </c>
      <c r="O59" s="11"/>
      <c r="P59" s="8">
        <v>153.85</v>
      </c>
      <c r="Q59" s="3"/>
      <c r="R59" s="7">
        <f t="shared" si="48"/>
        <v>6.076704321036417E-2</v>
      </c>
      <c r="S59" s="3"/>
      <c r="T59" s="8"/>
      <c r="U59" s="3"/>
      <c r="V59" s="7">
        <f t="shared" si="49"/>
        <v>0</v>
      </c>
      <c r="W59" s="3"/>
      <c r="X59" s="8">
        <f t="shared" si="50"/>
        <v>153.85</v>
      </c>
      <c r="Y59" s="3"/>
      <c r="Z59" s="7">
        <f t="shared" si="51"/>
        <v>0</v>
      </c>
    </row>
    <row r="60" spans="1:26" s="24" customFormat="1" hidden="1" outlineLevel="2" x14ac:dyDescent="0.3">
      <c r="A60" s="29"/>
      <c r="B60" s="11" t="str">
        <f>CONCATENATE("          ", "6243", " - ", "PAPER SUPPLIES")</f>
        <v xml:space="preserve">          6243 - PAPER SUPPLIES</v>
      </c>
      <c r="C60" s="11"/>
      <c r="D60" s="8">
        <v>1649.24</v>
      </c>
      <c r="E60" s="3"/>
      <c r="F60" s="7">
        <f t="shared" si="44"/>
        <v>0.65141006398609691</v>
      </c>
      <c r="G60" s="3"/>
      <c r="H60" s="8">
        <v>4200</v>
      </c>
      <c r="I60" s="3"/>
      <c r="J60" s="7">
        <f t="shared" si="45"/>
        <v>1.5555555555555556</v>
      </c>
      <c r="K60" s="3"/>
      <c r="L60" s="8">
        <f t="shared" si="46"/>
        <v>-2550.7600000000002</v>
      </c>
      <c r="M60" s="3"/>
      <c r="N60" s="7">
        <f t="shared" si="47"/>
        <v>-0.6073238095238096</v>
      </c>
      <c r="O60" s="11"/>
      <c r="P60" s="8">
        <v>1649.24</v>
      </c>
      <c r="Q60" s="3"/>
      <c r="R60" s="7">
        <f t="shared" si="48"/>
        <v>0.65141006398609691</v>
      </c>
      <c r="S60" s="3"/>
      <c r="T60" s="8">
        <v>4200</v>
      </c>
      <c r="U60" s="3"/>
      <c r="V60" s="7">
        <f t="shared" si="49"/>
        <v>1.5555555555555556</v>
      </c>
      <c r="W60" s="3"/>
      <c r="X60" s="8">
        <f t="shared" si="50"/>
        <v>-2550.7600000000002</v>
      </c>
      <c r="Y60" s="3"/>
      <c r="Z60" s="7">
        <f t="shared" si="51"/>
        <v>-0.6073238095238096</v>
      </c>
    </row>
    <row r="61" spans="1:26" s="24" customFormat="1" hidden="1" outlineLevel="2" x14ac:dyDescent="0.3">
      <c r="A61" s="29"/>
      <c r="B61" s="11" t="str">
        <f>CONCATENATE("          ", "6245", " - ", "PRINTING")</f>
        <v xml:space="preserve">          6245 - PRINTING</v>
      </c>
      <c r="C61" s="11"/>
      <c r="D61" s="8">
        <v>251.64</v>
      </c>
      <c r="E61" s="3"/>
      <c r="F61" s="7">
        <f t="shared" si="44"/>
        <v>9.9391737104036662E-2</v>
      </c>
      <c r="G61" s="3"/>
      <c r="H61" s="8">
        <v>25</v>
      </c>
      <c r="I61" s="3"/>
      <c r="J61" s="7">
        <f t="shared" si="45"/>
        <v>9.2592592592592587E-3</v>
      </c>
      <c r="K61" s="3"/>
      <c r="L61" s="8">
        <f t="shared" si="46"/>
        <v>226.64</v>
      </c>
      <c r="M61" s="3"/>
      <c r="N61" s="7">
        <f t="shared" si="47"/>
        <v>9.0655999999999999</v>
      </c>
      <c r="O61" s="11"/>
      <c r="P61" s="8">
        <v>251.64</v>
      </c>
      <c r="Q61" s="3"/>
      <c r="R61" s="7">
        <f t="shared" si="48"/>
        <v>9.9391737104036662E-2</v>
      </c>
      <c r="S61" s="3"/>
      <c r="T61" s="8">
        <v>25</v>
      </c>
      <c r="U61" s="3"/>
      <c r="V61" s="7">
        <f t="shared" si="49"/>
        <v>9.2592592592592587E-3</v>
      </c>
      <c r="W61" s="3"/>
      <c r="X61" s="8">
        <f t="shared" si="50"/>
        <v>226.64</v>
      </c>
      <c r="Y61" s="3"/>
      <c r="Z61" s="7">
        <f t="shared" si="51"/>
        <v>9.0655999999999999</v>
      </c>
    </row>
    <row r="62" spans="1:26" s="24" customFormat="1" hidden="1" outlineLevel="2" x14ac:dyDescent="0.3">
      <c r="A62" s="29"/>
      <c r="B62" s="11" t="str">
        <f>CONCATENATE("          ", "6247", " - ", "STORE SUPPLIES")</f>
        <v xml:space="preserve">          6247 - STORE SUPPLIES</v>
      </c>
      <c r="C62" s="11"/>
      <c r="D62" s="8">
        <v>1062.06</v>
      </c>
      <c r="E62" s="3"/>
      <c r="F62" s="7">
        <f t="shared" si="44"/>
        <v>0.41948811122521529</v>
      </c>
      <c r="G62" s="3"/>
      <c r="H62" s="8">
        <v>205</v>
      </c>
      <c r="I62" s="3"/>
      <c r="J62" s="7">
        <f t="shared" si="45"/>
        <v>7.5925925925925924E-2</v>
      </c>
      <c r="K62" s="3"/>
      <c r="L62" s="8">
        <f t="shared" si="46"/>
        <v>857.06</v>
      </c>
      <c r="M62" s="3"/>
      <c r="N62" s="7">
        <f t="shared" si="47"/>
        <v>4.1807804878048778</v>
      </c>
      <c r="O62" s="11"/>
      <c r="P62" s="8">
        <v>1062.06</v>
      </c>
      <c r="Q62" s="3"/>
      <c r="R62" s="7">
        <f t="shared" si="48"/>
        <v>0.41948811122521529</v>
      </c>
      <c r="S62" s="3"/>
      <c r="T62" s="8">
        <v>205</v>
      </c>
      <c r="U62" s="3"/>
      <c r="V62" s="7">
        <f t="shared" si="49"/>
        <v>7.5925925925925924E-2</v>
      </c>
      <c r="W62" s="3"/>
      <c r="X62" s="8">
        <f t="shared" si="50"/>
        <v>857.06</v>
      </c>
      <c r="Y62" s="3"/>
      <c r="Z62" s="7">
        <f t="shared" si="51"/>
        <v>4.1807804878048778</v>
      </c>
    </row>
    <row r="63" spans="1:26" s="27" customFormat="1" outlineLevel="1" collapsed="1" x14ac:dyDescent="0.3">
      <c r="A63" s="28"/>
      <c r="B63" s="14" t="str">
        <f>CONCATENATE("     ","Telephone/Data Lines                              ")</f>
        <v xml:space="preserve">     Telephone/Data Lines                              </v>
      </c>
      <c r="C63" s="14"/>
      <c r="D63" s="1">
        <f>SUM(OSRRefD22_9x_0)</f>
        <v>167.8</v>
      </c>
      <c r="E63" s="1"/>
      <c r="F63" s="5">
        <f t="shared" ref="F63:F64" si="52">IF(D$12=0,0,D63/D$12)</f>
        <v>6.6276957105616568E-2</v>
      </c>
      <c r="G63" s="1"/>
      <c r="H63" s="1">
        <f>SUM(OSRRefH22_9x_0)</f>
        <v>175</v>
      </c>
      <c r="I63" s="1"/>
      <c r="J63" s="5">
        <f t="shared" ref="J63:J64" si="53">IF(H$12=0,0,H63/H$12)</f>
        <v>6.4814814814814811E-2</v>
      </c>
      <c r="K63" s="1"/>
      <c r="L63" s="1">
        <f t="shared" ref="L63:L64" si="54">+D63-H63</f>
        <v>-7.1999999999999886</v>
      </c>
      <c r="M63" s="1"/>
      <c r="N63" s="5">
        <f t="shared" ref="N63:N64" si="55">IF(H63=0,0,L63/H63)</f>
        <v>-4.1142857142857078E-2</v>
      </c>
      <c r="O63" s="14"/>
      <c r="P63" s="1">
        <f>SUM(OSRRefP22_9x_0)</f>
        <v>167.8</v>
      </c>
      <c r="Q63" s="1"/>
      <c r="R63" s="5">
        <f t="shared" ref="R63:R64" si="56">IF(P$12=0,0,P63/P$12)</f>
        <v>6.6276957105616568E-2</v>
      </c>
      <c r="S63" s="1"/>
      <c r="T63" s="1">
        <f>SUM(OSRRefT22_9x_0)</f>
        <v>175</v>
      </c>
      <c r="U63" s="1"/>
      <c r="V63" s="5">
        <f t="shared" ref="V63:V64" si="57">IF(T$12=0,0,T63/T$12)</f>
        <v>6.4814814814814811E-2</v>
      </c>
      <c r="W63" s="1"/>
      <c r="X63" s="1">
        <f t="shared" ref="X63:X64" si="58">+P63-T63</f>
        <v>-7.1999999999999886</v>
      </c>
      <c r="Y63" s="1"/>
      <c r="Z63" s="5">
        <f t="shared" ref="Z63:Z64" si="59">IF(T63=0,0,X63/T63)</f>
        <v>-4.1142857142857078E-2</v>
      </c>
    </row>
    <row r="64" spans="1:26" s="24" customFormat="1" hidden="1" outlineLevel="2" x14ac:dyDescent="0.3">
      <c r="A64" s="29"/>
      <c r="B64" s="11" t="str">
        <f>CONCATENATE("          ", "6309", " - ", "TELEPHONE")</f>
        <v xml:space="preserve">          6309 - TELEPHONE</v>
      </c>
      <c r="C64" s="11"/>
      <c r="D64" s="8">
        <v>167.8</v>
      </c>
      <c r="E64" s="3"/>
      <c r="F64" s="7">
        <f t="shared" si="52"/>
        <v>6.6276957105616568E-2</v>
      </c>
      <c r="G64" s="3"/>
      <c r="H64" s="8">
        <v>175</v>
      </c>
      <c r="I64" s="3"/>
      <c r="J64" s="7">
        <f t="shared" si="53"/>
        <v>6.4814814814814811E-2</v>
      </c>
      <c r="K64" s="3"/>
      <c r="L64" s="8">
        <f t="shared" si="54"/>
        <v>-7.1999999999999886</v>
      </c>
      <c r="M64" s="3"/>
      <c r="N64" s="7">
        <f t="shared" si="55"/>
        <v>-4.1142857142857078E-2</v>
      </c>
      <c r="O64" s="11"/>
      <c r="P64" s="8">
        <v>167.8</v>
      </c>
      <c r="Q64" s="3"/>
      <c r="R64" s="7">
        <f t="shared" si="56"/>
        <v>6.6276957105616568E-2</v>
      </c>
      <c r="S64" s="3"/>
      <c r="T64" s="8">
        <v>175</v>
      </c>
      <c r="U64" s="3"/>
      <c r="V64" s="7">
        <f t="shared" si="57"/>
        <v>6.4814814814814811E-2</v>
      </c>
      <c r="W64" s="3"/>
      <c r="X64" s="8">
        <f t="shared" si="58"/>
        <v>-7.1999999999999886</v>
      </c>
      <c r="Y64" s="3"/>
      <c r="Z64" s="7">
        <f t="shared" si="59"/>
        <v>-4.1142857142857078E-2</v>
      </c>
    </row>
    <row r="65" spans="1:26" s="62" customFormat="1" x14ac:dyDescent="0.3">
      <c r="A65" s="36"/>
      <c r="B65" s="36"/>
      <c r="C65" s="36"/>
      <c r="D65" s="1"/>
      <c r="E65" s="1"/>
      <c r="F65" s="5"/>
      <c r="G65" s="1"/>
      <c r="H65" s="1"/>
      <c r="I65" s="1"/>
      <c r="J65" s="5"/>
      <c r="K65" s="1"/>
      <c r="L65" s="1"/>
      <c r="M65" s="1"/>
      <c r="N65" s="5"/>
      <c r="O65" s="36"/>
      <c r="P65" s="1"/>
      <c r="Q65" s="1"/>
      <c r="R65" s="5"/>
      <c r="S65" s="1"/>
      <c r="T65" s="1"/>
      <c r="U65" s="1"/>
      <c r="V65" s="5"/>
      <c r="W65" s="1"/>
      <c r="X65" s="1"/>
      <c r="Y65" s="1"/>
      <c r="Z65" s="5"/>
    </row>
    <row r="66" spans="1:26" s="23" customFormat="1" collapsed="1" x14ac:dyDescent="0.3">
      <c r="A66" s="10"/>
      <c r="B66" s="25" t="s">
        <v>293</v>
      </c>
      <c r="C66" s="10"/>
      <c r="D66" s="4">
        <f>SUM(OSRRefD25x_0)</f>
        <v>0</v>
      </c>
      <c r="E66" s="4"/>
      <c r="F66" s="12">
        <f t="shared" ref="F66:F67" si="60">IF(D$12=0,0,D66/D$12)</f>
        <v>0</v>
      </c>
      <c r="G66" s="4"/>
      <c r="H66" s="4">
        <f>SUM(OSRRefH25x_0)</f>
        <v>6782</v>
      </c>
      <c r="I66" s="4"/>
      <c r="J66" s="12">
        <f t="shared" ref="J66:J67" si="61">IF(H$12=0,0,H66/H$12)</f>
        <v>2.5118518518518518</v>
      </c>
      <c r="K66" s="4"/>
      <c r="L66" s="4">
        <f t="shared" ref="L66:L67" si="62">+D66-H66</f>
        <v>-6782</v>
      </c>
      <c r="M66" s="4"/>
      <c r="N66" s="12">
        <f t="shared" ref="N66:N67" si="63">IF(H66=0,0,L66/H66)</f>
        <v>-1</v>
      </c>
      <c r="O66" s="10"/>
      <c r="P66" s="4">
        <f>SUM(OSRRefP25x_0)</f>
        <v>0</v>
      </c>
      <c r="Q66" s="4"/>
      <c r="R66" s="12">
        <f t="shared" ref="R66:R67" si="64">IF(P$12=0,0,P66/P$12)</f>
        <v>0</v>
      </c>
      <c r="S66" s="4"/>
      <c r="T66" s="4">
        <f>SUM(OSRRefT25x_0)</f>
        <v>6782</v>
      </c>
      <c r="U66" s="4"/>
      <c r="V66" s="12">
        <f t="shared" ref="V66:V67" si="65">IF(T$12=0,0,T66/T$12)</f>
        <v>2.5118518518518518</v>
      </c>
      <c r="W66" s="4"/>
      <c r="X66" s="4">
        <f t="shared" ref="X66:X67" si="66">+P66-T66</f>
        <v>-6782</v>
      </c>
      <c r="Y66" s="4"/>
      <c r="Z66" s="12">
        <f t="shared" ref="Z66:Z67" si="67">IF(T66=0,0,X66/T66)</f>
        <v>-1</v>
      </c>
    </row>
    <row r="67" spans="1:26" s="24" customFormat="1" hidden="1" outlineLevel="1" x14ac:dyDescent="0.3">
      <c r="A67" s="44"/>
      <c r="B67" s="11" t="str">
        <f>CONCATENATE("          ", "9150", " - ", "MISC. INCOME")</f>
        <v xml:space="preserve">          9150 - MISC. INCOME</v>
      </c>
      <c r="C67" s="11"/>
      <c r="D67" s="3">
        <f>0</f>
        <v>0</v>
      </c>
      <c r="E67" s="3"/>
      <c r="F67" s="19">
        <f t="shared" si="60"/>
        <v>0</v>
      </c>
      <c r="G67" s="3"/>
      <c r="H67" s="3">
        <v>6782</v>
      </c>
      <c r="I67" s="3"/>
      <c r="J67" s="19">
        <f t="shared" si="61"/>
        <v>2.5118518518518518</v>
      </c>
      <c r="K67" s="3"/>
      <c r="L67" s="3">
        <f t="shared" si="62"/>
        <v>-6782</v>
      </c>
      <c r="M67" s="3"/>
      <c r="N67" s="19">
        <f t="shared" si="63"/>
        <v>-1</v>
      </c>
      <c r="O67" s="11"/>
      <c r="P67" s="3">
        <f>0</f>
        <v>0</v>
      </c>
      <c r="Q67" s="3"/>
      <c r="R67" s="19">
        <f t="shared" si="64"/>
        <v>0</v>
      </c>
      <c r="S67" s="3"/>
      <c r="T67" s="3">
        <v>6782</v>
      </c>
      <c r="U67" s="3"/>
      <c r="V67" s="19">
        <f t="shared" si="65"/>
        <v>2.5118518518518518</v>
      </c>
      <c r="W67" s="3"/>
      <c r="X67" s="3">
        <f t="shared" si="66"/>
        <v>-6782</v>
      </c>
      <c r="Y67" s="3"/>
      <c r="Z67" s="19">
        <f t="shared" si="67"/>
        <v>-1</v>
      </c>
    </row>
    <row r="68" spans="1:26" x14ac:dyDescent="0.3">
      <c r="A68" s="9"/>
      <c r="B68" s="10"/>
      <c r="C68" s="10"/>
      <c r="D68" s="2"/>
      <c r="E68" s="2"/>
      <c r="F68" s="6"/>
      <c r="G68" s="2"/>
      <c r="H68" s="2"/>
      <c r="I68" s="2"/>
      <c r="J68" s="6"/>
      <c r="K68" s="2"/>
      <c r="L68" s="2"/>
      <c r="M68" s="2"/>
      <c r="N68" s="6"/>
      <c r="O68" s="10"/>
      <c r="P68" s="2"/>
      <c r="Q68" s="2"/>
      <c r="R68" s="6"/>
      <c r="S68" s="2"/>
      <c r="T68" s="2"/>
      <c r="U68" s="2"/>
      <c r="V68" s="6"/>
      <c r="W68" s="2"/>
      <c r="X68" s="2"/>
      <c r="Y68" s="2"/>
      <c r="Z68" s="6"/>
    </row>
    <row r="69" spans="1:26" s="23" customFormat="1" x14ac:dyDescent="0.3">
      <c r="A69" s="10"/>
      <c r="B69" s="26" t="s">
        <v>277</v>
      </c>
      <c r="C69" s="26"/>
      <c r="D69" s="21">
        <f>+D20-D22+D66</f>
        <v>-35127.079999999994</v>
      </c>
      <c r="E69" s="13"/>
      <c r="F69" s="22">
        <f>IF(D$12=0,0,D69/D$12)</f>
        <v>-13.874350264633856</v>
      </c>
      <c r="G69" s="13"/>
      <c r="H69" s="21">
        <f>+H20-H22+H66</f>
        <v>-41794.78175528851</v>
      </c>
      <c r="I69" s="13"/>
      <c r="J69" s="22">
        <f>IF(H$12=0,0,H69/H$12)</f>
        <v>-15.479548798255003</v>
      </c>
      <c r="K69" s="16"/>
      <c r="L69" s="21">
        <f>+D69-H69</f>
        <v>6667.7017552885154</v>
      </c>
      <c r="M69" s="16"/>
      <c r="N69" s="22">
        <f>IF(H69=0,0,L69/H69)</f>
        <v>-0.15953431206623819</v>
      </c>
      <c r="O69" s="25"/>
      <c r="P69" s="21">
        <f>+P20-P22+P66</f>
        <v>-35127.079999999994</v>
      </c>
      <c r="Q69" s="13"/>
      <c r="R69" s="22">
        <f>IF(P$12=0,0,P69/P$12)</f>
        <v>-13.874350264633856</v>
      </c>
      <c r="S69" s="13"/>
      <c r="T69" s="21">
        <f>+T20-T22+T66</f>
        <v>-41794.78175528851</v>
      </c>
      <c r="U69" s="13"/>
      <c r="V69" s="22">
        <f>IF(T$12=0,0,T69/T$12)</f>
        <v>-15.479548798255003</v>
      </c>
      <c r="W69" s="16"/>
      <c r="X69" s="21">
        <f>+P69-T69</f>
        <v>6667.7017552885154</v>
      </c>
      <c r="Y69" s="16"/>
      <c r="Z69" s="22">
        <f>IF(T69=0,0,X69/T69)</f>
        <v>-0.15953431206623819</v>
      </c>
    </row>
    <row r="70" spans="1:26" x14ac:dyDescent="0.3">
      <c r="A70" s="9"/>
      <c r="B70" s="10"/>
      <c r="C70" s="9"/>
      <c r="D70" s="2"/>
      <c r="E70" s="2"/>
      <c r="F70" s="6"/>
      <c r="G70" s="2"/>
      <c r="H70" s="2"/>
      <c r="I70" s="2"/>
      <c r="J70" s="6"/>
      <c r="K70" s="2"/>
      <c r="L70" s="2"/>
      <c r="M70" s="2"/>
      <c r="N70" s="6"/>
      <c r="P70" s="2"/>
      <c r="Q70" s="2"/>
      <c r="R70" s="6"/>
      <c r="S70" s="2"/>
      <c r="T70" s="2"/>
      <c r="U70" s="2"/>
      <c r="V70" s="6"/>
      <c r="W70" s="2"/>
      <c r="X70" s="2"/>
      <c r="Y70" s="2"/>
      <c r="Z70" s="6"/>
    </row>
    <row r="71" spans="1:26" s="23" customFormat="1" x14ac:dyDescent="0.3">
      <c r="A71" s="52"/>
      <c r="B71" s="10" t="s">
        <v>128</v>
      </c>
      <c r="C71" s="10"/>
      <c r="D71" s="4">
        <v>1169.68</v>
      </c>
      <c r="E71" s="4"/>
      <c r="F71" s="12">
        <f>IF(D$12=0,0,D71/D$12)</f>
        <v>0.46199541827948504</v>
      </c>
      <c r="G71" s="4"/>
      <c r="H71" s="4">
        <v>978</v>
      </c>
      <c r="I71" s="4"/>
      <c r="J71" s="12">
        <f>IF(H$12=0,0,H71/H$12)</f>
        <v>0.36222222222222222</v>
      </c>
      <c r="K71" s="4"/>
      <c r="L71" s="4">
        <f>+D71-H71</f>
        <v>191.68000000000006</v>
      </c>
      <c r="M71" s="4"/>
      <c r="N71" s="12">
        <f>IF(H71=0,0,L71/H71)</f>
        <v>0.19599182004089985</v>
      </c>
      <c r="O71" s="10"/>
      <c r="P71" s="4">
        <v>1169.68</v>
      </c>
      <c r="Q71" s="4"/>
      <c r="R71" s="12">
        <f>IF(P$12=0,0,P71/P$12)</f>
        <v>0.46199541827948504</v>
      </c>
      <c r="S71" s="4"/>
      <c r="T71" s="4">
        <v>978</v>
      </c>
      <c r="U71" s="4"/>
      <c r="V71" s="12">
        <f>IF(T$12=0,0,T71/T$12)</f>
        <v>0.36222222222222222</v>
      </c>
      <c r="W71" s="4"/>
      <c r="X71" s="4">
        <f>+P71-T71</f>
        <v>191.68000000000006</v>
      </c>
      <c r="Y71" s="4"/>
      <c r="Z71" s="12">
        <f>IF(T71=0,0,X71/T71)</f>
        <v>0.19599182004089985</v>
      </c>
    </row>
    <row r="72" spans="1:26" x14ac:dyDescent="0.3">
      <c r="A72" s="9"/>
      <c r="B72" s="10"/>
      <c r="C72" s="10"/>
      <c r="D72" s="2"/>
      <c r="E72" s="2"/>
      <c r="F72" s="6"/>
      <c r="G72" s="2"/>
      <c r="H72" s="2"/>
      <c r="I72" s="2"/>
      <c r="J72" s="6"/>
      <c r="K72" s="2"/>
      <c r="L72" s="2"/>
      <c r="M72" s="2"/>
      <c r="N72" s="6"/>
      <c r="O72" s="10"/>
      <c r="P72" s="2"/>
      <c r="Q72" s="2"/>
      <c r="R72" s="6"/>
      <c r="S72" s="2"/>
      <c r="T72" s="2"/>
      <c r="U72" s="2"/>
      <c r="V72" s="6"/>
      <c r="W72" s="2"/>
      <c r="X72" s="2"/>
      <c r="Y72" s="2"/>
      <c r="Z72" s="6"/>
    </row>
    <row r="73" spans="1:26" s="23" customFormat="1" ht="15" thickBot="1" x14ac:dyDescent="0.35">
      <c r="A73" s="10"/>
      <c r="B73" s="26" t="s">
        <v>126</v>
      </c>
      <c r="C73" s="26"/>
      <c r="D73" s="35">
        <f>+D69-D71</f>
        <v>-36296.759999999995</v>
      </c>
      <c r="E73" s="13"/>
      <c r="F73" s="30">
        <f>IF(D$12=0,0,D73/D$12)</f>
        <v>-14.336345682913342</v>
      </c>
      <c r="G73" s="13"/>
      <c r="H73" s="35">
        <f>+H69-H71</f>
        <v>-42772.78175528851</v>
      </c>
      <c r="I73" s="13"/>
      <c r="J73" s="30">
        <f>IF(H$12=0,0,H73/H$12)</f>
        <v>-15.841771020477227</v>
      </c>
      <c r="K73" s="16"/>
      <c r="L73" s="35">
        <f>D73-H73</f>
        <v>6476.0217552885151</v>
      </c>
      <c r="M73" s="16"/>
      <c r="N73" s="30">
        <f>IF(H73=0,0,L73/H73)</f>
        <v>-0.15140520418660419</v>
      </c>
      <c r="O73" s="25"/>
      <c r="P73" s="35">
        <f>+P69-P71</f>
        <v>-36296.759999999995</v>
      </c>
      <c r="Q73" s="13"/>
      <c r="R73" s="30">
        <f>IF(P$12=0,0,P73/P$12)</f>
        <v>-14.336345682913342</v>
      </c>
      <c r="S73" s="13"/>
      <c r="T73" s="35">
        <f>+T69-T71</f>
        <v>-42772.78175528851</v>
      </c>
      <c r="U73" s="13"/>
      <c r="V73" s="30">
        <f>IF(T$12=0,0,T73/T$12)</f>
        <v>-15.841771020477227</v>
      </c>
      <c r="W73" s="16"/>
      <c r="X73" s="35">
        <f>P73-T73</f>
        <v>6476.0217552885151</v>
      </c>
      <c r="Y73" s="16"/>
      <c r="Z73" s="30">
        <f>IF(T73=0,0,X73/T73)</f>
        <v>-0.15140520418660419</v>
      </c>
    </row>
    <row r="74" spans="1:26" ht="15" thickTop="1" x14ac:dyDescent="0.3">
      <c r="A74" s="9"/>
      <c r="B74" s="9"/>
      <c r="C74" s="9"/>
      <c r="D74" s="2"/>
      <c r="E74" s="2"/>
      <c r="F74" s="6"/>
      <c r="G74" s="2"/>
      <c r="H74" s="2"/>
      <c r="I74" s="2"/>
      <c r="J74" s="6"/>
      <c r="K74" s="2"/>
      <c r="L74" s="2"/>
      <c r="M74" s="2"/>
      <c r="N74" s="6"/>
      <c r="P74" s="2"/>
      <c r="Q74" s="2"/>
      <c r="R74" s="6"/>
      <c r="S74" s="2"/>
      <c r="T74" s="2"/>
      <c r="U74" s="2"/>
      <c r="V74" s="6"/>
      <c r="W74" s="2"/>
      <c r="X74" s="2"/>
      <c r="Y74" s="2"/>
      <c r="Z74" s="6"/>
    </row>
    <row r="75" spans="1:26" x14ac:dyDescent="0.3">
      <c r="A75" s="9"/>
      <c r="B75" s="9"/>
      <c r="C75" s="9"/>
      <c r="D75" s="2"/>
      <c r="E75" s="2"/>
      <c r="F75" s="6"/>
      <c r="G75" s="2"/>
      <c r="H75" s="2"/>
      <c r="I75" s="2"/>
      <c r="J75" s="6"/>
      <c r="K75" s="2"/>
      <c r="L75" s="2"/>
      <c r="M75" s="2"/>
      <c r="N75" s="6"/>
      <c r="P75" s="2"/>
      <c r="Q75" s="2"/>
      <c r="R75" s="6"/>
      <c r="S75" s="2"/>
      <c r="T75" s="2"/>
      <c r="U75" s="2"/>
      <c r="V75" s="6"/>
      <c r="W75" s="2"/>
      <c r="X75" s="2"/>
      <c r="Y75" s="2"/>
      <c r="Z75" s="6"/>
    </row>
    <row r="76" spans="1:26" s="23" customFormat="1" ht="15" thickBot="1" x14ac:dyDescent="0.35">
      <c r="A76" s="10"/>
      <c r="B76" s="26" t="s">
        <v>294</v>
      </c>
      <c r="C76" s="26"/>
      <c r="D76" s="33">
        <f>SUM(D73:D75)</f>
        <v>-36296.759999999995</v>
      </c>
      <c r="E76" s="13"/>
      <c r="F76" s="31">
        <f>IF(D$12=0,0,D76/D$12)</f>
        <v>-14.336345682913342</v>
      </c>
      <c r="G76" s="13"/>
      <c r="H76" s="33">
        <f>SUM(H73:H75)</f>
        <v>-42772.78175528851</v>
      </c>
      <c r="I76" s="13"/>
      <c r="J76" s="31">
        <f>IF(H$12=0,0,H76/H$12)</f>
        <v>-15.841771020477227</v>
      </c>
      <c r="K76" s="16"/>
      <c r="L76" s="33">
        <f>+D76-H76</f>
        <v>6476.0217552885151</v>
      </c>
      <c r="M76" s="16"/>
      <c r="N76" s="31">
        <f>IF(H76=0,0,L76/H76)</f>
        <v>-0.15140520418660419</v>
      </c>
      <c r="O76" s="25"/>
      <c r="P76" s="33">
        <f>SUM(P73:P75)</f>
        <v>-36296.759999999995</v>
      </c>
      <c r="Q76" s="13"/>
      <c r="R76" s="31">
        <f>IF(P$12=0,0,P76/P$12)</f>
        <v>-14.336345682913342</v>
      </c>
      <c r="S76" s="13"/>
      <c r="T76" s="33">
        <f>SUM(T73:T75)</f>
        <v>-42772.78175528851</v>
      </c>
      <c r="U76" s="13"/>
      <c r="V76" s="31">
        <f>IF(T$12=0,0,T76/T$12)</f>
        <v>-15.841771020477227</v>
      </c>
      <c r="W76" s="16"/>
      <c r="X76" s="33">
        <f>+P76-T76</f>
        <v>6476.0217552885151</v>
      </c>
      <c r="Y76" s="16"/>
      <c r="Z76" s="31">
        <f>IF(T76=0,0,X76/T76)</f>
        <v>-0.15140520418660419</v>
      </c>
    </row>
    <row r="77" spans="1:26" ht="15" thickTop="1" x14ac:dyDescent="0.3">
      <c r="A77" s="9"/>
      <c r="C77" s="9"/>
      <c r="D77" s="18"/>
      <c r="E77" s="18"/>
      <c r="G77" s="18"/>
      <c r="H77" s="18"/>
      <c r="I77" s="18"/>
      <c r="J77" s="43"/>
      <c r="K77" s="18"/>
      <c r="L77" s="18"/>
      <c r="M77" s="18"/>
      <c r="P77" s="18"/>
      <c r="Q77" s="18"/>
      <c r="R77" s="43"/>
      <c r="S77" s="18"/>
      <c r="T77" s="18"/>
      <c r="U77" s="18"/>
      <c r="V77" s="43"/>
      <c r="W77" s="18"/>
      <c r="X77" s="18"/>
    </row>
    <row r="78" spans="1:26" x14ac:dyDescent="0.3">
      <c r="A78" s="9"/>
      <c r="B78" s="54">
        <v>44462.64545891204</v>
      </c>
      <c r="D78" s="18"/>
      <c r="E78" s="18"/>
      <c r="G78" s="18"/>
      <c r="H78" s="18"/>
      <c r="I78" s="18"/>
      <c r="J78" s="43"/>
      <c r="K78" s="18"/>
      <c r="L78" s="18"/>
      <c r="M78" s="18"/>
      <c r="P78" s="18"/>
      <c r="Q78" s="18"/>
      <c r="R78" s="43"/>
      <c r="S78" s="18"/>
      <c r="T78" s="18"/>
      <c r="U78" s="18"/>
      <c r="V78" s="43"/>
      <c r="W78" s="18"/>
      <c r="X78" s="18"/>
    </row>
    <row r="79" spans="1:26" x14ac:dyDescent="0.3">
      <c r="A79" s="9"/>
      <c r="B79" s="59" t="s">
        <v>56</v>
      </c>
      <c r="D79" s="18"/>
      <c r="E79" s="18"/>
      <c r="G79" s="18"/>
      <c r="H79" s="18"/>
      <c r="I79" s="18"/>
      <c r="J79" s="43"/>
      <c r="K79" s="18"/>
      <c r="L79" s="18"/>
      <c r="M79" s="18"/>
      <c r="P79" s="18"/>
      <c r="Q79" s="18"/>
      <c r="R79" s="43"/>
      <c r="S79" s="18"/>
      <c r="T79" s="18"/>
      <c r="U79" s="18"/>
      <c r="V79" s="43"/>
      <c r="W79" s="18"/>
      <c r="X79" s="18"/>
    </row>
    <row r="80" spans="1:26" x14ac:dyDescent="0.3">
      <c r="A80" s="9"/>
      <c r="B80" s="55"/>
      <c r="D80" s="18"/>
      <c r="E80" s="18"/>
      <c r="G80" s="18"/>
      <c r="H80" s="18"/>
      <c r="I80" s="18"/>
      <c r="J80" s="43"/>
      <c r="K80" s="18"/>
      <c r="L80" s="18"/>
      <c r="M80" s="18"/>
      <c r="P80" s="18"/>
      <c r="Q80" s="18"/>
      <c r="R80" s="43"/>
      <c r="S80" s="18"/>
      <c r="T80" s="18"/>
      <c r="U80" s="18"/>
      <c r="V80" s="43"/>
      <c r="W80" s="18"/>
      <c r="X80" s="18"/>
    </row>
    <row r="81" spans="4:24" x14ac:dyDescent="0.3">
      <c r="D81" s="18"/>
      <c r="E81" s="18"/>
      <c r="G81" s="18"/>
      <c r="H81" s="18"/>
      <c r="I81" s="18"/>
      <c r="J81" s="43"/>
      <c r="K81" s="18"/>
      <c r="L81" s="18"/>
      <c r="M81" s="18"/>
      <c r="P81" s="18"/>
      <c r="Q81" s="18"/>
      <c r="R81" s="43"/>
      <c r="S81" s="18"/>
      <c r="T81" s="18"/>
      <c r="U81" s="18"/>
      <c r="V81" s="43"/>
      <c r="W81" s="18"/>
      <c r="X81" s="18"/>
    </row>
  </sheetData>
  <pageMargins left="0.25" right="0.25" top="0.75" bottom="0.75" header="0.3" footer="0.3"/>
  <pageSetup scale="55" fitToWidth="2" orientation="landscape"/>
  <drawing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>
    <tabColor rgb="FF92D050"/>
    <outlinePr summaryBelow="0" summaryRight="0"/>
  </sheetPr>
  <dimension ref="A2:Z8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50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7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50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7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7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7" customWidth="1" outlineLevel="1"/>
  </cols>
  <sheetData>
    <row r="2" spans="1:26" x14ac:dyDescent="0.3">
      <c r="D2" s="57" t="s">
        <v>23</v>
      </c>
    </row>
    <row r="3" spans="1:26" x14ac:dyDescent="0.3">
      <c r="D3" s="57" t="s">
        <v>237</v>
      </c>
      <c r="E3" s="17"/>
      <c r="F3" s="51"/>
      <c r="G3" s="17"/>
      <c r="H3" s="17"/>
      <c r="I3" s="17"/>
      <c r="J3" s="39"/>
      <c r="K3" s="17"/>
      <c r="L3" s="17"/>
      <c r="M3" s="17"/>
      <c r="N3" s="51"/>
      <c r="O3" s="61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3">
      <c r="D4" s="57" t="str">
        <f>CONCATENATE("Period ",RIGHT(202201,2),", ",2022)</f>
        <v>Period 01, 2022</v>
      </c>
      <c r="E4" s="17"/>
      <c r="F4" s="51"/>
      <c r="G4" s="17"/>
      <c r="H4" s="17"/>
      <c r="I4" s="17"/>
      <c r="J4" s="39"/>
      <c r="K4" s="17"/>
      <c r="L4" s="17"/>
      <c r="M4" s="17"/>
      <c r="N4" s="51"/>
      <c r="O4" s="61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3">
      <c r="A5" s="23"/>
      <c r="D5" s="64">
        <v>44408</v>
      </c>
      <c r="E5" s="17"/>
      <c r="F5" s="51"/>
      <c r="G5" s="17"/>
      <c r="H5" s="17"/>
      <c r="I5" s="17"/>
      <c r="J5" s="39"/>
      <c r="K5" s="17"/>
      <c r="L5" s="17"/>
      <c r="M5" s="17"/>
      <c r="N5" s="51"/>
      <c r="O5" s="61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3">
      <c r="A6" s="23"/>
      <c r="B6" s="47"/>
      <c r="C6" s="47"/>
      <c r="D6" s="23" t="str">
        <f>CONCATENATE("Department ","316", " - ", "Campus Copy Center")</f>
        <v>Department 316 - Campus Copy Center</v>
      </c>
      <c r="E6" s="17"/>
      <c r="F6" s="51"/>
      <c r="G6" s="17"/>
      <c r="H6" s="17"/>
      <c r="I6" s="17"/>
      <c r="J6" s="39"/>
      <c r="K6" s="17"/>
      <c r="L6" s="17"/>
      <c r="M6" s="17"/>
      <c r="N6" s="51"/>
      <c r="O6" s="60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3">
      <c r="B7" s="63"/>
    </row>
    <row r="8" spans="1:26" x14ac:dyDescent="0.3">
      <c r="B8" s="63"/>
    </row>
    <row r="9" spans="1:26" x14ac:dyDescent="0.3">
      <c r="B9" s="9"/>
      <c r="C9" s="9"/>
      <c r="D9" s="15" t="s">
        <v>292</v>
      </c>
      <c r="E9" s="15"/>
      <c r="F9" s="38"/>
      <c r="G9" s="15"/>
      <c r="H9" s="15"/>
      <c r="I9" s="15"/>
      <c r="J9" s="49"/>
      <c r="K9" s="15"/>
      <c r="L9" s="15"/>
      <c r="M9" s="15"/>
      <c r="N9" s="38"/>
      <c r="P9" s="15" t="s">
        <v>39</v>
      </c>
      <c r="Q9" s="15"/>
      <c r="R9" s="38"/>
      <c r="S9" s="15"/>
      <c r="T9" s="15"/>
      <c r="U9" s="15"/>
      <c r="V9" s="49"/>
      <c r="W9" s="15"/>
      <c r="X9" s="15"/>
      <c r="Y9" s="15"/>
      <c r="Z9" s="38"/>
    </row>
    <row r="10" spans="1:26" x14ac:dyDescent="0.3">
      <c r="A10" s="10"/>
      <c r="B10" s="53"/>
      <c r="C10" s="10"/>
      <c r="D10" s="42" t="s">
        <v>57</v>
      </c>
      <c r="E10" s="34"/>
      <c r="F10" s="40" t="s">
        <v>40</v>
      </c>
      <c r="G10" s="34"/>
      <c r="H10" s="45" t="s">
        <v>238</v>
      </c>
      <c r="I10" s="34"/>
      <c r="J10" s="48" t="s">
        <v>58</v>
      </c>
      <c r="K10" s="10"/>
      <c r="L10" s="42" t="s">
        <v>127</v>
      </c>
      <c r="M10" s="10"/>
      <c r="N10" s="40" t="s">
        <v>258</v>
      </c>
      <c r="O10" s="10"/>
      <c r="P10" s="56" t="s">
        <v>57</v>
      </c>
      <c r="Q10" s="34"/>
      <c r="R10" s="40" t="s">
        <v>40</v>
      </c>
      <c r="S10" s="34"/>
      <c r="T10" s="45" t="s">
        <v>238</v>
      </c>
      <c r="U10" s="34"/>
      <c r="V10" s="48" t="s">
        <v>58</v>
      </c>
      <c r="W10" s="10"/>
      <c r="X10" s="42" t="s">
        <v>127</v>
      </c>
      <c r="Y10" s="10"/>
      <c r="Z10" s="40" t="s">
        <v>258</v>
      </c>
    </row>
    <row r="11" spans="1:26" ht="15.6" x14ac:dyDescent="0.3">
      <c r="A11" s="9"/>
      <c r="B11" s="58"/>
      <c r="C11" s="9"/>
      <c r="D11" s="9"/>
      <c r="E11" s="9"/>
      <c r="F11" s="6"/>
      <c r="G11" s="9"/>
      <c r="H11" s="9"/>
      <c r="I11" s="9"/>
      <c r="J11" s="46"/>
      <c r="K11" s="9"/>
      <c r="L11" s="9"/>
      <c r="M11" s="9"/>
      <c r="N11" s="6"/>
      <c r="P11" s="9"/>
      <c r="Q11" s="9"/>
      <c r="R11" s="6"/>
      <c r="S11" s="9"/>
      <c r="T11" s="9"/>
      <c r="U11" s="9"/>
      <c r="V11" s="46"/>
      <c r="W11" s="9"/>
      <c r="X11" s="9"/>
      <c r="Y11" s="9"/>
      <c r="Z11" s="6"/>
    </row>
    <row r="12" spans="1:26" s="23" customFormat="1" collapsed="1" x14ac:dyDescent="0.3">
      <c r="A12" s="10"/>
      <c r="B12" s="25" t="s">
        <v>140</v>
      </c>
      <c r="C12" s="10"/>
      <c r="D12" s="4">
        <f>SUM(OSRRefD13x_0)</f>
        <v>2531.7999999999997</v>
      </c>
      <c r="E12" s="4"/>
      <c r="F12" s="12"/>
      <c r="G12" s="4"/>
      <c r="H12" s="4">
        <f>SUM(OSRRefH13x_0)</f>
        <v>2700</v>
      </c>
      <c r="I12" s="4"/>
      <c r="J12" s="12"/>
      <c r="K12" s="4"/>
      <c r="L12" s="4">
        <f t="shared" ref="L12:L15" si="0">+D12-H12</f>
        <v>-168.20000000000027</v>
      </c>
      <c r="M12" s="4"/>
      <c r="N12" s="12">
        <f t="shared" ref="N12:N15" si="1">IF(H12=0,0,L12/H12)</f>
        <v>-6.2296296296296398E-2</v>
      </c>
      <c r="O12" s="10"/>
      <c r="P12" s="4">
        <f>SUM(OSRRefP13x_0)</f>
        <v>2531.7999999999997</v>
      </c>
      <c r="Q12" s="4"/>
      <c r="R12" s="12"/>
      <c r="S12" s="4"/>
      <c r="T12" s="4">
        <f>SUM(OSRRefT13x_0)</f>
        <v>2700</v>
      </c>
      <c r="U12" s="4"/>
      <c r="V12" s="12"/>
      <c r="W12" s="4"/>
      <c r="X12" s="4">
        <f t="shared" ref="X12:X15" si="2">+P12-T12</f>
        <v>-168.20000000000027</v>
      </c>
      <c r="Y12" s="4"/>
      <c r="Z12" s="12">
        <f t="shared" ref="Z12:Z15" si="3">IF(T12=0,0,X12/T12)</f>
        <v>-6.2296296296296398E-2</v>
      </c>
    </row>
    <row r="13" spans="1:26" s="24" customFormat="1" hidden="1" outlineLevel="1" x14ac:dyDescent="0.3">
      <c r="A13" s="44"/>
      <c r="B13" s="11" t="str">
        <f>CONCATENATE("          ", "4000", " - ", "TAXABLE SALES")</f>
        <v xml:space="preserve">          4000 - TAXABLE SALES</v>
      </c>
      <c r="C13" s="11"/>
      <c r="D13" s="3">
        <f>--2230.15</f>
        <v>2230.15</v>
      </c>
      <c r="E13" s="3"/>
      <c r="F13" s="19"/>
      <c r="G13" s="3"/>
      <c r="H13" s="3">
        <v>2700</v>
      </c>
      <c r="I13" s="3"/>
      <c r="J13" s="19"/>
      <c r="K13" s="3"/>
      <c r="L13" s="3">
        <f t="shared" si="0"/>
        <v>-469.84999999999991</v>
      </c>
      <c r="M13" s="3"/>
      <c r="N13" s="19">
        <f t="shared" si="1"/>
        <v>-0.17401851851851849</v>
      </c>
      <c r="O13" s="11"/>
      <c r="P13" s="3">
        <f>--2230.15</f>
        <v>2230.15</v>
      </c>
      <c r="Q13" s="3"/>
      <c r="R13" s="19"/>
      <c r="S13" s="3"/>
      <c r="T13" s="3">
        <v>2700</v>
      </c>
      <c r="U13" s="3"/>
      <c r="V13" s="19"/>
      <c r="W13" s="3"/>
      <c r="X13" s="3">
        <f t="shared" si="2"/>
        <v>-469.84999999999991</v>
      </c>
      <c r="Y13" s="3"/>
      <c r="Z13" s="19">
        <f t="shared" si="3"/>
        <v>-0.17401851851851849</v>
      </c>
    </row>
    <row r="14" spans="1:26" s="24" customFormat="1" hidden="1" outlineLevel="1" x14ac:dyDescent="0.3">
      <c r="A14" s="44"/>
      <c r="B14" s="11" t="str">
        <f>CONCATENATE("          ", "4100", " - ", "NON-TAXABLE SALES")</f>
        <v xml:space="preserve">          4100 - NON-TAXABLE SALES</v>
      </c>
      <c r="C14" s="11"/>
      <c r="D14" s="3">
        <f>--281.45</f>
        <v>281.45</v>
      </c>
      <c r="E14" s="3"/>
      <c r="F14" s="19"/>
      <c r="G14" s="3"/>
      <c r="H14" s="3">
        <v>0</v>
      </c>
      <c r="I14" s="3"/>
      <c r="J14" s="19"/>
      <c r="K14" s="3"/>
      <c r="L14" s="3">
        <f t="shared" si="0"/>
        <v>281.45</v>
      </c>
      <c r="M14" s="3"/>
      <c r="N14" s="19">
        <f t="shared" si="1"/>
        <v>0</v>
      </c>
      <c r="O14" s="11"/>
      <c r="P14" s="3">
        <f>--281.45</f>
        <v>281.45</v>
      </c>
      <c r="Q14" s="3"/>
      <c r="R14" s="19"/>
      <c r="S14" s="3"/>
      <c r="T14" s="3">
        <v>0</v>
      </c>
      <c r="U14" s="3"/>
      <c r="V14" s="19"/>
      <c r="W14" s="3"/>
      <c r="X14" s="3">
        <f t="shared" si="2"/>
        <v>281.45</v>
      </c>
      <c r="Y14" s="3"/>
      <c r="Z14" s="19">
        <f t="shared" si="3"/>
        <v>0</v>
      </c>
    </row>
    <row r="15" spans="1:26" s="24" customFormat="1" hidden="1" outlineLevel="1" x14ac:dyDescent="0.3">
      <c r="A15" s="44"/>
      <c r="B15" s="11" t="str">
        <f>CONCATENATE("          ", "4146", " - ", "NON-TAXABLE SALES-COIN OP MACH")</f>
        <v xml:space="preserve">          4146 - NON-TAXABLE SALES-COIN OP MACH</v>
      </c>
      <c r="C15" s="11"/>
      <c r="D15" s="3">
        <f>--20.2</f>
        <v>20.2</v>
      </c>
      <c r="E15" s="3"/>
      <c r="F15" s="19"/>
      <c r="G15" s="3"/>
      <c r="H15" s="3"/>
      <c r="I15" s="3"/>
      <c r="J15" s="19"/>
      <c r="K15" s="3"/>
      <c r="L15" s="3">
        <f t="shared" si="0"/>
        <v>20.2</v>
      </c>
      <c r="M15" s="3"/>
      <c r="N15" s="19">
        <f t="shared" si="1"/>
        <v>0</v>
      </c>
      <c r="O15" s="11"/>
      <c r="P15" s="3">
        <f>--20.2</f>
        <v>20.2</v>
      </c>
      <c r="Q15" s="3"/>
      <c r="R15" s="19"/>
      <c r="S15" s="3"/>
      <c r="T15" s="3"/>
      <c r="U15" s="3"/>
      <c r="V15" s="19"/>
      <c r="W15" s="3"/>
      <c r="X15" s="3">
        <f t="shared" si="2"/>
        <v>20.2</v>
      </c>
      <c r="Y15" s="3"/>
      <c r="Z15" s="19">
        <f t="shared" si="3"/>
        <v>0</v>
      </c>
    </row>
    <row r="16" spans="1:26" x14ac:dyDescent="0.3">
      <c r="A16" s="9"/>
      <c r="B16" s="10"/>
      <c r="C16" s="9"/>
      <c r="D16" s="2"/>
      <c r="E16" s="2"/>
      <c r="F16" s="6"/>
      <c r="G16" s="2"/>
      <c r="H16" s="2"/>
      <c r="I16" s="2"/>
      <c r="J16" s="6"/>
      <c r="K16" s="2"/>
      <c r="L16" s="2"/>
      <c r="M16" s="2"/>
      <c r="N16" s="6"/>
      <c r="P16" s="2"/>
      <c r="Q16" s="2"/>
      <c r="R16" s="6"/>
      <c r="S16" s="2"/>
      <c r="T16" s="2"/>
      <c r="U16" s="2"/>
      <c r="V16" s="6"/>
      <c r="W16" s="2"/>
      <c r="X16" s="2"/>
      <c r="Y16" s="2"/>
      <c r="Z16" s="6"/>
    </row>
    <row r="17" spans="1:26" s="23" customFormat="1" collapsed="1" x14ac:dyDescent="0.3">
      <c r="A17" s="10"/>
      <c r="B17" s="25" t="s">
        <v>257</v>
      </c>
      <c r="C17" s="10"/>
      <c r="D17" s="4">
        <f>SUM(OSRRefD16x_0)</f>
        <v>0</v>
      </c>
      <c r="E17" s="4"/>
      <c r="F17" s="12">
        <f t="shared" ref="F17:F18" si="4">IF(D$12=0,0,D17/D$12)</f>
        <v>0</v>
      </c>
      <c r="G17" s="4"/>
      <c r="H17" s="4">
        <f>SUM(OSRRefH16x_0)</f>
        <v>0</v>
      </c>
      <c r="I17" s="4"/>
      <c r="J17" s="12">
        <f t="shared" ref="J17:J18" si="5">IF(H$12=0,0,H17/H$12)</f>
        <v>0</v>
      </c>
      <c r="K17" s="4"/>
      <c r="L17" s="4">
        <f t="shared" ref="L17:L18" si="6">+D17-H17</f>
        <v>0</v>
      </c>
      <c r="M17" s="4"/>
      <c r="N17" s="12">
        <f t="shared" ref="N17:N18" si="7">IF(H17=0,0,L17/H17)</f>
        <v>0</v>
      </c>
      <c r="O17" s="10"/>
      <c r="P17" s="4">
        <f>SUM(OSRRefP16x_0)</f>
        <v>0</v>
      </c>
      <c r="Q17" s="4"/>
      <c r="R17" s="12">
        <f t="shared" ref="R17:R18" si="8">IF(P$12=0,0,P17/P$12)</f>
        <v>0</v>
      </c>
      <c r="S17" s="4"/>
      <c r="T17" s="4">
        <f>SUM(OSRRefT16x_0)</f>
        <v>0</v>
      </c>
      <c r="U17" s="4"/>
      <c r="V17" s="12">
        <f t="shared" ref="V17:V18" si="9">IF(T$12=0,0,T17/T$12)</f>
        <v>0</v>
      </c>
      <c r="W17" s="4"/>
      <c r="X17" s="4">
        <f t="shared" ref="X17:X18" si="10">+P17-T17</f>
        <v>0</v>
      </c>
      <c r="Y17" s="4"/>
      <c r="Z17" s="12">
        <f t="shared" ref="Z17:Z18" si="11">IF(T17=0,0,X17/T17)</f>
        <v>0</v>
      </c>
    </row>
    <row r="18" spans="1:26" s="24" customFormat="1" hidden="1" outlineLevel="1" x14ac:dyDescent="0.3">
      <c r="A18" s="44"/>
      <c r="B18" s="11" t="str">
        <f>CONCATENATE("          ", "5000", " - ", "PURCHASES @ COST")</f>
        <v xml:space="preserve">          5000 - PURCHASES @ COST</v>
      </c>
      <c r="C18" s="11"/>
      <c r="D18" s="3"/>
      <c r="E18" s="3"/>
      <c r="F18" s="19">
        <f t="shared" si="4"/>
        <v>0</v>
      </c>
      <c r="G18" s="3"/>
      <c r="H18" s="3">
        <v>0</v>
      </c>
      <c r="I18" s="3"/>
      <c r="J18" s="19">
        <f t="shared" si="5"/>
        <v>0</v>
      </c>
      <c r="K18" s="3"/>
      <c r="L18" s="3">
        <f t="shared" si="6"/>
        <v>0</v>
      </c>
      <c r="M18" s="3"/>
      <c r="N18" s="19">
        <f t="shared" si="7"/>
        <v>0</v>
      </c>
      <c r="O18" s="11"/>
      <c r="P18" s="3"/>
      <c r="Q18" s="3"/>
      <c r="R18" s="19">
        <f t="shared" si="8"/>
        <v>0</v>
      </c>
      <c r="S18" s="3"/>
      <c r="T18" s="3">
        <v>0</v>
      </c>
      <c r="U18" s="3"/>
      <c r="V18" s="19">
        <f t="shared" si="9"/>
        <v>0</v>
      </c>
      <c r="W18" s="3"/>
      <c r="X18" s="3">
        <f t="shared" si="10"/>
        <v>0</v>
      </c>
      <c r="Y18" s="3"/>
      <c r="Z18" s="19">
        <f t="shared" si="11"/>
        <v>0</v>
      </c>
    </row>
    <row r="19" spans="1:26" x14ac:dyDescent="0.3">
      <c r="A19" s="9"/>
      <c r="B19" s="10"/>
      <c r="C19" s="10"/>
      <c r="D19" s="2"/>
      <c r="E19" s="2"/>
      <c r="F19" s="6"/>
      <c r="G19" s="2"/>
      <c r="H19" s="2"/>
      <c r="I19" s="2"/>
      <c r="J19" s="6"/>
      <c r="K19" s="2"/>
      <c r="L19" s="2"/>
      <c r="M19" s="2"/>
      <c r="N19" s="6"/>
      <c r="O19" s="10"/>
      <c r="P19" s="2"/>
      <c r="Q19" s="2"/>
      <c r="R19" s="6"/>
      <c r="S19" s="2"/>
      <c r="T19" s="2"/>
      <c r="U19" s="2"/>
      <c r="V19" s="6"/>
      <c r="W19" s="2"/>
      <c r="X19" s="2"/>
      <c r="Y19" s="2"/>
      <c r="Z19" s="6"/>
    </row>
    <row r="20" spans="1:26" s="23" customFormat="1" x14ac:dyDescent="0.3">
      <c r="A20" s="10"/>
      <c r="B20" s="26" t="s">
        <v>108</v>
      </c>
      <c r="C20" s="26"/>
      <c r="D20" s="21">
        <f>D12-D17</f>
        <v>2531.7999999999997</v>
      </c>
      <c r="E20" s="13"/>
      <c r="F20" s="22">
        <f>IF(D$12=0,0,D20/D$12)</f>
        <v>1</v>
      </c>
      <c r="G20" s="13"/>
      <c r="H20" s="21">
        <f>H12-H17</f>
        <v>2700</v>
      </c>
      <c r="I20" s="13"/>
      <c r="J20" s="22">
        <f>IF(H$12=0,0,H20/H$12)</f>
        <v>1</v>
      </c>
      <c r="K20" s="16"/>
      <c r="L20" s="21">
        <f>+D20-H20</f>
        <v>-168.20000000000027</v>
      </c>
      <c r="M20" s="16"/>
      <c r="N20" s="22">
        <f>IF(H20=0,0,L20/H20)</f>
        <v>-6.2296296296296398E-2</v>
      </c>
      <c r="O20" s="25"/>
      <c r="P20" s="21">
        <f>P12-P17</f>
        <v>2531.7999999999997</v>
      </c>
      <c r="Q20" s="13"/>
      <c r="R20" s="22">
        <f>IF(P$12=0,0,P20/P$12)</f>
        <v>1</v>
      </c>
      <c r="S20" s="13"/>
      <c r="T20" s="21">
        <f>T12-T17</f>
        <v>2700</v>
      </c>
      <c r="U20" s="13"/>
      <c r="V20" s="22">
        <f>IF(T$12=0,0,T20/T$12)</f>
        <v>1</v>
      </c>
      <c r="W20" s="16"/>
      <c r="X20" s="21">
        <f>+P20-T20</f>
        <v>-168.20000000000027</v>
      </c>
      <c r="Y20" s="16"/>
      <c r="Z20" s="22">
        <f>IF(T20=0,0,X20/T20)</f>
        <v>-6.2296296296296398E-2</v>
      </c>
    </row>
    <row r="21" spans="1:26" x14ac:dyDescent="0.3">
      <c r="A21" s="9"/>
      <c r="B21" s="10"/>
      <c r="C21" s="9"/>
      <c r="D21" s="1"/>
      <c r="E21" s="1"/>
      <c r="F21" s="5"/>
      <c r="G21" s="1"/>
      <c r="H21" s="1"/>
      <c r="I21" s="1"/>
      <c r="J21" s="5"/>
      <c r="K21" s="1"/>
      <c r="L21" s="1"/>
      <c r="M21" s="1"/>
      <c r="N21" s="5"/>
      <c r="O21" s="36"/>
      <c r="P21" s="1"/>
      <c r="Q21" s="1"/>
      <c r="R21" s="5"/>
      <c r="S21" s="1"/>
      <c r="T21" s="1"/>
      <c r="U21" s="1"/>
      <c r="V21" s="5"/>
      <c r="W21" s="1"/>
      <c r="X21" s="1"/>
      <c r="Y21" s="1"/>
      <c r="Z21" s="5"/>
    </row>
    <row r="22" spans="1:26" s="23" customFormat="1" x14ac:dyDescent="0.3">
      <c r="A22" s="10"/>
      <c r="B22" s="25" t="s">
        <v>295</v>
      </c>
      <c r="C22" s="10"/>
      <c r="D22" s="20">
        <f>SUM(OSRRefD22x_0)</f>
        <v>37658.879999999997</v>
      </c>
      <c r="E22" s="20"/>
      <c r="F22" s="32">
        <f t="shared" ref="F22:F32" si="12">IF(D$12=0,0,D22/D$12)</f>
        <v>14.874350264633858</v>
      </c>
      <c r="G22" s="20"/>
      <c r="H22" s="20">
        <f>SUM(OSRRefH22x_0)</f>
        <v>51276.78175528851</v>
      </c>
      <c r="I22" s="20"/>
      <c r="J22" s="32">
        <f t="shared" ref="J22:J32" si="13">IF(H$12=0,0,H22/H$12)</f>
        <v>18.991400650106854</v>
      </c>
      <c r="K22" s="4"/>
      <c r="L22" s="20">
        <f t="shared" ref="L22:L32" si="14">+D22-H22</f>
        <v>-13617.901755288513</v>
      </c>
      <c r="M22" s="4"/>
      <c r="N22" s="32">
        <f t="shared" ref="N22:N32" si="15">IF(H22=0,0,L22/H22)</f>
        <v>-0.26557637373340048</v>
      </c>
      <c r="O22" s="10"/>
      <c r="P22" s="20">
        <f>SUM(OSRRefP22x_0)</f>
        <v>37658.879999999997</v>
      </c>
      <c r="Q22" s="20"/>
      <c r="R22" s="32">
        <f t="shared" ref="R22:R32" si="16">IF(P$12=0,0,P22/P$12)</f>
        <v>14.874350264633858</v>
      </c>
      <c r="S22" s="20"/>
      <c r="T22" s="20">
        <f>SUM(OSRRefT22x_0)</f>
        <v>51276.78175528851</v>
      </c>
      <c r="U22" s="20"/>
      <c r="V22" s="32">
        <f t="shared" ref="V22:V32" si="17">IF(T$12=0,0,T22/T$12)</f>
        <v>18.991400650106854</v>
      </c>
      <c r="W22" s="4"/>
      <c r="X22" s="20">
        <f t="shared" ref="X22:X32" si="18">+P22-T22</f>
        <v>-13617.901755288513</v>
      </c>
      <c r="Y22" s="4"/>
      <c r="Z22" s="32">
        <f t="shared" ref="Z22:Z32" si="19">IF(T22=0,0,X22/T22)</f>
        <v>-0.26557637373340048</v>
      </c>
    </row>
    <row r="23" spans="1:26" s="27" customFormat="1" outlineLevel="1" collapsed="1" x14ac:dyDescent="0.3">
      <c r="A23" s="28"/>
      <c r="B23" s="14" t="str">
        <f>CONCATENATE("     ","*Benefits                                         ")</f>
        <v xml:space="preserve">     *Benefits                                         </v>
      </c>
      <c r="C23" s="14"/>
      <c r="D23" s="1">
        <f>SUM(OSRRefD22_0x_0)</f>
        <v>8921.32</v>
      </c>
      <c r="E23" s="1"/>
      <c r="F23" s="5">
        <f t="shared" si="12"/>
        <v>3.5237064539063119</v>
      </c>
      <c r="G23" s="1"/>
      <c r="H23" s="1">
        <f>SUM(OSRRefH22_0x_0)</f>
        <v>10107.440409134611</v>
      </c>
      <c r="I23" s="1"/>
      <c r="J23" s="5">
        <f t="shared" si="13"/>
        <v>3.743496447827634</v>
      </c>
      <c r="K23" s="1"/>
      <c r="L23" s="1">
        <f t="shared" si="14"/>
        <v>-1186.1204091346117</v>
      </c>
      <c r="M23" s="1"/>
      <c r="N23" s="5">
        <f t="shared" si="15"/>
        <v>-0.11735121466188947</v>
      </c>
      <c r="O23" s="14"/>
      <c r="P23" s="1">
        <f>SUM(OSRRefP22_0x_0)</f>
        <v>8921.32</v>
      </c>
      <c r="Q23" s="1"/>
      <c r="R23" s="5">
        <f t="shared" si="16"/>
        <v>3.5237064539063119</v>
      </c>
      <c r="S23" s="1"/>
      <c r="T23" s="1">
        <f>SUM(OSRRefT22_0x_0)</f>
        <v>10107.440409134611</v>
      </c>
      <c r="U23" s="1"/>
      <c r="V23" s="5">
        <f t="shared" si="17"/>
        <v>3.743496447827634</v>
      </c>
      <c r="W23" s="1"/>
      <c r="X23" s="1">
        <f t="shared" si="18"/>
        <v>-1186.1204091346117</v>
      </c>
      <c r="Y23" s="1"/>
      <c r="Z23" s="5">
        <f t="shared" si="19"/>
        <v>-0.11735121466188947</v>
      </c>
    </row>
    <row r="24" spans="1:26" s="24" customFormat="1" hidden="1" outlineLevel="2" x14ac:dyDescent="0.3">
      <c r="A24" s="29"/>
      <c r="B24" s="11" t="str">
        <f>CONCATENATE("          ", "6111", " - ", "F.I.C.A.")</f>
        <v xml:space="preserve">          6111 - F.I.C.A.</v>
      </c>
      <c r="C24" s="11"/>
      <c r="D24" s="8">
        <v>1247.51</v>
      </c>
      <c r="E24" s="3"/>
      <c r="F24" s="7">
        <f t="shared" si="12"/>
        <v>0.49273639308002215</v>
      </c>
      <c r="G24" s="3"/>
      <c r="H24" s="8">
        <v>1583.7184427884599</v>
      </c>
      <c r="I24" s="3"/>
      <c r="J24" s="7">
        <f t="shared" si="13"/>
        <v>0.5865623862179481</v>
      </c>
      <c r="K24" s="3"/>
      <c r="L24" s="8">
        <f t="shared" si="14"/>
        <v>-336.20844278845993</v>
      </c>
      <c r="M24" s="3"/>
      <c r="N24" s="7">
        <f t="shared" si="15"/>
        <v>-0.21229053959648048</v>
      </c>
      <c r="O24" s="11"/>
      <c r="P24" s="8">
        <v>1247.51</v>
      </c>
      <c r="Q24" s="3"/>
      <c r="R24" s="7">
        <f t="shared" si="16"/>
        <v>0.49273639308002215</v>
      </c>
      <c r="S24" s="3"/>
      <c r="T24" s="8">
        <v>1583.7184427884599</v>
      </c>
      <c r="U24" s="3"/>
      <c r="V24" s="7">
        <f t="shared" si="17"/>
        <v>0.5865623862179481</v>
      </c>
      <c r="W24" s="3"/>
      <c r="X24" s="8">
        <f t="shared" si="18"/>
        <v>-336.20844278845993</v>
      </c>
      <c r="Y24" s="3"/>
      <c r="Z24" s="7">
        <f t="shared" si="19"/>
        <v>-0.21229053959648048</v>
      </c>
    </row>
    <row r="25" spans="1:26" s="24" customFormat="1" hidden="1" outlineLevel="2" x14ac:dyDescent="0.3">
      <c r="A25" s="29"/>
      <c r="B25" s="11" t="str">
        <f>CONCATENATE("          ", "6112", " - ", "COMPENSATION INSURANCE")</f>
        <v xml:space="preserve">          6112 - COMPENSATION INSURANCE</v>
      </c>
      <c r="C25" s="11"/>
      <c r="D25" s="8">
        <v>251.73</v>
      </c>
      <c r="E25" s="3"/>
      <c r="F25" s="7">
        <f t="shared" si="12"/>
        <v>9.9427284935618934E-2</v>
      </c>
      <c r="G25" s="3"/>
      <c r="H25" s="8">
        <v>322.82774999999998</v>
      </c>
      <c r="I25" s="3"/>
      <c r="J25" s="7">
        <f t="shared" si="13"/>
        <v>0.11956583333333333</v>
      </c>
      <c r="K25" s="3"/>
      <c r="L25" s="8">
        <f t="shared" si="14"/>
        <v>-71.097749999999991</v>
      </c>
      <c r="M25" s="3"/>
      <c r="N25" s="7">
        <f t="shared" si="15"/>
        <v>-0.22023432000501814</v>
      </c>
      <c r="O25" s="11"/>
      <c r="P25" s="8">
        <v>251.73</v>
      </c>
      <c r="Q25" s="3"/>
      <c r="R25" s="7">
        <f t="shared" si="16"/>
        <v>9.9427284935618934E-2</v>
      </c>
      <c r="S25" s="3"/>
      <c r="T25" s="8">
        <v>322.82774999999998</v>
      </c>
      <c r="U25" s="3"/>
      <c r="V25" s="7">
        <f t="shared" si="17"/>
        <v>0.11956583333333333</v>
      </c>
      <c r="W25" s="3"/>
      <c r="X25" s="8">
        <f t="shared" si="18"/>
        <v>-71.097749999999991</v>
      </c>
      <c r="Y25" s="3"/>
      <c r="Z25" s="7">
        <f t="shared" si="19"/>
        <v>-0.22023432000501814</v>
      </c>
    </row>
    <row r="26" spans="1:26" s="24" customFormat="1" hidden="1" outlineLevel="2" x14ac:dyDescent="0.3">
      <c r="A26" s="29"/>
      <c r="B26" s="11" t="str">
        <f>CONCATENATE("          ", "6113", " - ", "GROUP INSURANCE")</f>
        <v xml:space="preserve">          6113 - GROUP INSURANCE</v>
      </c>
      <c r="C26" s="11"/>
      <c r="D26" s="8">
        <v>3410.23</v>
      </c>
      <c r="E26" s="3"/>
      <c r="F26" s="7">
        <f t="shared" si="12"/>
        <v>1.3469586855201834</v>
      </c>
      <c r="G26" s="3"/>
      <c r="H26" s="8">
        <v>3303</v>
      </c>
      <c r="I26" s="3"/>
      <c r="J26" s="7">
        <f t="shared" si="13"/>
        <v>1.2233333333333334</v>
      </c>
      <c r="K26" s="3"/>
      <c r="L26" s="8">
        <f t="shared" si="14"/>
        <v>107.23000000000002</v>
      </c>
      <c r="M26" s="3"/>
      <c r="N26" s="7">
        <f t="shared" si="15"/>
        <v>3.2464426279140181E-2</v>
      </c>
      <c r="O26" s="11"/>
      <c r="P26" s="8">
        <v>3410.23</v>
      </c>
      <c r="Q26" s="3"/>
      <c r="R26" s="7">
        <f t="shared" si="16"/>
        <v>1.3469586855201834</v>
      </c>
      <c r="S26" s="3"/>
      <c r="T26" s="8">
        <v>3303</v>
      </c>
      <c r="U26" s="3"/>
      <c r="V26" s="7">
        <f t="shared" si="17"/>
        <v>1.2233333333333334</v>
      </c>
      <c r="W26" s="3"/>
      <c r="X26" s="8">
        <f t="shared" si="18"/>
        <v>107.23000000000002</v>
      </c>
      <c r="Y26" s="3"/>
      <c r="Z26" s="7">
        <f t="shared" si="19"/>
        <v>3.2464426279140181E-2</v>
      </c>
    </row>
    <row r="27" spans="1:26" s="24" customFormat="1" hidden="1" outlineLevel="2" x14ac:dyDescent="0.3">
      <c r="A27" s="29"/>
      <c r="B27" s="11" t="str">
        <f>CONCATENATE("          ", "6114", " - ", "STATE UNEMPLOYMENT INSURANCE")</f>
        <v xml:space="preserve">          6114 - STATE UNEMPLOYMENT INSURANCE</v>
      </c>
      <c r="C27" s="11"/>
      <c r="D27" s="8">
        <v>44.22</v>
      </c>
      <c r="E27" s="3"/>
      <c r="F27" s="7">
        <f t="shared" si="12"/>
        <v>1.7465834584090373E-2</v>
      </c>
      <c r="G27" s="3"/>
      <c r="H27" s="8">
        <v>43.457581730769199</v>
      </c>
      <c r="I27" s="3"/>
      <c r="J27" s="7">
        <f t="shared" si="13"/>
        <v>1.6095400641025628E-2</v>
      </c>
      <c r="K27" s="3"/>
      <c r="L27" s="8">
        <f t="shared" si="14"/>
        <v>0.76241826923079969</v>
      </c>
      <c r="M27" s="3"/>
      <c r="N27" s="7">
        <f t="shared" si="15"/>
        <v>1.7543964456056833E-2</v>
      </c>
      <c r="O27" s="11"/>
      <c r="P27" s="8">
        <v>44.22</v>
      </c>
      <c r="Q27" s="3"/>
      <c r="R27" s="7">
        <f t="shared" si="16"/>
        <v>1.7465834584090373E-2</v>
      </c>
      <c r="S27" s="3"/>
      <c r="T27" s="8">
        <v>43.457581730769199</v>
      </c>
      <c r="U27" s="3"/>
      <c r="V27" s="7">
        <f t="shared" si="17"/>
        <v>1.6095400641025628E-2</v>
      </c>
      <c r="W27" s="3"/>
      <c r="X27" s="8">
        <f t="shared" si="18"/>
        <v>0.76241826923079969</v>
      </c>
      <c r="Y27" s="3"/>
      <c r="Z27" s="7">
        <f t="shared" si="19"/>
        <v>1.7543964456056833E-2</v>
      </c>
    </row>
    <row r="28" spans="1:26" s="24" customFormat="1" hidden="1" outlineLevel="2" x14ac:dyDescent="0.3">
      <c r="A28" s="29"/>
      <c r="B28" s="11" t="str">
        <f>CONCATENATE("          ", "6115", " - ", "P.E.R.S.")</f>
        <v xml:space="preserve">          6115 - P.E.R.S.</v>
      </c>
      <c r="C28" s="11"/>
      <c r="D28" s="8">
        <v>1590.79</v>
      </c>
      <c r="E28" s="3"/>
      <c r="F28" s="7">
        <f t="shared" si="12"/>
        <v>0.62832372225294264</v>
      </c>
      <c r="G28" s="3"/>
      <c r="H28" s="8">
        <v>1779.6914423076901</v>
      </c>
      <c r="I28" s="3"/>
      <c r="J28" s="7">
        <f t="shared" si="13"/>
        <v>0.65914497863247778</v>
      </c>
      <c r="K28" s="3"/>
      <c r="L28" s="8">
        <f t="shared" si="14"/>
        <v>-188.9014423076901</v>
      </c>
      <c r="M28" s="3"/>
      <c r="N28" s="7">
        <f t="shared" si="15"/>
        <v>-0.10614280532963928</v>
      </c>
      <c r="O28" s="11"/>
      <c r="P28" s="8">
        <v>1590.79</v>
      </c>
      <c r="Q28" s="3"/>
      <c r="R28" s="7">
        <f t="shared" si="16"/>
        <v>0.62832372225294264</v>
      </c>
      <c r="S28" s="3"/>
      <c r="T28" s="8">
        <v>1779.6914423076901</v>
      </c>
      <c r="U28" s="3"/>
      <c r="V28" s="7">
        <f t="shared" si="17"/>
        <v>0.65914497863247778</v>
      </c>
      <c r="W28" s="3"/>
      <c r="X28" s="8">
        <f t="shared" si="18"/>
        <v>-188.9014423076901</v>
      </c>
      <c r="Y28" s="3"/>
      <c r="Z28" s="7">
        <f t="shared" si="19"/>
        <v>-0.10614280532963928</v>
      </c>
    </row>
    <row r="29" spans="1:26" s="24" customFormat="1" hidden="1" outlineLevel="2" x14ac:dyDescent="0.3">
      <c r="A29" s="29"/>
      <c r="B29" s="11" t="str">
        <f>CONCATENATE("          ", "6116", " - ", "EDUCATIONAL BENEFITS")</f>
        <v xml:space="preserve">          6116 - EDUCATIONAL BENEFITS</v>
      </c>
      <c r="C29" s="11"/>
      <c r="D29" s="8"/>
      <c r="E29" s="3"/>
      <c r="F29" s="7">
        <f t="shared" si="12"/>
        <v>0</v>
      </c>
      <c r="G29" s="3"/>
      <c r="H29" s="8">
        <v>0</v>
      </c>
      <c r="I29" s="3"/>
      <c r="J29" s="7">
        <f t="shared" si="13"/>
        <v>0</v>
      </c>
      <c r="K29" s="3"/>
      <c r="L29" s="8">
        <f t="shared" si="14"/>
        <v>0</v>
      </c>
      <c r="M29" s="3"/>
      <c r="N29" s="7">
        <f t="shared" si="15"/>
        <v>0</v>
      </c>
      <c r="O29" s="11"/>
      <c r="P29" s="8"/>
      <c r="Q29" s="3"/>
      <c r="R29" s="7">
        <f t="shared" si="16"/>
        <v>0</v>
      </c>
      <c r="S29" s="3"/>
      <c r="T29" s="8">
        <v>0</v>
      </c>
      <c r="U29" s="3"/>
      <c r="V29" s="7">
        <f t="shared" si="17"/>
        <v>0</v>
      </c>
      <c r="W29" s="3"/>
      <c r="X29" s="8">
        <f t="shared" si="18"/>
        <v>0</v>
      </c>
      <c r="Y29" s="3"/>
      <c r="Z29" s="7">
        <f t="shared" si="19"/>
        <v>0</v>
      </c>
    </row>
    <row r="30" spans="1:26" s="24" customFormat="1" hidden="1" outlineLevel="2" x14ac:dyDescent="0.3">
      <c r="A30" s="29"/>
      <c r="B30" s="11" t="str">
        <f>CONCATENATE("          ", "6118", " - ", "VACATION")</f>
        <v xml:space="preserve">          6118 - VACATION</v>
      </c>
      <c r="C30" s="11"/>
      <c r="D30" s="8">
        <v>1216.0999999999999</v>
      </c>
      <c r="E30" s="3"/>
      <c r="F30" s="7">
        <f t="shared" si="12"/>
        <v>0.48033019985780867</v>
      </c>
      <c r="G30" s="3"/>
      <c r="H30" s="8">
        <v>1736.78798076923</v>
      </c>
      <c r="I30" s="3"/>
      <c r="J30" s="7">
        <f t="shared" si="13"/>
        <v>0.64325480769230736</v>
      </c>
      <c r="K30" s="3"/>
      <c r="L30" s="8">
        <f t="shared" si="14"/>
        <v>-520.68798076923008</v>
      </c>
      <c r="M30" s="3"/>
      <c r="N30" s="7">
        <f t="shared" si="15"/>
        <v>-0.29979939205856054</v>
      </c>
      <c r="O30" s="11"/>
      <c r="P30" s="8">
        <v>1216.0999999999999</v>
      </c>
      <c r="Q30" s="3"/>
      <c r="R30" s="7">
        <f t="shared" si="16"/>
        <v>0.48033019985780867</v>
      </c>
      <c r="S30" s="3"/>
      <c r="T30" s="8">
        <v>1736.78798076923</v>
      </c>
      <c r="U30" s="3"/>
      <c r="V30" s="7">
        <f t="shared" si="17"/>
        <v>0.64325480769230736</v>
      </c>
      <c r="W30" s="3"/>
      <c r="X30" s="8">
        <f t="shared" si="18"/>
        <v>-520.68798076923008</v>
      </c>
      <c r="Y30" s="3"/>
      <c r="Z30" s="7">
        <f t="shared" si="19"/>
        <v>-0.29979939205856054</v>
      </c>
    </row>
    <row r="31" spans="1:26" s="24" customFormat="1" hidden="1" outlineLevel="2" x14ac:dyDescent="0.3">
      <c r="A31" s="29"/>
      <c r="B31" s="11" t="str">
        <f>CONCATENATE("          ", "6119", " - ", "SICK LEAVE")</f>
        <v xml:space="preserve">          6119 - SICK LEAVE</v>
      </c>
      <c r="C31" s="11"/>
      <c r="D31" s="8">
        <v>738.5</v>
      </c>
      <c r="E31" s="3"/>
      <c r="F31" s="7">
        <f t="shared" si="12"/>
        <v>0.29168970692787743</v>
      </c>
      <c r="G31" s="3"/>
      <c r="H31" s="8">
        <v>812.95721153846205</v>
      </c>
      <c r="I31" s="3"/>
      <c r="J31" s="7">
        <f t="shared" si="13"/>
        <v>0.30109526353276372</v>
      </c>
      <c r="K31" s="3"/>
      <c r="L31" s="8">
        <f t="shared" si="14"/>
        <v>-74.457211538462047</v>
      </c>
      <c r="M31" s="3"/>
      <c r="N31" s="7">
        <f t="shared" si="15"/>
        <v>-9.15881063377951E-2</v>
      </c>
      <c r="O31" s="11"/>
      <c r="P31" s="8">
        <v>738.5</v>
      </c>
      <c r="Q31" s="3"/>
      <c r="R31" s="7">
        <f t="shared" si="16"/>
        <v>0.29168970692787743</v>
      </c>
      <c r="S31" s="3"/>
      <c r="T31" s="8">
        <v>812.95721153846205</v>
      </c>
      <c r="U31" s="3"/>
      <c r="V31" s="7">
        <f t="shared" si="17"/>
        <v>0.30109526353276372</v>
      </c>
      <c r="W31" s="3"/>
      <c r="X31" s="8">
        <f t="shared" si="18"/>
        <v>-74.457211538462047</v>
      </c>
      <c r="Y31" s="3"/>
      <c r="Z31" s="7">
        <f t="shared" si="19"/>
        <v>-9.15881063377951E-2</v>
      </c>
    </row>
    <row r="32" spans="1:26" s="24" customFormat="1" hidden="1" outlineLevel="2" x14ac:dyDescent="0.3">
      <c r="A32" s="29"/>
      <c r="B32" s="11" t="str">
        <f>CONCATENATE("          ", "6156", " - ", "EMPLOYEE MEALS")</f>
        <v xml:space="preserve">          6156 - EMPLOYEE MEALS</v>
      </c>
      <c r="C32" s="11"/>
      <c r="D32" s="8">
        <v>422.24</v>
      </c>
      <c r="E32" s="3"/>
      <c r="F32" s="7">
        <f t="shared" si="12"/>
        <v>0.16677462674776841</v>
      </c>
      <c r="G32" s="3"/>
      <c r="H32" s="8">
        <v>525</v>
      </c>
      <c r="I32" s="3"/>
      <c r="J32" s="7">
        <f t="shared" si="13"/>
        <v>0.19444444444444445</v>
      </c>
      <c r="K32" s="3"/>
      <c r="L32" s="8">
        <f t="shared" si="14"/>
        <v>-102.75999999999999</v>
      </c>
      <c r="M32" s="3"/>
      <c r="N32" s="7">
        <f t="shared" si="15"/>
        <v>-0.19573333333333331</v>
      </c>
      <c r="O32" s="11"/>
      <c r="P32" s="8">
        <v>422.24</v>
      </c>
      <c r="Q32" s="3"/>
      <c r="R32" s="7">
        <f t="shared" si="16"/>
        <v>0.16677462674776841</v>
      </c>
      <c r="S32" s="3"/>
      <c r="T32" s="8">
        <v>525</v>
      </c>
      <c r="U32" s="3"/>
      <c r="V32" s="7">
        <f t="shared" si="17"/>
        <v>0.19444444444444445</v>
      </c>
      <c r="W32" s="3"/>
      <c r="X32" s="8">
        <f t="shared" si="18"/>
        <v>-102.75999999999999</v>
      </c>
      <c r="Y32" s="3"/>
      <c r="Z32" s="7">
        <f t="shared" si="19"/>
        <v>-0.19573333333333331</v>
      </c>
    </row>
    <row r="33" spans="1:26" s="27" customFormat="1" outlineLevel="1" collapsed="1" x14ac:dyDescent="0.3">
      <c r="A33" s="28"/>
      <c r="B33" s="14" t="str">
        <f>CONCATENATE("     ","*Payroll                                          ")</f>
        <v xml:space="preserve">     *Payroll                                          </v>
      </c>
      <c r="C33" s="14"/>
      <c r="D33" s="1">
        <f>SUM(OSRRefD22_1x_0)</f>
        <v>19441.55</v>
      </c>
      <c r="E33" s="1"/>
      <c r="F33" s="5">
        <f t="shared" ref="F33:F43" si="20">IF(D$12=0,0,D33/D$12)</f>
        <v>7.678943834426101</v>
      </c>
      <c r="G33" s="1"/>
      <c r="H33" s="1">
        <f>SUM(OSRRefH22_1x_0)</f>
        <v>18144.341346153898</v>
      </c>
      <c r="I33" s="1"/>
      <c r="J33" s="5">
        <f t="shared" ref="J33:J43" si="21">IF(H$12=0,0,H33/H$12)</f>
        <v>6.7201264245014443</v>
      </c>
      <c r="K33" s="1"/>
      <c r="L33" s="1">
        <f t="shared" ref="L33:L43" si="22">+D33-H33</f>
        <v>1297.2086538461008</v>
      </c>
      <c r="M33" s="1"/>
      <c r="N33" s="5">
        <f t="shared" ref="N33:N43" si="23">IF(H33=0,0,L33/H33)</f>
        <v>7.1493840922534968E-2</v>
      </c>
      <c r="O33" s="14"/>
      <c r="P33" s="1">
        <f>SUM(OSRRefP22_1x_0)</f>
        <v>19441.55</v>
      </c>
      <c r="Q33" s="1"/>
      <c r="R33" s="5">
        <f t="shared" ref="R33:R43" si="24">IF(P$12=0,0,P33/P$12)</f>
        <v>7.678943834426101</v>
      </c>
      <c r="S33" s="1"/>
      <c r="T33" s="1">
        <f>SUM(OSRRefT22_1x_0)</f>
        <v>18144.341346153898</v>
      </c>
      <c r="U33" s="1"/>
      <c r="V33" s="5">
        <f t="shared" ref="V33:V43" si="25">IF(T$12=0,0,T33/T$12)</f>
        <v>6.7201264245014443</v>
      </c>
      <c r="W33" s="1"/>
      <c r="X33" s="1">
        <f t="shared" ref="X33:X43" si="26">+P33-T33</f>
        <v>1297.2086538461008</v>
      </c>
      <c r="Y33" s="1"/>
      <c r="Z33" s="5">
        <f t="shared" ref="Z33:Z43" si="27">IF(T33=0,0,X33/T33)</f>
        <v>7.1493840922534968E-2</v>
      </c>
    </row>
    <row r="34" spans="1:26" s="24" customFormat="1" hidden="1" outlineLevel="2" x14ac:dyDescent="0.3">
      <c r="A34" s="29"/>
      <c r="B34" s="11" t="str">
        <f>CONCATENATE("          ", "6001", " - ", "ADMINISTRATIVE SALARIES")</f>
        <v xml:space="preserve">          6001 - ADMINISTRATIVE SALARIES</v>
      </c>
      <c r="C34" s="11"/>
      <c r="D34" s="8"/>
      <c r="E34" s="3"/>
      <c r="F34" s="7">
        <f t="shared" si="20"/>
        <v>0</v>
      </c>
      <c r="G34" s="3"/>
      <c r="H34" s="8">
        <v>0</v>
      </c>
      <c r="I34" s="3"/>
      <c r="J34" s="7">
        <f t="shared" si="21"/>
        <v>0</v>
      </c>
      <c r="K34" s="3"/>
      <c r="L34" s="8">
        <f t="shared" si="22"/>
        <v>0</v>
      </c>
      <c r="M34" s="3"/>
      <c r="N34" s="7">
        <f t="shared" si="23"/>
        <v>0</v>
      </c>
      <c r="O34" s="11"/>
      <c r="P34" s="8"/>
      <c r="Q34" s="3"/>
      <c r="R34" s="7">
        <f t="shared" si="24"/>
        <v>0</v>
      </c>
      <c r="S34" s="3"/>
      <c r="T34" s="8">
        <v>0</v>
      </c>
      <c r="U34" s="3"/>
      <c r="V34" s="7">
        <f t="shared" si="25"/>
        <v>0</v>
      </c>
      <c r="W34" s="3"/>
      <c r="X34" s="8">
        <f t="shared" si="26"/>
        <v>0</v>
      </c>
      <c r="Y34" s="3"/>
      <c r="Z34" s="7">
        <f t="shared" si="27"/>
        <v>0</v>
      </c>
    </row>
    <row r="35" spans="1:26" s="24" customFormat="1" hidden="1" outlineLevel="2" x14ac:dyDescent="0.3">
      <c r="A35" s="29"/>
      <c r="B35" s="11" t="str">
        <f>CONCATENATE("          ", "6002", " - ", "STAFF SALARIES")</f>
        <v xml:space="preserve">          6002 - STAFF SALARIES</v>
      </c>
      <c r="C35" s="11"/>
      <c r="D35" s="8">
        <v>18934.05</v>
      </c>
      <c r="E35" s="3"/>
      <c r="F35" s="7">
        <f t="shared" si="20"/>
        <v>7.4784935618927246</v>
      </c>
      <c r="G35" s="3"/>
      <c r="H35" s="8">
        <v>18144.341346153898</v>
      </c>
      <c r="I35" s="3"/>
      <c r="J35" s="7">
        <f t="shared" si="21"/>
        <v>6.7201264245014443</v>
      </c>
      <c r="K35" s="3"/>
      <c r="L35" s="8">
        <f t="shared" si="22"/>
        <v>789.70865384610079</v>
      </c>
      <c r="M35" s="3"/>
      <c r="N35" s="7">
        <f t="shared" si="23"/>
        <v>4.3523688117424957E-2</v>
      </c>
      <c r="O35" s="11"/>
      <c r="P35" s="8">
        <v>18934.05</v>
      </c>
      <c r="Q35" s="3"/>
      <c r="R35" s="7">
        <f t="shared" si="24"/>
        <v>7.4784935618927246</v>
      </c>
      <c r="S35" s="3"/>
      <c r="T35" s="8">
        <v>18144.341346153898</v>
      </c>
      <c r="U35" s="3"/>
      <c r="V35" s="7">
        <f t="shared" si="25"/>
        <v>6.7201264245014443</v>
      </c>
      <c r="W35" s="3"/>
      <c r="X35" s="8">
        <f t="shared" si="26"/>
        <v>789.70865384610079</v>
      </c>
      <c r="Y35" s="3"/>
      <c r="Z35" s="7">
        <f t="shared" si="27"/>
        <v>4.3523688117424957E-2</v>
      </c>
    </row>
    <row r="36" spans="1:26" s="24" customFormat="1" hidden="1" outlineLevel="2" x14ac:dyDescent="0.3">
      <c r="A36" s="29"/>
      <c r="B36" s="11" t="str">
        <f>CONCATENATE("          ", "6003", " - ", "STAFF HOURLY-9 MONTH")</f>
        <v xml:space="preserve">          6003 - STAFF HOURLY-9 MONTH</v>
      </c>
      <c r="C36" s="11"/>
      <c r="D36" s="8"/>
      <c r="E36" s="3"/>
      <c r="F36" s="7">
        <f t="shared" si="20"/>
        <v>0</v>
      </c>
      <c r="G36" s="3"/>
      <c r="H36" s="8">
        <v>0</v>
      </c>
      <c r="I36" s="3"/>
      <c r="J36" s="7">
        <f t="shared" si="21"/>
        <v>0</v>
      </c>
      <c r="K36" s="3"/>
      <c r="L36" s="8">
        <f t="shared" si="22"/>
        <v>0</v>
      </c>
      <c r="M36" s="3"/>
      <c r="N36" s="7">
        <f t="shared" si="23"/>
        <v>0</v>
      </c>
      <c r="O36" s="11"/>
      <c r="P36" s="8"/>
      <c r="Q36" s="3"/>
      <c r="R36" s="7">
        <f t="shared" si="24"/>
        <v>0</v>
      </c>
      <c r="S36" s="3"/>
      <c r="T36" s="8">
        <v>0</v>
      </c>
      <c r="U36" s="3"/>
      <c r="V36" s="7">
        <f t="shared" si="25"/>
        <v>0</v>
      </c>
      <c r="W36" s="3"/>
      <c r="X36" s="8">
        <f t="shared" si="26"/>
        <v>0</v>
      </c>
      <c r="Y36" s="3"/>
      <c r="Z36" s="7">
        <f t="shared" si="27"/>
        <v>0</v>
      </c>
    </row>
    <row r="37" spans="1:26" s="24" customFormat="1" hidden="1" outlineLevel="2" x14ac:dyDescent="0.3">
      <c r="A37" s="29"/>
      <c r="B37" s="11" t="str">
        <f>CONCATENATE("          ", "6004", " - ", "STAFF HOURLY")</f>
        <v xml:space="preserve">          6004 - STAFF HOURLY</v>
      </c>
      <c r="C37" s="11"/>
      <c r="D37" s="8"/>
      <c r="E37" s="3"/>
      <c r="F37" s="7">
        <f t="shared" si="20"/>
        <v>0</v>
      </c>
      <c r="G37" s="3"/>
      <c r="H37" s="8">
        <v>0</v>
      </c>
      <c r="I37" s="3"/>
      <c r="J37" s="7">
        <f t="shared" si="21"/>
        <v>0</v>
      </c>
      <c r="K37" s="3"/>
      <c r="L37" s="8">
        <f t="shared" si="22"/>
        <v>0</v>
      </c>
      <c r="M37" s="3"/>
      <c r="N37" s="7">
        <f t="shared" si="23"/>
        <v>0</v>
      </c>
      <c r="O37" s="11"/>
      <c r="P37" s="8"/>
      <c r="Q37" s="3"/>
      <c r="R37" s="7">
        <f t="shared" si="24"/>
        <v>0</v>
      </c>
      <c r="S37" s="3"/>
      <c r="T37" s="8">
        <v>0</v>
      </c>
      <c r="U37" s="3"/>
      <c r="V37" s="7">
        <f t="shared" si="25"/>
        <v>0</v>
      </c>
      <c r="W37" s="3"/>
      <c r="X37" s="8">
        <f t="shared" si="26"/>
        <v>0</v>
      </c>
      <c r="Y37" s="3"/>
      <c r="Z37" s="7">
        <f t="shared" si="27"/>
        <v>0</v>
      </c>
    </row>
    <row r="38" spans="1:26" s="24" customFormat="1" hidden="1" outlineLevel="2" x14ac:dyDescent="0.3">
      <c r="A38" s="29"/>
      <c r="B38" s="11" t="str">
        <f>CONCATENATE("          ", "6005", " - ", "TEMPORARY WAGES-HOURLY")</f>
        <v xml:space="preserve">          6005 - TEMPORARY WAGES-HOURLY</v>
      </c>
      <c r="C38" s="11"/>
      <c r="D38" s="8"/>
      <c r="E38" s="3"/>
      <c r="F38" s="7">
        <f t="shared" si="20"/>
        <v>0</v>
      </c>
      <c r="G38" s="3"/>
      <c r="H38" s="8">
        <v>0</v>
      </c>
      <c r="I38" s="3"/>
      <c r="J38" s="7">
        <f t="shared" si="21"/>
        <v>0</v>
      </c>
      <c r="K38" s="3"/>
      <c r="L38" s="8">
        <f t="shared" si="22"/>
        <v>0</v>
      </c>
      <c r="M38" s="3"/>
      <c r="N38" s="7">
        <f t="shared" si="23"/>
        <v>0</v>
      </c>
      <c r="O38" s="11"/>
      <c r="P38" s="8"/>
      <c r="Q38" s="3"/>
      <c r="R38" s="7">
        <f t="shared" si="24"/>
        <v>0</v>
      </c>
      <c r="S38" s="3"/>
      <c r="T38" s="8">
        <v>0</v>
      </c>
      <c r="U38" s="3"/>
      <c r="V38" s="7">
        <f t="shared" si="25"/>
        <v>0</v>
      </c>
      <c r="W38" s="3"/>
      <c r="X38" s="8">
        <f t="shared" si="26"/>
        <v>0</v>
      </c>
      <c r="Y38" s="3"/>
      <c r="Z38" s="7">
        <f t="shared" si="27"/>
        <v>0</v>
      </c>
    </row>
    <row r="39" spans="1:26" s="24" customFormat="1" hidden="1" outlineLevel="2" x14ac:dyDescent="0.3">
      <c r="A39" s="29"/>
      <c r="B39" s="11" t="str">
        <f>CONCATENATE("          ", "6006", " - ", "TEMPORARY PART TIME")</f>
        <v xml:space="preserve">          6006 - TEMPORARY PART TIME</v>
      </c>
      <c r="C39" s="11"/>
      <c r="D39" s="8"/>
      <c r="E39" s="3"/>
      <c r="F39" s="7">
        <f t="shared" si="20"/>
        <v>0</v>
      </c>
      <c r="G39" s="3"/>
      <c r="H39" s="8">
        <v>0</v>
      </c>
      <c r="I39" s="3"/>
      <c r="J39" s="7">
        <f t="shared" si="21"/>
        <v>0</v>
      </c>
      <c r="K39" s="3"/>
      <c r="L39" s="8">
        <f t="shared" si="22"/>
        <v>0</v>
      </c>
      <c r="M39" s="3"/>
      <c r="N39" s="7">
        <f t="shared" si="23"/>
        <v>0</v>
      </c>
      <c r="O39" s="11"/>
      <c r="P39" s="8"/>
      <c r="Q39" s="3"/>
      <c r="R39" s="7">
        <f t="shared" si="24"/>
        <v>0</v>
      </c>
      <c r="S39" s="3"/>
      <c r="T39" s="8">
        <v>0</v>
      </c>
      <c r="U39" s="3"/>
      <c r="V39" s="7">
        <f t="shared" si="25"/>
        <v>0</v>
      </c>
      <c r="W39" s="3"/>
      <c r="X39" s="8">
        <f t="shared" si="26"/>
        <v>0</v>
      </c>
      <c r="Y39" s="3"/>
      <c r="Z39" s="7">
        <f t="shared" si="27"/>
        <v>0</v>
      </c>
    </row>
    <row r="40" spans="1:26" s="24" customFormat="1" hidden="1" outlineLevel="2" x14ac:dyDescent="0.3">
      <c r="A40" s="29"/>
      <c r="B40" s="11" t="str">
        <f>CONCATENATE("          ", "6007", " - ", "STUDENT HOURLY")</f>
        <v xml:space="preserve">          6007 - STUDENT HOURLY</v>
      </c>
      <c r="C40" s="11"/>
      <c r="D40" s="8">
        <v>507.5</v>
      </c>
      <c r="E40" s="3"/>
      <c r="F40" s="7">
        <f t="shared" si="20"/>
        <v>0.2004502725333755</v>
      </c>
      <c r="G40" s="3"/>
      <c r="H40" s="8">
        <v>0</v>
      </c>
      <c r="I40" s="3"/>
      <c r="J40" s="7">
        <f t="shared" si="21"/>
        <v>0</v>
      </c>
      <c r="K40" s="3"/>
      <c r="L40" s="8">
        <f t="shared" si="22"/>
        <v>507.5</v>
      </c>
      <c r="M40" s="3"/>
      <c r="N40" s="7">
        <f t="shared" si="23"/>
        <v>0</v>
      </c>
      <c r="O40" s="11"/>
      <c r="P40" s="8">
        <v>507.5</v>
      </c>
      <c r="Q40" s="3"/>
      <c r="R40" s="7">
        <f t="shared" si="24"/>
        <v>0.2004502725333755</v>
      </c>
      <c r="S40" s="3"/>
      <c r="T40" s="8">
        <v>0</v>
      </c>
      <c r="U40" s="3"/>
      <c r="V40" s="7">
        <f t="shared" si="25"/>
        <v>0</v>
      </c>
      <c r="W40" s="3"/>
      <c r="X40" s="8">
        <f t="shared" si="26"/>
        <v>507.5</v>
      </c>
      <c r="Y40" s="3"/>
      <c r="Z40" s="7">
        <f t="shared" si="27"/>
        <v>0</v>
      </c>
    </row>
    <row r="41" spans="1:26" s="24" customFormat="1" hidden="1" outlineLevel="2" x14ac:dyDescent="0.3">
      <c r="A41" s="29"/>
      <c r="B41" s="11" t="str">
        <f>CONCATENATE("          ", "6008", " - ", "STUDENT HOURLY-FICA EXEMPT")</f>
        <v xml:space="preserve">          6008 - STUDENT HOURLY-FICA EXEMPT</v>
      </c>
      <c r="C41" s="11"/>
      <c r="D41" s="8"/>
      <c r="E41" s="3"/>
      <c r="F41" s="7">
        <f t="shared" si="20"/>
        <v>0</v>
      </c>
      <c r="G41" s="3"/>
      <c r="H41" s="8">
        <v>0</v>
      </c>
      <c r="I41" s="3"/>
      <c r="J41" s="7">
        <f t="shared" si="21"/>
        <v>0</v>
      </c>
      <c r="K41" s="3"/>
      <c r="L41" s="8">
        <f t="shared" si="22"/>
        <v>0</v>
      </c>
      <c r="M41" s="3"/>
      <c r="N41" s="7">
        <f t="shared" si="23"/>
        <v>0</v>
      </c>
      <c r="O41" s="11"/>
      <c r="P41" s="8"/>
      <c r="Q41" s="3"/>
      <c r="R41" s="7">
        <f t="shared" si="24"/>
        <v>0</v>
      </c>
      <c r="S41" s="3"/>
      <c r="T41" s="8">
        <v>0</v>
      </c>
      <c r="U41" s="3"/>
      <c r="V41" s="7">
        <f t="shared" si="25"/>
        <v>0</v>
      </c>
      <c r="W41" s="3"/>
      <c r="X41" s="8">
        <f t="shared" si="26"/>
        <v>0</v>
      </c>
      <c r="Y41" s="3"/>
      <c r="Z41" s="7">
        <f t="shared" si="27"/>
        <v>0</v>
      </c>
    </row>
    <row r="42" spans="1:26" s="24" customFormat="1" hidden="1" outlineLevel="2" x14ac:dyDescent="0.3">
      <c r="A42" s="29"/>
      <c r="B42" s="11" t="str">
        <f>CONCATENATE("          ", "6009", " - ", "TEMPORARY-SEASONAL")</f>
        <v xml:space="preserve">          6009 - TEMPORARY-SEASONAL</v>
      </c>
      <c r="C42" s="11"/>
      <c r="D42" s="8"/>
      <c r="E42" s="3"/>
      <c r="F42" s="7">
        <f t="shared" si="20"/>
        <v>0</v>
      </c>
      <c r="G42" s="3"/>
      <c r="H42" s="8">
        <v>0</v>
      </c>
      <c r="I42" s="3"/>
      <c r="J42" s="7">
        <f t="shared" si="21"/>
        <v>0</v>
      </c>
      <c r="K42" s="3"/>
      <c r="L42" s="8">
        <f t="shared" si="22"/>
        <v>0</v>
      </c>
      <c r="M42" s="3"/>
      <c r="N42" s="7">
        <f t="shared" si="23"/>
        <v>0</v>
      </c>
      <c r="O42" s="11"/>
      <c r="P42" s="8"/>
      <c r="Q42" s="3"/>
      <c r="R42" s="7">
        <f t="shared" si="24"/>
        <v>0</v>
      </c>
      <c r="S42" s="3"/>
      <c r="T42" s="8">
        <v>0</v>
      </c>
      <c r="U42" s="3"/>
      <c r="V42" s="7">
        <f t="shared" si="25"/>
        <v>0</v>
      </c>
      <c r="W42" s="3"/>
      <c r="X42" s="8">
        <f t="shared" si="26"/>
        <v>0</v>
      </c>
      <c r="Y42" s="3"/>
      <c r="Z42" s="7">
        <f t="shared" si="27"/>
        <v>0</v>
      </c>
    </row>
    <row r="43" spans="1:26" s="24" customFormat="1" hidden="1" outlineLevel="2" x14ac:dyDescent="0.3">
      <c r="A43" s="29"/>
      <c r="B43" s="11" t="str">
        <f>CONCATENATE("          ", "6010", " - ", "GRATUITY")</f>
        <v xml:space="preserve">          6010 - GRATUITY</v>
      </c>
      <c r="C43" s="11"/>
      <c r="D43" s="8"/>
      <c r="E43" s="3"/>
      <c r="F43" s="7">
        <f t="shared" si="20"/>
        <v>0</v>
      </c>
      <c r="G43" s="3"/>
      <c r="H43" s="8">
        <v>0</v>
      </c>
      <c r="I43" s="3"/>
      <c r="J43" s="7">
        <f t="shared" si="21"/>
        <v>0</v>
      </c>
      <c r="K43" s="3"/>
      <c r="L43" s="8">
        <f t="shared" si="22"/>
        <v>0</v>
      </c>
      <c r="M43" s="3"/>
      <c r="N43" s="7">
        <f t="shared" si="23"/>
        <v>0</v>
      </c>
      <c r="O43" s="11"/>
      <c r="P43" s="8"/>
      <c r="Q43" s="3"/>
      <c r="R43" s="7">
        <f t="shared" si="24"/>
        <v>0</v>
      </c>
      <c r="S43" s="3"/>
      <c r="T43" s="8">
        <v>0</v>
      </c>
      <c r="U43" s="3"/>
      <c r="V43" s="7">
        <f t="shared" si="25"/>
        <v>0</v>
      </c>
      <c r="W43" s="3"/>
      <c r="X43" s="8">
        <f t="shared" si="26"/>
        <v>0</v>
      </c>
      <c r="Y43" s="3"/>
      <c r="Z43" s="7">
        <f t="shared" si="27"/>
        <v>0</v>
      </c>
    </row>
    <row r="44" spans="1:26" s="27" customFormat="1" outlineLevel="1" collapsed="1" x14ac:dyDescent="0.3">
      <c r="A44" s="28"/>
      <c r="B44" s="14" t="str">
        <f>CONCATENATE("     ","Advertising/Promo                                 ")</f>
        <v xml:space="preserve">     Advertising/Promo                                 </v>
      </c>
      <c r="C44" s="14"/>
      <c r="D44" s="1">
        <f>SUM(OSRRefD22_2x_0)</f>
        <v>0</v>
      </c>
      <c r="E44" s="1"/>
      <c r="F44" s="5">
        <f t="shared" ref="F44:F52" si="28">IF(D$12=0,0,D44/D$12)</f>
        <v>0</v>
      </c>
      <c r="G44" s="1"/>
      <c r="H44" s="1">
        <f>SUM(OSRRefH22_2x_0)</f>
        <v>50</v>
      </c>
      <c r="I44" s="1"/>
      <c r="J44" s="5">
        <f t="shared" ref="J44:J52" si="29">IF(H$12=0,0,H44/H$12)</f>
        <v>1.8518518518518517E-2</v>
      </c>
      <c r="K44" s="1"/>
      <c r="L44" s="1">
        <f t="shared" ref="L44:L52" si="30">+D44-H44</f>
        <v>-50</v>
      </c>
      <c r="M44" s="1"/>
      <c r="N44" s="5">
        <f t="shared" ref="N44:N52" si="31">IF(H44=0,0,L44/H44)</f>
        <v>-1</v>
      </c>
      <c r="O44" s="14"/>
      <c r="P44" s="1">
        <f>SUM(OSRRefP22_2x_0)</f>
        <v>0</v>
      </c>
      <c r="Q44" s="1"/>
      <c r="R44" s="5">
        <f t="shared" ref="R44:R52" si="32">IF(P$12=0,0,P44/P$12)</f>
        <v>0</v>
      </c>
      <c r="S44" s="1"/>
      <c r="T44" s="1">
        <f>SUM(OSRRefT22_2x_0)</f>
        <v>50</v>
      </c>
      <c r="U44" s="1"/>
      <c r="V44" s="5">
        <f t="shared" ref="V44:V52" si="33">IF(T$12=0,0,T44/T$12)</f>
        <v>1.8518518518518517E-2</v>
      </c>
      <c r="W44" s="1"/>
      <c r="X44" s="1">
        <f t="shared" ref="X44:X52" si="34">+P44-T44</f>
        <v>-50</v>
      </c>
      <c r="Y44" s="1"/>
      <c r="Z44" s="5">
        <f t="shared" ref="Z44:Z52" si="35">IF(T44=0,0,X44/T44)</f>
        <v>-1</v>
      </c>
    </row>
    <row r="45" spans="1:26" s="24" customFormat="1" hidden="1" outlineLevel="2" x14ac:dyDescent="0.3">
      <c r="A45" s="29"/>
      <c r="B45" s="11" t="str">
        <f>CONCATENATE("          ", "6362", " - ", "ADVERTISING EXPENSE")</f>
        <v xml:space="preserve">          6362 - ADVERTISING EXPENSE</v>
      </c>
      <c r="C45" s="11"/>
      <c r="D45" s="8"/>
      <c r="E45" s="3"/>
      <c r="F45" s="7">
        <f t="shared" si="28"/>
        <v>0</v>
      </c>
      <c r="G45" s="3"/>
      <c r="H45" s="8">
        <v>50</v>
      </c>
      <c r="I45" s="3"/>
      <c r="J45" s="7">
        <f t="shared" si="29"/>
        <v>1.8518518518518517E-2</v>
      </c>
      <c r="K45" s="3"/>
      <c r="L45" s="8">
        <f t="shared" si="30"/>
        <v>-50</v>
      </c>
      <c r="M45" s="3"/>
      <c r="N45" s="7">
        <f t="shared" si="31"/>
        <v>-1</v>
      </c>
      <c r="O45" s="11"/>
      <c r="P45" s="8"/>
      <c r="Q45" s="3"/>
      <c r="R45" s="7">
        <f t="shared" si="32"/>
        <v>0</v>
      </c>
      <c r="S45" s="3"/>
      <c r="T45" s="8">
        <v>50</v>
      </c>
      <c r="U45" s="3"/>
      <c r="V45" s="7">
        <f t="shared" si="33"/>
        <v>1.8518518518518517E-2</v>
      </c>
      <c r="W45" s="3"/>
      <c r="X45" s="8">
        <f t="shared" si="34"/>
        <v>-50</v>
      </c>
      <c r="Y45" s="3"/>
      <c r="Z45" s="7">
        <f t="shared" si="35"/>
        <v>-1</v>
      </c>
    </row>
    <row r="46" spans="1:26" s="27" customFormat="1" outlineLevel="1" collapsed="1" x14ac:dyDescent="0.3">
      <c r="A46" s="28"/>
      <c r="B46" s="14" t="str">
        <f>CONCATENATE("     ","Depreciation                                      ")</f>
        <v xml:space="preserve">     Depreciation                                      </v>
      </c>
      <c r="C46" s="14"/>
      <c r="D46" s="1">
        <f>SUM(OSRRefD22_3x_0)</f>
        <v>169.88</v>
      </c>
      <c r="E46" s="1"/>
      <c r="F46" s="5">
        <f t="shared" si="28"/>
        <v>6.7098506991073545E-2</v>
      </c>
      <c r="G46" s="1"/>
      <c r="H46" s="1">
        <f>SUM(OSRRefH22_3x_0)</f>
        <v>170</v>
      </c>
      <c r="I46" s="1"/>
      <c r="J46" s="5">
        <f t="shared" si="29"/>
        <v>6.2962962962962957E-2</v>
      </c>
      <c r="K46" s="1"/>
      <c r="L46" s="1">
        <f t="shared" si="30"/>
        <v>-0.12000000000000455</v>
      </c>
      <c r="M46" s="1"/>
      <c r="N46" s="5">
        <f t="shared" si="31"/>
        <v>-7.0588235294120319E-4</v>
      </c>
      <c r="O46" s="14"/>
      <c r="P46" s="1">
        <f>SUM(OSRRefP22_3x_0)</f>
        <v>169.88</v>
      </c>
      <c r="Q46" s="1"/>
      <c r="R46" s="5">
        <f t="shared" si="32"/>
        <v>6.7098506991073545E-2</v>
      </c>
      <c r="S46" s="1"/>
      <c r="T46" s="1">
        <f>SUM(OSRRefT22_3x_0)</f>
        <v>170</v>
      </c>
      <c r="U46" s="1"/>
      <c r="V46" s="5">
        <f t="shared" si="33"/>
        <v>6.2962962962962957E-2</v>
      </c>
      <c r="W46" s="1"/>
      <c r="X46" s="1">
        <f t="shared" si="34"/>
        <v>-0.12000000000000455</v>
      </c>
      <c r="Y46" s="1"/>
      <c r="Z46" s="5">
        <f t="shared" si="35"/>
        <v>-7.0588235294120319E-4</v>
      </c>
    </row>
    <row r="47" spans="1:26" s="24" customFormat="1" hidden="1" outlineLevel="2" x14ac:dyDescent="0.3">
      <c r="A47" s="29"/>
      <c r="B47" s="11" t="str">
        <f>CONCATENATE("          ", "6322", " - ", "EQUIPMENT DEPRECIATION EXPENSE")</f>
        <v xml:space="preserve">          6322 - EQUIPMENT DEPRECIATION EXPENSE</v>
      </c>
      <c r="C47" s="11"/>
      <c r="D47" s="8">
        <v>169.88</v>
      </c>
      <c r="E47" s="3"/>
      <c r="F47" s="7">
        <f t="shared" si="28"/>
        <v>6.7098506991073545E-2</v>
      </c>
      <c r="G47" s="3"/>
      <c r="H47" s="8">
        <v>170</v>
      </c>
      <c r="I47" s="3"/>
      <c r="J47" s="7">
        <f t="shared" si="29"/>
        <v>6.2962962962962957E-2</v>
      </c>
      <c r="K47" s="3"/>
      <c r="L47" s="8">
        <f t="shared" si="30"/>
        <v>-0.12000000000000455</v>
      </c>
      <c r="M47" s="3"/>
      <c r="N47" s="7">
        <f t="shared" si="31"/>
        <v>-7.0588235294120319E-4</v>
      </c>
      <c r="O47" s="11"/>
      <c r="P47" s="8">
        <v>169.88</v>
      </c>
      <c r="Q47" s="3"/>
      <c r="R47" s="7">
        <f t="shared" si="32"/>
        <v>6.7098506991073545E-2</v>
      </c>
      <c r="S47" s="3"/>
      <c r="T47" s="8">
        <v>170</v>
      </c>
      <c r="U47" s="3"/>
      <c r="V47" s="7">
        <f t="shared" si="33"/>
        <v>6.2962962962962957E-2</v>
      </c>
      <c r="W47" s="3"/>
      <c r="X47" s="8">
        <f t="shared" si="34"/>
        <v>-0.12000000000000455</v>
      </c>
      <c r="Y47" s="3"/>
      <c r="Z47" s="7">
        <f t="shared" si="35"/>
        <v>-7.0588235294120319E-4</v>
      </c>
    </row>
    <row r="48" spans="1:26" s="27" customFormat="1" outlineLevel="1" collapsed="1" x14ac:dyDescent="0.3">
      <c r="A48" s="28"/>
      <c r="B48" s="14" t="str">
        <f>CONCATENATE("     ","Equipment Rental                                  ")</f>
        <v xml:space="preserve">     Equipment Rental                                  </v>
      </c>
      <c r="C48" s="14"/>
      <c r="D48" s="1">
        <f>SUM(OSRRefD22_4x_0)</f>
        <v>1205.6400000000001</v>
      </c>
      <c r="E48" s="1"/>
      <c r="F48" s="5">
        <f t="shared" si="28"/>
        <v>0.47619875187613564</v>
      </c>
      <c r="G48" s="1"/>
      <c r="H48" s="1">
        <f>SUM(OSRRefH22_4x_0)</f>
        <v>1200</v>
      </c>
      <c r="I48" s="1"/>
      <c r="J48" s="5">
        <f t="shared" si="29"/>
        <v>0.44444444444444442</v>
      </c>
      <c r="K48" s="1"/>
      <c r="L48" s="1">
        <f t="shared" si="30"/>
        <v>5.6400000000001</v>
      </c>
      <c r="M48" s="1"/>
      <c r="N48" s="5">
        <f t="shared" si="31"/>
        <v>4.7000000000000835E-3</v>
      </c>
      <c r="O48" s="14"/>
      <c r="P48" s="1">
        <f>SUM(OSRRefP22_4x_0)</f>
        <v>1205.6400000000001</v>
      </c>
      <c r="Q48" s="1"/>
      <c r="R48" s="5">
        <f t="shared" si="32"/>
        <v>0.47619875187613564</v>
      </c>
      <c r="S48" s="1"/>
      <c r="T48" s="1">
        <f>SUM(OSRRefT22_4x_0)</f>
        <v>1200</v>
      </c>
      <c r="U48" s="1"/>
      <c r="V48" s="5">
        <f t="shared" si="33"/>
        <v>0.44444444444444442</v>
      </c>
      <c r="W48" s="1"/>
      <c r="X48" s="1">
        <f t="shared" si="34"/>
        <v>5.6400000000001</v>
      </c>
      <c r="Y48" s="1"/>
      <c r="Z48" s="5">
        <f t="shared" si="35"/>
        <v>4.7000000000000835E-3</v>
      </c>
    </row>
    <row r="49" spans="1:26" s="24" customFormat="1" hidden="1" outlineLevel="2" x14ac:dyDescent="0.3">
      <c r="A49" s="29"/>
      <c r="B49" s="11" t="str">
        <f>CONCATENATE("          ", "6351", " - ", "EQUIPMENT RENTAL")</f>
        <v xml:space="preserve">          6351 - EQUIPMENT RENTAL</v>
      </c>
      <c r="C49" s="11"/>
      <c r="D49" s="8">
        <v>1205.6400000000001</v>
      </c>
      <c r="E49" s="3"/>
      <c r="F49" s="7">
        <f t="shared" si="28"/>
        <v>0.47619875187613564</v>
      </c>
      <c r="G49" s="3"/>
      <c r="H49" s="8">
        <v>1200</v>
      </c>
      <c r="I49" s="3"/>
      <c r="J49" s="7">
        <f t="shared" si="29"/>
        <v>0.44444444444444442</v>
      </c>
      <c r="K49" s="3"/>
      <c r="L49" s="8">
        <f t="shared" si="30"/>
        <v>5.6400000000001</v>
      </c>
      <c r="M49" s="3"/>
      <c r="N49" s="7">
        <f t="shared" si="31"/>
        <v>4.7000000000000835E-3</v>
      </c>
      <c r="O49" s="11"/>
      <c r="P49" s="8">
        <v>1205.6400000000001</v>
      </c>
      <c r="Q49" s="3"/>
      <c r="R49" s="7">
        <f t="shared" si="32"/>
        <v>0.47619875187613564</v>
      </c>
      <c r="S49" s="3"/>
      <c r="T49" s="8">
        <v>1200</v>
      </c>
      <c r="U49" s="3"/>
      <c r="V49" s="7">
        <f t="shared" si="33"/>
        <v>0.44444444444444442</v>
      </c>
      <c r="W49" s="3"/>
      <c r="X49" s="8">
        <f t="shared" si="34"/>
        <v>5.6400000000001</v>
      </c>
      <c r="Y49" s="3"/>
      <c r="Z49" s="7">
        <f t="shared" si="35"/>
        <v>4.7000000000000835E-3</v>
      </c>
    </row>
    <row r="50" spans="1:26" s="27" customFormat="1" outlineLevel="1" collapsed="1" x14ac:dyDescent="0.3">
      <c r="A50" s="28"/>
      <c r="B50" s="14" t="str">
        <f>CONCATENATE("     ","Freight out/Postage                               ")</f>
        <v xml:space="preserve">     Freight out/Postage                               </v>
      </c>
      <c r="C50" s="14"/>
      <c r="D50" s="1">
        <f>SUM(OSRRefD22_5x_0)</f>
        <v>2283.8600000000006</v>
      </c>
      <c r="E50" s="1"/>
      <c r="F50" s="5">
        <f t="shared" si="28"/>
        <v>0.90206967374990155</v>
      </c>
      <c r="G50" s="1"/>
      <c r="H50" s="1">
        <f>SUM(OSRRefH22_5x_0)</f>
        <v>5000</v>
      </c>
      <c r="I50" s="1"/>
      <c r="J50" s="5">
        <f t="shared" si="29"/>
        <v>1.8518518518518519</v>
      </c>
      <c r="K50" s="1"/>
      <c r="L50" s="1">
        <f t="shared" si="30"/>
        <v>-2716.1399999999994</v>
      </c>
      <c r="M50" s="1"/>
      <c r="N50" s="5">
        <f t="shared" si="31"/>
        <v>-0.54322799999999993</v>
      </c>
      <c r="O50" s="14"/>
      <c r="P50" s="1">
        <f>SUM(OSRRefP22_5x_0)</f>
        <v>2283.8600000000006</v>
      </c>
      <c r="Q50" s="1"/>
      <c r="R50" s="5">
        <f t="shared" si="32"/>
        <v>0.90206967374990155</v>
      </c>
      <c r="S50" s="1"/>
      <c r="T50" s="1">
        <f>SUM(OSRRefT22_5x_0)</f>
        <v>5000</v>
      </c>
      <c r="U50" s="1"/>
      <c r="V50" s="5">
        <f t="shared" si="33"/>
        <v>1.8518518518518519</v>
      </c>
      <c r="W50" s="1"/>
      <c r="X50" s="1">
        <f t="shared" si="34"/>
        <v>-2716.1399999999994</v>
      </c>
      <c r="Y50" s="1"/>
      <c r="Z50" s="5">
        <f t="shared" si="35"/>
        <v>-0.54322799999999993</v>
      </c>
    </row>
    <row r="51" spans="1:26" s="24" customFormat="1" hidden="1" outlineLevel="2" x14ac:dyDescent="0.3">
      <c r="A51" s="29"/>
      <c r="B51" s="11" t="str">
        <f>CONCATENATE("          ", "6305", " - ", "FREIGHT OUT")</f>
        <v xml:space="preserve">          6305 - FREIGHT OUT</v>
      </c>
      <c r="C51" s="11"/>
      <c r="D51" s="8">
        <v>9911.1200000000008</v>
      </c>
      <c r="E51" s="3"/>
      <c r="F51" s="7">
        <f t="shared" si="28"/>
        <v>3.914653606130027</v>
      </c>
      <c r="G51" s="3"/>
      <c r="H51" s="8">
        <v>9000</v>
      </c>
      <c r="I51" s="3"/>
      <c r="J51" s="7">
        <f t="shared" si="29"/>
        <v>3.3333333333333335</v>
      </c>
      <c r="K51" s="3"/>
      <c r="L51" s="8">
        <f t="shared" si="30"/>
        <v>911.1200000000008</v>
      </c>
      <c r="M51" s="3"/>
      <c r="N51" s="7">
        <f t="shared" si="31"/>
        <v>0.10123555555555565</v>
      </c>
      <c r="O51" s="11"/>
      <c r="P51" s="8">
        <v>9911.1200000000008</v>
      </c>
      <c r="Q51" s="3"/>
      <c r="R51" s="7">
        <f t="shared" si="32"/>
        <v>3.914653606130027</v>
      </c>
      <c r="S51" s="3"/>
      <c r="T51" s="8">
        <v>9000</v>
      </c>
      <c r="U51" s="3"/>
      <c r="V51" s="7">
        <f t="shared" si="33"/>
        <v>3.3333333333333335</v>
      </c>
      <c r="W51" s="3"/>
      <c r="X51" s="8">
        <f t="shared" si="34"/>
        <v>911.1200000000008</v>
      </c>
      <c r="Y51" s="3"/>
      <c r="Z51" s="7">
        <f t="shared" si="35"/>
        <v>0.10123555555555565</v>
      </c>
    </row>
    <row r="52" spans="1:26" s="24" customFormat="1" hidden="1" outlineLevel="2" x14ac:dyDescent="0.3">
      <c r="A52" s="29"/>
      <c r="B52" s="11" t="str">
        <f>CONCATENATE("          ", "6307", " - ", "POSTAGE")</f>
        <v xml:space="preserve">          6307 - POSTAGE</v>
      </c>
      <c r="C52" s="11"/>
      <c r="D52" s="8">
        <v>-7627.26</v>
      </c>
      <c r="E52" s="3"/>
      <c r="F52" s="7">
        <f t="shared" si="28"/>
        <v>-3.0125839323801253</v>
      </c>
      <c r="G52" s="3"/>
      <c r="H52" s="8">
        <v>-4000</v>
      </c>
      <c r="I52" s="3"/>
      <c r="J52" s="7">
        <f t="shared" si="29"/>
        <v>-1.4814814814814814</v>
      </c>
      <c r="K52" s="3"/>
      <c r="L52" s="8">
        <f t="shared" si="30"/>
        <v>-3627.26</v>
      </c>
      <c r="M52" s="3"/>
      <c r="N52" s="7">
        <f t="shared" si="31"/>
        <v>0.90681500000000004</v>
      </c>
      <c r="O52" s="11"/>
      <c r="P52" s="8">
        <v>-7627.26</v>
      </c>
      <c r="Q52" s="3"/>
      <c r="R52" s="7">
        <f t="shared" si="32"/>
        <v>-3.0125839323801253</v>
      </c>
      <c r="S52" s="3"/>
      <c r="T52" s="8">
        <v>-4000</v>
      </c>
      <c r="U52" s="3"/>
      <c r="V52" s="7">
        <f t="shared" si="33"/>
        <v>-1.4814814814814814</v>
      </c>
      <c r="W52" s="3"/>
      <c r="X52" s="8">
        <f t="shared" si="34"/>
        <v>-3627.26</v>
      </c>
      <c r="Y52" s="3"/>
      <c r="Z52" s="7">
        <f t="shared" si="35"/>
        <v>0.90681500000000004</v>
      </c>
    </row>
    <row r="53" spans="1:26" s="27" customFormat="1" outlineLevel="1" collapsed="1" x14ac:dyDescent="0.3">
      <c r="A53" s="28"/>
      <c r="B53" s="14" t="str">
        <f>CONCATENATE("     ","Repair and Maintenance                            ")</f>
        <v xml:space="preserve">     Repair and Maintenance                            </v>
      </c>
      <c r="C53" s="14"/>
      <c r="D53" s="1">
        <f>SUM(OSRRefD22_6x_0)</f>
        <v>2345.98</v>
      </c>
      <c r="E53" s="1"/>
      <c r="F53" s="5">
        <f t="shared" ref="F53:F55" si="36">IF(D$12=0,0,D53/D$12)</f>
        <v>0.92660557705979951</v>
      </c>
      <c r="G53" s="1"/>
      <c r="H53" s="1">
        <f>SUM(OSRRefH22_6x_0)</f>
        <v>6000</v>
      </c>
      <c r="I53" s="1"/>
      <c r="J53" s="5">
        <f t="shared" ref="J53:J55" si="37">IF(H$12=0,0,H53/H$12)</f>
        <v>2.2222222222222223</v>
      </c>
      <c r="K53" s="1"/>
      <c r="L53" s="1">
        <f t="shared" ref="L53:L55" si="38">+D53-H53</f>
        <v>-3654.02</v>
      </c>
      <c r="M53" s="1"/>
      <c r="N53" s="5">
        <f t="shared" ref="N53:N55" si="39">IF(H53=0,0,L53/H53)</f>
        <v>-0.60900333333333334</v>
      </c>
      <c r="O53" s="14"/>
      <c r="P53" s="1">
        <f>SUM(OSRRefP22_6x_0)</f>
        <v>2345.98</v>
      </c>
      <c r="Q53" s="1"/>
      <c r="R53" s="5">
        <f t="shared" ref="R53:R55" si="40">IF(P$12=0,0,P53/P$12)</f>
        <v>0.92660557705979951</v>
      </c>
      <c r="S53" s="1"/>
      <c r="T53" s="1">
        <f>SUM(OSRRefT22_6x_0)</f>
        <v>6000</v>
      </c>
      <c r="U53" s="1"/>
      <c r="V53" s="5">
        <f t="shared" ref="V53:V55" si="41">IF(T$12=0,0,T53/T$12)</f>
        <v>2.2222222222222223</v>
      </c>
      <c r="W53" s="1"/>
      <c r="X53" s="1">
        <f t="shared" ref="X53:X55" si="42">+P53-T53</f>
        <v>-3654.02</v>
      </c>
      <c r="Y53" s="1"/>
      <c r="Z53" s="5">
        <f t="shared" ref="Z53:Z55" si="43">IF(T53=0,0,X53/T53)</f>
        <v>-0.60900333333333334</v>
      </c>
    </row>
    <row r="54" spans="1:26" s="24" customFormat="1" hidden="1" outlineLevel="2" x14ac:dyDescent="0.3">
      <c r="A54" s="29"/>
      <c r="B54" s="11" t="str">
        <f>CONCATENATE("          ", "6373", " - ", "MAINTENANCE CONTRACTS")</f>
        <v xml:space="preserve">          6373 - MAINTENANCE CONTRACTS</v>
      </c>
      <c r="C54" s="11"/>
      <c r="D54" s="8">
        <v>625.34</v>
      </c>
      <c r="E54" s="3"/>
      <c r="F54" s="7">
        <f t="shared" si="36"/>
        <v>0.24699423335176557</v>
      </c>
      <c r="G54" s="3"/>
      <c r="H54" s="8">
        <v>6000</v>
      </c>
      <c r="I54" s="3"/>
      <c r="J54" s="7">
        <f t="shared" si="37"/>
        <v>2.2222222222222223</v>
      </c>
      <c r="K54" s="3"/>
      <c r="L54" s="8">
        <f t="shared" si="38"/>
        <v>-5374.66</v>
      </c>
      <c r="M54" s="3"/>
      <c r="N54" s="7">
        <f t="shared" si="39"/>
        <v>-0.89577666666666667</v>
      </c>
      <c r="O54" s="11"/>
      <c r="P54" s="8">
        <v>625.34</v>
      </c>
      <c r="Q54" s="3"/>
      <c r="R54" s="7">
        <f t="shared" si="40"/>
        <v>0.24699423335176557</v>
      </c>
      <c r="S54" s="3"/>
      <c r="T54" s="8">
        <v>6000</v>
      </c>
      <c r="U54" s="3"/>
      <c r="V54" s="7">
        <f t="shared" si="41"/>
        <v>2.2222222222222223</v>
      </c>
      <c r="W54" s="3"/>
      <c r="X54" s="8">
        <f t="shared" si="42"/>
        <v>-5374.66</v>
      </c>
      <c r="Y54" s="3"/>
      <c r="Z54" s="7">
        <f t="shared" si="43"/>
        <v>-0.89577666666666667</v>
      </c>
    </row>
    <row r="55" spans="1:26" s="24" customFormat="1" hidden="1" outlineLevel="2" x14ac:dyDescent="0.3">
      <c r="A55" s="29"/>
      <c r="B55" s="11" t="str">
        <f>CONCATENATE("          ", "6375", " - ", "OUTSIDE REPAIRS &amp; MAINTENANCE")</f>
        <v xml:space="preserve">          6375 - OUTSIDE REPAIRS &amp; MAINTENANCE</v>
      </c>
      <c r="C55" s="11"/>
      <c r="D55" s="8">
        <v>1720.64</v>
      </c>
      <c r="E55" s="3"/>
      <c r="F55" s="7">
        <f t="shared" si="36"/>
        <v>0.67961134370803389</v>
      </c>
      <c r="G55" s="3"/>
      <c r="H55" s="8"/>
      <c r="I55" s="3"/>
      <c r="J55" s="7">
        <f t="shared" si="37"/>
        <v>0</v>
      </c>
      <c r="K55" s="3"/>
      <c r="L55" s="8">
        <f t="shared" si="38"/>
        <v>1720.64</v>
      </c>
      <c r="M55" s="3"/>
      <c r="N55" s="7">
        <f t="shared" si="39"/>
        <v>0</v>
      </c>
      <c r="O55" s="11"/>
      <c r="P55" s="8">
        <v>1720.64</v>
      </c>
      <c r="Q55" s="3"/>
      <c r="R55" s="7">
        <f t="shared" si="40"/>
        <v>0.67961134370803389</v>
      </c>
      <c r="S55" s="3"/>
      <c r="T55" s="8"/>
      <c r="U55" s="3"/>
      <c r="V55" s="7">
        <f t="shared" si="41"/>
        <v>0</v>
      </c>
      <c r="W55" s="3"/>
      <c r="X55" s="8">
        <f t="shared" si="42"/>
        <v>1720.64</v>
      </c>
      <c r="Y55" s="3"/>
      <c r="Z55" s="7">
        <f t="shared" si="43"/>
        <v>0</v>
      </c>
    </row>
    <row r="56" spans="1:26" s="27" customFormat="1" outlineLevel="1" collapsed="1" x14ac:dyDescent="0.3">
      <c r="A56" s="28"/>
      <c r="B56" s="14" t="str">
        <f>CONCATENATE("     ","Royalty &amp; Commissions                             ")</f>
        <v xml:space="preserve">     Royalty &amp; Commissions                             </v>
      </c>
      <c r="C56" s="14"/>
      <c r="D56" s="1">
        <f>SUM(OSRRefD22_7x_0)</f>
        <v>6.06</v>
      </c>
      <c r="E56" s="1"/>
      <c r="F56" s="5">
        <f t="shared" ref="F56:F62" si="44">IF(D$12=0,0,D56/D$12)</f>
        <v>2.3935539932064143E-3</v>
      </c>
      <c r="G56" s="1"/>
      <c r="H56" s="1">
        <f>SUM(OSRRefH22_7x_0)</f>
        <v>6000</v>
      </c>
      <c r="I56" s="1"/>
      <c r="J56" s="5">
        <f t="shared" ref="J56:J62" si="45">IF(H$12=0,0,H56/H$12)</f>
        <v>2.2222222222222223</v>
      </c>
      <c r="K56" s="1"/>
      <c r="L56" s="1">
        <f t="shared" ref="L56:L62" si="46">+D56-H56</f>
        <v>-5993.94</v>
      </c>
      <c r="M56" s="1"/>
      <c r="N56" s="5">
        <f t="shared" ref="N56:N62" si="47">IF(H56=0,0,L56/H56)</f>
        <v>-0.99898999999999993</v>
      </c>
      <c r="O56" s="14"/>
      <c r="P56" s="1">
        <f>SUM(OSRRefP22_7x_0)</f>
        <v>6.06</v>
      </c>
      <c r="Q56" s="1"/>
      <c r="R56" s="5">
        <f t="shared" ref="R56:R62" si="48">IF(P$12=0,0,P56/P$12)</f>
        <v>2.3935539932064143E-3</v>
      </c>
      <c r="S56" s="1"/>
      <c r="T56" s="1">
        <f>SUM(OSRRefT22_7x_0)</f>
        <v>6000</v>
      </c>
      <c r="U56" s="1"/>
      <c r="V56" s="5">
        <f t="shared" ref="V56:V62" si="49">IF(T$12=0,0,T56/T$12)</f>
        <v>2.2222222222222223</v>
      </c>
      <c r="W56" s="1"/>
      <c r="X56" s="1">
        <f t="shared" ref="X56:X62" si="50">+P56-T56</f>
        <v>-5993.94</v>
      </c>
      <c r="Y56" s="1"/>
      <c r="Z56" s="5">
        <f t="shared" ref="Z56:Z62" si="51">IF(T56=0,0,X56/T56)</f>
        <v>-0.99898999999999993</v>
      </c>
    </row>
    <row r="57" spans="1:26" s="24" customFormat="1" hidden="1" outlineLevel="2" x14ac:dyDescent="0.3">
      <c r="A57" s="29"/>
      <c r="B57" s="11" t="str">
        <f>CONCATENATE("          ", "6259", " - ", "ROYALTY &amp; COMMISSIONS")</f>
        <v xml:space="preserve">          6259 - ROYALTY &amp; COMMISSIONS</v>
      </c>
      <c r="C57" s="11"/>
      <c r="D57" s="8">
        <v>6.06</v>
      </c>
      <c r="E57" s="3"/>
      <c r="F57" s="7">
        <f t="shared" si="44"/>
        <v>2.3935539932064143E-3</v>
      </c>
      <c r="G57" s="3"/>
      <c r="H57" s="8">
        <v>6000</v>
      </c>
      <c r="I57" s="3"/>
      <c r="J57" s="7">
        <f t="shared" si="45"/>
        <v>2.2222222222222223</v>
      </c>
      <c r="K57" s="3"/>
      <c r="L57" s="8">
        <f t="shared" si="46"/>
        <v>-5993.94</v>
      </c>
      <c r="M57" s="3"/>
      <c r="N57" s="7">
        <f t="shared" si="47"/>
        <v>-0.99898999999999993</v>
      </c>
      <c r="O57" s="11"/>
      <c r="P57" s="8">
        <v>6.06</v>
      </c>
      <c r="Q57" s="3"/>
      <c r="R57" s="7">
        <f t="shared" si="48"/>
        <v>2.3935539932064143E-3</v>
      </c>
      <c r="S57" s="3"/>
      <c r="T57" s="8">
        <v>6000</v>
      </c>
      <c r="U57" s="3"/>
      <c r="V57" s="7">
        <f t="shared" si="49"/>
        <v>2.2222222222222223</v>
      </c>
      <c r="W57" s="3"/>
      <c r="X57" s="8">
        <f t="shared" si="50"/>
        <v>-5993.94</v>
      </c>
      <c r="Y57" s="3"/>
      <c r="Z57" s="7">
        <f t="shared" si="51"/>
        <v>-0.99898999999999993</v>
      </c>
    </row>
    <row r="58" spans="1:26" s="27" customFormat="1" outlineLevel="1" collapsed="1" x14ac:dyDescent="0.3">
      <c r="A58" s="28"/>
      <c r="B58" s="14" t="str">
        <f>CONCATENATE("     ","Supplies                                          ")</f>
        <v xml:space="preserve">     Supplies                                          </v>
      </c>
      <c r="C58" s="14"/>
      <c r="D58" s="1">
        <f>SUM(OSRRefD22_8x_0)</f>
        <v>3116.79</v>
      </c>
      <c r="E58" s="1"/>
      <c r="F58" s="5">
        <f t="shared" si="44"/>
        <v>1.2310569555257131</v>
      </c>
      <c r="G58" s="1"/>
      <c r="H58" s="1">
        <f>SUM(OSRRefH22_8x_0)</f>
        <v>4430</v>
      </c>
      <c r="I58" s="1"/>
      <c r="J58" s="5">
        <f t="shared" si="45"/>
        <v>1.6407407407407408</v>
      </c>
      <c r="K58" s="1"/>
      <c r="L58" s="1">
        <f t="shared" si="46"/>
        <v>-1313.21</v>
      </c>
      <c r="M58" s="1"/>
      <c r="N58" s="5">
        <f t="shared" si="47"/>
        <v>-0.29643566591422121</v>
      </c>
      <c r="O58" s="14"/>
      <c r="P58" s="1">
        <f>SUM(OSRRefP22_8x_0)</f>
        <v>3116.79</v>
      </c>
      <c r="Q58" s="1"/>
      <c r="R58" s="5">
        <f t="shared" si="48"/>
        <v>1.2310569555257131</v>
      </c>
      <c r="S58" s="1"/>
      <c r="T58" s="1">
        <f>SUM(OSRRefT22_8x_0)</f>
        <v>4430</v>
      </c>
      <c r="U58" s="1"/>
      <c r="V58" s="5">
        <f t="shared" si="49"/>
        <v>1.6407407407407408</v>
      </c>
      <c r="W58" s="1"/>
      <c r="X58" s="1">
        <f t="shared" si="50"/>
        <v>-1313.21</v>
      </c>
      <c r="Y58" s="1"/>
      <c r="Z58" s="5">
        <f t="shared" si="51"/>
        <v>-0.29643566591422121</v>
      </c>
    </row>
    <row r="59" spans="1:26" s="24" customFormat="1" hidden="1" outlineLevel="2" x14ac:dyDescent="0.3">
      <c r="A59" s="29"/>
      <c r="B59" s="11" t="str">
        <f>CONCATENATE("          ", "6241", " - ", "OFFICE EXPENSE")</f>
        <v xml:space="preserve">          6241 - OFFICE EXPENSE</v>
      </c>
      <c r="C59" s="11"/>
      <c r="D59" s="8">
        <v>153.85</v>
      </c>
      <c r="E59" s="3"/>
      <c r="F59" s="7">
        <f t="shared" si="44"/>
        <v>6.076704321036417E-2</v>
      </c>
      <c r="G59" s="3"/>
      <c r="H59" s="8"/>
      <c r="I59" s="3"/>
      <c r="J59" s="7">
        <f t="shared" si="45"/>
        <v>0</v>
      </c>
      <c r="K59" s="3"/>
      <c r="L59" s="8">
        <f t="shared" si="46"/>
        <v>153.85</v>
      </c>
      <c r="M59" s="3"/>
      <c r="N59" s="7">
        <f t="shared" si="47"/>
        <v>0</v>
      </c>
      <c r="O59" s="11"/>
      <c r="P59" s="8">
        <v>153.85</v>
      </c>
      <c r="Q59" s="3"/>
      <c r="R59" s="7">
        <f t="shared" si="48"/>
        <v>6.076704321036417E-2</v>
      </c>
      <c r="S59" s="3"/>
      <c r="T59" s="8"/>
      <c r="U59" s="3"/>
      <c r="V59" s="7">
        <f t="shared" si="49"/>
        <v>0</v>
      </c>
      <c r="W59" s="3"/>
      <c r="X59" s="8">
        <f t="shared" si="50"/>
        <v>153.85</v>
      </c>
      <c r="Y59" s="3"/>
      <c r="Z59" s="7">
        <f t="shared" si="51"/>
        <v>0</v>
      </c>
    </row>
    <row r="60" spans="1:26" s="24" customFormat="1" hidden="1" outlineLevel="2" x14ac:dyDescent="0.3">
      <c r="A60" s="29"/>
      <c r="B60" s="11" t="str">
        <f>CONCATENATE("          ", "6243", " - ", "PAPER SUPPLIES")</f>
        <v xml:space="preserve">          6243 - PAPER SUPPLIES</v>
      </c>
      <c r="C60" s="11"/>
      <c r="D60" s="8">
        <v>1649.24</v>
      </c>
      <c r="E60" s="3"/>
      <c r="F60" s="7">
        <f t="shared" si="44"/>
        <v>0.65141006398609691</v>
      </c>
      <c r="G60" s="3"/>
      <c r="H60" s="8">
        <v>4200</v>
      </c>
      <c r="I60" s="3"/>
      <c r="J60" s="7">
        <f t="shared" si="45"/>
        <v>1.5555555555555556</v>
      </c>
      <c r="K60" s="3"/>
      <c r="L60" s="8">
        <f t="shared" si="46"/>
        <v>-2550.7600000000002</v>
      </c>
      <c r="M60" s="3"/>
      <c r="N60" s="7">
        <f t="shared" si="47"/>
        <v>-0.6073238095238096</v>
      </c>
      <c r="O60" s="11"/>
      <c r="P60" s="8">
        <v>1649.24</v>
      </c>
      <c r="Q60" s="3"/>
      <c r="R60" s="7">
        <f t="shared" si="48"/>
        <v>0.65141006398609691</v>
      </c>
      <c r="S60" s="3"/>
      <c r="T60" s="8">
        <v>4200</v>
      </c>
      <c r="U60" s="3"/>
      <c r="V60" s="7">
        <f t="shared" si="49"/>
        <v>1.5555555555555556</v>
      </c>
      <c r="W60" s="3"/>
      <c r="X60" s="8">
        <f t="shared" si="50"/>
        <v>-2550.7600000000002</v>
      </c>
      <c r="Y60" s="3"/>
      <c r="Z60" s="7">
        <f t="shared" si="51"/>
        <v>-0.6073238095238096</v>
      </c>
    </row>
    <row r="61" spans="1:26" s="24" customFormat="1" hidden="1" outlineLevel="2" x14ac:dyDescent="0.3">
      <c r="A61" s="29"/>
      <c r="B61" s="11" t="str">
        <f>CONCATENATE("          ", "6245", " - ", "PRINTING")</f>
        <v xml:space="preserve">          6245 - PRINTING</v>
      </c>
      <c r="C61" s="11"/>
      <c r="D61" s="8">
        <v>251.64</v>
      </c>
      <c r="E61" s="3"/>
      <c r="F61" s="7">
        <f t="shared" si="44"/>
        <v>9.9391737104036662E-2</v>
      </c>
      <c r="G61" s="3"/>
      <c r="H61" s="8">
        <v>25</v>
      </c>
      <c r="I61" s="3"/>
      <c r="J61" s="7">
        <f t="shared" si="45"/>
        <v>9.2592592592592587E-3</v>
      </c>
      <c r="K61" s="3"/>
      <c r="L61" s="8">
        <f t="shared" si="46"/>
        <v>226.64</v>
      </c>
      <c r="M61" s="3"/>
      <c r="N61" s="7">
        <f t="shared" si="47"/>
        <v>9.0655999999999999</v>
      </c>
      <c r="O61" s="11"/>
      <c r="P61" s="8">
        <v>251.64</v>
      </c>
      <c r="Q61" s="3"/>
      <c r="R61" s="7">
        <f t="shared" si="48"/>
        <v>9.9391737104036662E-2</v>
      </c>
      <c r="S61" s="3"/>
      <c r="T61" s="8">
        <v>25</v>
      </c>
      <c r="U61" s="3"/>
      <c r="V61" s="7">
        <f t="shared" si="49"/>
        <v>9.2592592592592587E-3</v>
      </c>
      <c r="W61" s="3"/>
      <c r="X61" s="8">
        <f t="shared" si="50"/>
        <v>226.64</v>
      </c>
      <c r="Y61" s="3"/>
      <c r="Z61" s="7">
        <f t="shared" si="51"/>
        <v>9.0655999999999999</v>
      </c>
    </row>
    <row r="62" spans="1:26" s="24" customFormat="1" hidden="1" outlineLevel="2" x14ac:dyDescent="0.3">
      <c r="A62" s="29"/>
      <c r="B62" s="11" t="str">
        <f>CONCATENATE("          ", "6247", " - ", "STORE SUPPLIES")</f>
        <v xml:space="preserve">          6247 - STORE SUPPLIES</v>
      </c>
      <c r="C62" s="11"/>
      <c r="D62" s="8">
        <v>1062.06</v>
      </c>
      <c r="E62" s="3"/>
      <c r="F62" s="7">
        <f t="shared" si="44"/>
        <v>0.41948811122521529</v>
      </c>
      <c r="G62" s="3"/>
      <c r="H62" s="8">
        <v>205</v>
      </c>
      <c r="I62" s="3"/>
      <c r="J62" s="7">
        <f t="shared" si="45"/>
        <v>7.5925925925925924E-2</v>
      </c>
      <c r="K62" s="3"/>
      <c r="L62" s="8">
        <f t="shared" si="46"/>
        <v>857.06</v>
      </c>
      <c r="M62" s="3"/>
      <c r="N62" s="7">
        <f t="shared" si="47"/>
        <v>4.1807804878048778</v>
      </c>
      <c r="O62" s="11"/>
      <c r="P62" s="8">
        <v>1062.06</v>
      </c>
      <c r="Q62" s="3"/>
      <c r="R62" s="7">
        <f t="shared" si="48"/>
        <v>0.41948811122521529</v>
      </c>
      <c r="S62" s="3"/>
      <c r="T62" s="8">
        <v>205</v>
      </c>
      <c r="U62" s="3"/>
      <c r="V62" s="7">
        <f t="shared" si="49"/>
        <v>7.5925925925925924E-2</v>
      </c>
      <c r="W62" s="3"/>
      <c r="X62" s="8">
        <f t="shared" si="50"/>
        <v>857.06</v>
      </c>
      <c r="Y62" s="3"/>
      <c r="Z62" s="7">
        <f t="shared" si="51"/>
        <v>4.1807804878048778</v>
      </c>
    </row>
    <row r="63" spans="1:26" s="27" customFormat="1" outlineLevel="1" collapsed="1" x14ac:dyDescent="0.3">
      <c r="A63" s="28"/>
      <c r="B63" s="14" t="str">
        <f>CONCATENATE("     ","Telephone/Data Lines                              ")</f>
        <v xml:space="preserve">     Telephone/Data Lines                              </v>
      </c>
      <c r="C63" s="14"/>
      <c r="D63" s="1">
        <f>SUM(OSRRefD22_9x_0)</f>
        <v>167.8</v>
      </c>
      <c r="E63" s="1"/>
      <c r="F63" s="5">
        <f t="shared" ref="F63:F64" si="52">IF(D$12=0,0,D63/D$12)</f>
        <v>6.6276957105616568E-2</v>
      </c>
      <c r="G63" s="1"/>
      <c r="H63" s="1">
        <f>SUM(OSRRefH22_9x_0)</f>
        <v>175</v>
      </c>
      <c r="I63" s="1"/>
      <c r="J63" s="5">
        <f t="shared" ref="J63:J64" si="53">IF(H$12=0,0,H63/H$12)</f>
        <v>6.4814814814814811E-2</v>
      </c>
      <c r="K63" s="1"/>
      <c r="L63" s="1">
        <f t="shared" ref="L63:L64" si="54">+D63-H63</f>
        <v>-7.1999999999999886</v>
      </c>
      <c r="M63" s="1"/>
      <c r="N63" s="5">
        <f t="shared" ref="N63:N64" si="55">IF(H63=0,0,L63/H63)</f>
        <v>-4.1142857142857078E-2</v>
      </c>
      <c r="O63" s="14"/>
      <c r="P63" s="1">
        <f>SUM(OSRRefP22_9x_0)</f>
        <v>167.8</v>
      </c>
      <c r="Q63" s="1"/>
      <c r="R63" s="5">
        <f t="shared" ref="R63:R64" si="56">IF(P$12=0,0,P63/P$12)</f>
        <v>6.6276957105616568E-2</v>
      </c>
      <c r="S63" s="1"/>
      <c r="T63" s="1">
        <f>SUM(OSRRefT22_9x_0)</f>
        <v>175</v>
      </c>
      <c r="U63" s="1"/>
      <c r="V63" s="5">
        <f t="shared" ref="V63:V64" si="57">IF(T$12=0,0,T63/T$12)</f>
        <v>6.4814814814814811E-2</v>
      </c>
      <c r="W63" s="1"/>
      <c r="X63" s="1">
        <f t="shared" ref="X63:X64" si="58">+P63-T63</f>
        <v>-7.1999999999999886</v>
      </c>
      <c r="Y63" s="1"/>
      <c r="Z63" s="5">
        <f t="shared" ref="Z63:Z64" si="59">IF(T63=0,0,X63/T63)</f>
        <v>-4.1142857142857078E-2</v>
      </c>
    </row>
    <row r="64" spans="1:26" s="24" customFormat="1" hidden="1" outlineLevel="2" x14ac:dyDescent="0.3">
      <c r="A64" s="29"/>
      <c r="B64" s="11" t="str">
        <f>CONCATENATE("          ", "6309", " - ", "TELEPHONE")</f>
        <v xml:space="preserve">          6309 - TELEPHONE</v>
      </c>
      <c r="C64" s="11"/>
      <c r="D64" s="8">
        <v>167.8</v>
      </c>
      <c r="E64" s="3"/>
      <c r="F64" s="7">
        <f t="shared" si="52"/>
        <v>6.6276957105616568E-2</v>
      </c>
      <c r="G64" s="3"/>
      <c r="H64" s="8">
        <v>175</v>
      </c>
      <c r="I64" s="3"/>
      <c r="J64" s="7">
        <f t="shared" si="53"/>
        <v>6.4814814814814811E-2</v>
      </c>
      <c r="K64" s="3"/>
      <c r="L64" s="8">
        <f t="shared" si="54"/>
        <v>-7.1999999999999886</v>
      </c>
      <c r="M64" s="3"/>
      <c r="N64" s="7">
        <f t="shared" si="55"/>
        <v>-4.1142857142857078E-2</v>
      </c>
      <c r="O64" s="11"/>
      <c r="P64" s="8">
        <v>167.8</v>
      </c>
      <c r="Q64" s="3"/>
      <c r="R64" s="7">
        <f t="shared" si="56"/>
        <v>6.6276957105616568E-2</v>
      </c>
      <c r="S64" s="3"/>
      <c r="T64" s="8">
        <v>175</v>
      </c>
      <c r="U64" s="3"/>
      <c r="V64" s="7">
        <f t="shared" si="57"/>
        <v>6.4814814814814811E-2</v>
      </c>
      <c r="W64" s="3"/>
      <c r="X64" s="8">
        <f t="shared" si="58"/>
        <v>-7.1999999999999886</v>
      </c>
      <c r="Y64" s="3"/>
      <c r="Z64" s="7">
        <f t="shared" si="59"/>
        <v>-4.1142857142857078E-2</v>
      </c>
    </row>
    <row r="65" spans="1:26" s="62" customFormat="1" x14ac:dyDescent="0.3">
      <c r="A65" s="36"/>
      <c r="B65" s="36"/>
      <c r="C65" s="36"/>
      <c r="D65" s="1"/>
      <c r="E65" s="1"/>
      <c r="F65" s="5"/>
      <c r="G65" s="1"/>
      <c r="H65" s="1"/>
      <c r="I65" s="1"/>
      <c r="J65" s="5"/>
      <c r="K65" s="1"/>
      <c r="L65" s="1"/>
      <c r="M65" s="1"/>
      <c r="N65" s="5"/>
      <c r="O65" s="36"/>
      <c r="P65" s="1"/>
      <c r="Q65" s="1"/>
      <c r="R65" s="5"/>
      <c r="S65" s="1"/>
      <c r="T65" s="1"/>
      <c r="U65" s="1"/>
      <c r="V65" s="5"/>
      <c r="W65" s="1"/>
      <c r="X65" s="1"/>
      <c r="Y65" s="1"/>
      <c r="Z65" s="5"/>
    </row>
    <row r="66" spans="1:26" s="23" customFormat="1" collapsed="1" x14ac:dyDescent="0.3">
      <c r="A66" s="10"/>
      <c r="B66" s="25" t="s">
        <v>293</v>
      </c>
      <c r="C66" s="10"/>
      <c r="D66" s="4">
        <f>SUM(OSRRefD25x_0)</f>
        <v>0</v>
      </c>
      <c r="E66" s="4"/>
      <c r="F66" s="12">
        <f t="shared" ref="F66:F67" si="60">IF(D$12=0,0,D66/D$12)</f>
        <v>0</v>
      </c>
      <c r="G66" s="4"/>
      <c r="H66" s="4">
        <f>SUM(OSRRefH25x_0)</f>
        <v>6782</v>
      </c>
      <c r="I66" s="4"/>
      <c r="J66" s="12">
        <f t="shared" ref="J66:J67" si="61">IF(H$12=0,0,H66/H$12)</f>
        <v>2.5118518518518518</v>
      </c>
      <c r="K66" s="4"/>
      <c r="L66" s="4">
        <f t="shared" ref="L66:L67" si="62">+D66-H66</f>
        <v>-6782</v>
      </c>
      <c r="M66" s="4"/>
      <c r="N66" s="12">
        <f t="shared" ref="N66:N67" si="63">IF(H66=0,0,L66/H66)</f>
        <v>-1</v>
      </c>
      <c r="O66" s="10"/>
      <c r="P66" s="4">
        <f>SUM(OSRRefP25x_0)</f>
        <v>0</v>
      </c>
      <c r="Q66" s="4"/>
      <c r="R66" s="12">
        <f t="shared" ref="R66:R67" si="64">IF(P$12=0,0,P66/P$12)</f>
        <v>0</v>
      </c>
      <c r="S66" s="4"/>
      <c r="T66" s="4">
        <f>SUM(OSRRefT25x_0)</f>
        <v>6782</v>
      </c>
      <c r="U66" s="4"/>
      <c r="V66" s="12">
        <f t="shared" ref="V66:V67" si="65">IF(T$12=0,0,T66/T$12)</f>
        <v>2.5118518518518518</v>
      </c>
      <c r="W66" s="4"/>
      <c r="X66" s="4">
        <f t="shared" ref="X66:X67" si="66">+P66-T66</f>
        <v>-6782</v>
      </c>
      <c r="Y66" s="4"/>
      <c r="Z66" s="12">
        <f t="shared" ref="Z66:Z67" si="67">IF(T66=0,0,X66/T66)</f>
        <v>-1</v>
      </c>
    </row>
    <row r="67" spans="1:26" s="24" customFormat="1" hidden="1" outlineLevel="1" x14ac:dyDescent="0.3">
      <c r="A67" s="44"/>
      <c r="B67" s="11" t="str">
        <f>CONCATENATE("          ", "9150", " - ", "MISC. INCOME")</f>
        <v xml:space="preserve">          9150 - MISC. INCOME</v>
      </c>
      <c r="C67" s="11"/>
      <c r="D67" s="3">
        <f>0</f>
        <v>0</v>
      </c>
      <c r="E67" s="3"/>
      <c r="F67" s="19">
        <f t="shared" si="60"/>
        <v>0</v>
      </c>
      <c r="G67" s="3"/>
      <c r="H67" s="3">
        <v>6782</v>
      </c>
      <c r="I67" s="3"/>
      <c r="J67" s="19">
        <f t="shared" si="61"/>
        <v>2.5118518518518518</v>
      </c>
      <c r="K67" s="3"/>
      <c r="L67" s="3">
        <f t="shared" si="62"/>
        <v>-6782</v>
      </c>
      <c r="M67" s="3"/>
      <c r="N67" s="19">
        <f t="shared" si="63"/>
        <v>-1</v>
      </c>
      <c r="O67" s="11"/>
      <c r="P67" s="3">
        <f>0</f>
        <v>0</v>
      </c>
      <c r="Q67" s="3"/>
      <c r="R67" s="19">
        <f t="shared" si="64"/>
        <v>0</v>
      </c>
      <c r="S67" s="3"/>
      <c r="T67" s="3">
        <v>6782</v>
      </c>
      <c r="U67" s="3"/>
      <c r="V67" s="19">
        <f t="shared" si="65"/>
        <v>2.5118518518518518</v>
      </c>
      <c r="W67" s="3"/>
      <c r="X67" s="3">
        <f t="shared" si="66"/>
        <v>-6782</v>
      </c>
      <c r="Y67" s="3"/>
      <c r="Z67" s="19">
        <f t="shared" si="67"/>
        <v>-1</v>
      </c>
    </row>
    <row r="68" spans="1:26" x14ac:dyDescent="0.3">
      <c r="A68" s="9"/>
      <c r="B68" s="10"/>
      <c r="C68" s="10"/>
      <c r="D68" s="2"/>
      <c r="E68" s="2"/>
      <c r="F68" s="6"/>
      <c r="G68" s="2"/>
      <c r="H68" s="2"/>
      <c r="I68" s="2"/>
      <c r="J68" s="6"/>
      <c r="K68" s="2"/>
      <c r="L68" s="2"/>
      <c r="M68" s="2"/>
      <c r="N68" s="6"/>
      <c r="O68" s="10"/>
      <c r="P68" s="2"/>
      <c r="Q68" s="2"/>
      <c r="R68" s="6"/>
      <c r="S68" s="2"/>
      <c r="T68" s="2"/>
      <c r="U68" s="2"/>
      <c r="V68" s="6"/>
      <c r="W68" s="2"/>
      <c r="X68" s="2"/>
      <c r="Y68" s="2"/>
      <c r="Z68" s="6"/>
    </row>
    <row r="69" spans="1:26" s="23" customFormat="1" x14ac:dyDescent="0.3">
      <c r="A69" s="10"/>
      <c r="B69" s="26" t="s">
        <v>277</v>
      </c>
      <c r="C69" s="26"/>
      <c r="D69" s="21">
        <f>+D20-D22+D66</f>
        <v>-35127.079999999994</v>
      </c>
      <c r="E69" s="13"/>
      <c r="F69" s="22">
        <f>IF(D$12=0,0,D69/D$12)</f>
        <v>-13.874350264633856</v>
      </c>
      <c r="G69" s="13"/>
      <c r="H69" s="21">
        <f>+H20-H22+H66</f>
        <v>-41794.78175528851</v>
      </c>
      <c r="I69" s="13"/>
      <c r="J69" s="22">
        <f>IF(H$12=0,0,H69/H$12)</f>
        <v>-15.479548798255003</v>
      </c>
      <c r="K69" s="16"/>
      <c r="L69" s="21">
        <f>+D69-H69</f>
        <v>6667.7017552885154</v>
      </c>
      <c r="M69" s="16"/>
      <c r="N69" s="22">
        <f>IF(H69=0,0,L69/H69)</f>
        <v>-0.15953431206623819</v>
      </c>
      <c r="O69" s="25"/>
      <c r="P69" s="21">
        <f>+P20-P22+P66</f>
        <v>-35127.079999999994</v>
      </c>
      <c r="Q69" s="13"/>
      <c r="R69" s="22">
        <f>IF(P$12=0,0,P69/P$12)</f>
        <v>-13.874350264633856</v>
      </c>
      <c r="S69" s="13"/>
      <c r="T69" s="21">
        <f>+T20-T22+T66</f>
        <v>-41794.78175528851</v>
      </c>
      <c r="U69" s="13"/>
      <c r="V69" s="22">
        <f>IF(T$12=0,0,T69/T$12)</f>
        <v>-15.479548798255003</v>
      </c>
      <c r="W69" s="16"/>
      <c r="X69" s="21">
        <f>+P69-T69</f>
        <v>6667.7017552885154</v>
      </c>
      <c r="Y69" s="16"/>
      <c r="Z69" s="22">
        <f>IF(T69=0,0,X69/T69)</f>
        <v>-0.15953431206623819</v>
      </c>
    </row>
    <row r="70" spans="1:26" x14ac:dyDescent="0.3">
      <c r="A70" s="9"/>
      <c r="B70" s="10"/>
      <c r="C70" s="9"/>
      <c r="D70" s="2"/>
      <c r="E70" s="2"/>
      <c r="F70" s="6"/>
      <c r="G70" s="2"/>
      <c r="H70" s="2"/>
      <c r="I70" s="2"/>
      <c r="J70" s="6"/>
      <c r="K70" s="2"/>
      <c r="L70" s="2"/>
      <c r="M70" s="2"/>
      <c r="N70" s="6"/>
      <c r="P70" s="2"/>
      <c r="Q70" s="2"/>
      <c r="R70" s="6"/>
      <c r="S70" s="2"/>
      <c r="T70" s="2"/>
      <c r="U70" s="2"/>
      <c r="V70" s="6"/>
      <c r="W70" s="2"/>
      <c r="X70" s="2"/>
      <c r="Y70" s="2"/>
      <c r="Z70" s="6"/>
    </row>
    <row r="71" spans="1:26" s="23" customFormat="1" x14ac:dyDescent="0.3">
      <c r="A71" s="52"/>
      <c r="B71" s="10" t="s">
        <v>128</v>
      </c>
      <c r="C71" s="10"/>
      <c r="D71" s="4">
        <v>1169.68</v>
      </c>
      <c r="E71" s="4"/>
      <c r="F71" s="12">
        <f>IF(D$12=0,0,D71/D$12)</f>
        <v>0.46199541827948504</v>
      </c>
      <c r="G71" s="4"/>
      <c r="H71" s="4">
        <v>978</v>
      </c>
      <c r="I71" s="4"/>
      <c r="J71" s="12">
        <f>IF(H$12=0,0,H71/H$12)</f>
        <v>0.36222222222222222</v>
      </c>
      <c r="K71" s="4"/>
      <c r="L71" s="4">
        <f>+D71-H71</f>
        <v>191.68000000000006</v>
      </c>
      <c r="M71" s="4"/>
      <c r="N71" s="12">
        <f>IF(H71=0,0,L71/H71)</f>
        <v>0.19599182004089985</v>
      </c>
      <c r="O71" s="10"/>
      <c r="P71" s="4">
        <v>1169.68</v>
      </c>
      <c r="Q71" s="4"/>
      <c r="R71" s="12">
        <f>IF(P$12=0,0,P71/P$12)</f>
        <v>0.46199541827948504</v>
      </c>
      <c r="S71" s="4"/>
      <c r="T71" s="4">
        <v>978</v>
      </c>
      <c r="U71" s="4"/>
      <c r="V71" s="12">
        <f>IF(T$12=0,0,T71/T$12)</f>
        <v>0.36222222222222222</v>
      </c>
      <c r="W71" s="4"/>
      <c r="X71" s="4">
        <f>+P71-T71</f>
        <v>191.68000000000006</v>
      </c>
      <c r="Y71" s="4"/>
      <c r="Z71" s="12">
        <f>IF(T71=0,0,X71/T71)</f>
        <v>0.19599182004089985</v>
      </c>
    </row>
    <row r="72" spans="1:26" x14ac:dyDescent="0.3">
      <c r="A72" s="9"/>
      <c r="B72" s="10"/>
      <c r="C72" s="10"/>
      <c r="D72" s="2"/>
      <c r="E72" s="2"/>
      <c r="F72" s="6"/>
      <c r="G72" s="2"/>
      <c r="H72" s="2"/>
      <c r="I72" s="2"/>
      <c r="J72" s="6"/>
      <c r="K72" s="2"/>
      <c r="L72" s="2"/>
      <c r="M72" s="2"/>
      <c r="N72" s="6"/>
      <c r="O72" s="10"/>
      <c r="P72" s="2"/>
      <c r="Q72" s="2"/>
      <c r="R72" s="6"/>
      <c r="S72" s="2"/>
      <c r="T72" s="2"/>
      <c r="U72" s="2"/>
      <c r="V72" s="6"/>
      <c r="W72" s="2"/>
      <c r="X72" s="2"/>
      <c r="Y72" s="2"/>
      <c r="Z72" s="6"/>
    </row>
    <row r="73" spans="1:26" s="23" customFormat="1" ht="15" thickBot="1" x14ac:dyDescent="0.35">
      <c r="A73" s="10"/>
      <c r="B73" s="26" t="s">
        <v>126</v>
      </c>
      <c r="C73" s="26"/>
      <c r="D73" s="35">
        <f>+D69-D71</f>
        <v>-36296.759999999995</v>
      </c>
      <c r="E73" s="13"/>
      <c r="F73" s="30">
        <f>IF(D$12=0,0,D73/D$12)</f>
        <v>-14.336345682913342</v>
      </c>
      <c r="G73" s="13"/>
      <c r="H73" s="35">
        <f>+H69-H71</f>
        <v>-42772.78175528851</v>
      </c>
      <c r="I73" s="13"/>
      <c r="J73" s="30">
        <f>IF(H$12=0,0,H73/H$12)</f>
        <v>-15.841771020477227</v>
      </c>
      <c r="K73" s="16"/>
      <c r="L73" s="35">
        <f>D73-H73</f>
        <v>6476.0217552885151</v>
      </c>
      <c r="M73" s="16"/>
      <c r="N73" s="30">
        <f>IF(H73=0,0,L73/H73)</f>
        <v>-0.15140520418660419</v>
      </c>
      <c r="O73" s="25"/>
      <c r="P73" s="35">
        <f>+P69-P71</f>
        <v>-36296.759999999995</v>
      </c>
      <c r="Q73" s="13"/>
      <c r="R73" s="30">
        <f>IF(P$12=0,0,P73/P$12)</f>
        <v>-14.336345682913342</v>
      </c>
      <c r="S73" s="13"/>
      <c r="T73" s="35">
        <f>+T69-T71</f>
        <v>-42772.78175528851</v>
      </c>
      <c r="U73" s="13"/>
      <c r="V73" s="30">
        <f>IF(T$12=0,0,T73/T$12)</f>
        <v>-15.841771020477227</v>
      </c>
      <c r="W73" s="16"/>
      <c r="X73" s="35">
        <f>P73-T73</f>
        <v>6476.0217552885151</v>
      </c>
      <c r="Y73" s="16"/>
      <c r="Z73" s="30">
        <f>IF(T73=0,0,X73/T73)</f>
        <v>-0.15140520418660419</v>
      </c>
    </row>
    <row r="74" spans="1:26" ht="15" thickTop="1" x14ac:dyDescent="0.3">
      <c r="A74" s="9"/>
      <c r="B74" s="9"/>
      <c r="C74" s="9"/>
      <c r="D74" s="2"/>
      <c r="E74" s="2"/>
      <c r="F74" s="6"/>
      <c r="G74" s="2"/>
      <c r="H74" s="2"/>
      <c r="I74" s="2"/>
      <c r="J74" s="6"/>
      <c r="K74" s="2"/>
      <c r="L74" s="2"/>
      <c r="M74" s="2"/>
      <c r="N74" s="6"/>
      <c r="P74" s="2"/>
      <c r="Q74" s="2"/>
      <c r="R74" s="6"/>
      <c r="S74" s="2"/>
      <c r="T74" s="2"/>
      <c r="U74" s="2"/>
      <c r="V74" s="6"/>
      <c r="W74" s="2"/>
      <c r="X74" s="2"/>
      <c r="Y74" s="2"/>
      <c r="Z74" s="6"/>
    </row>
    <row r="75" spans="1:26" x14ac:dyDescent="0.3">
      <c r="A75" s="9"/>
      <c r="B75" s="9"/>
      <c r="C75" s="9"/>
      <c r="D75" s="2"/>
      <c r="E75" s="2"/>
      <c r="F75" s="6"/>
      <c r="G75" s="2"/>
      <c r="H75" s="2"/>
      <c r="I75" s="2"/>
      <c r="J75" s="6"/>
      <c r="K75" s="2"/>
      <c r="L75" s="2"/>
      <c r="M75" s="2"/>
      <c r="N75" s="6"/>
      <c r="P75" s="2"/>
      <c r="Q75" s="2"/>
      <c r="R75" s="6"/>
      <c r="S75" s="2"/>
      <c r="T75" s="2"/>
      <c r="U75" s="2"/>
      <c r="V75" s="6"/>
      <c r="W75" s="2"/>
      <c r="X75" s="2"/>
      <c r="Y75" s="2"/>
      <c r="Z75" s="6"/>
    </row>
    <row r="76" spans="1:26" s="23" customFormat="1" ht="15" thickBot="1" x14ac:dyDescent="0.35">
      <c r="A76" s="10"/>
      <c r="B76" s="26" t="s">
        <v>294</v>
      </c>
      <c r="C76" s="26"/>
      <c r="D76" s="33">
        <f>SUM(D73:D75)</f>
        <v>-36296.759999999995</v>
      </c>
      <c r="E76" s="13"/>
      <c r="F76" s="31">
        <f>IF(D$12=0,0,D76/D$12)</f>
        <v>-14.336345682913342</v>
      </c>
      <c r="G76" s="13"/>
      <c r="H76" s="33">
        <f>SUM(H73:H75)</f>
        <v>-42772.78175528851</v>
      </c>
      <c r="I76" s="13"/>
      <c r="J76" s="31">
        <f>IF(H$12=0,0,H76/H$12)</f>
        <v>-15.841771020477227</v>
      </c>
      <c r="K76" s="16"/>
      <c r="L76" s="33">
        <f>+D76-H76</f>
        <v>6476.0217552885151</v>
      </c>
      <c r="M76" s="16"/>
      <c r="N76" s="31">
        <f>IF(H76=0,0,L76/H76)</f>
        <v>-0.15140520418660419</v>
      </c>
      <c r="O76" s="25"/>
      <c r="P76" s="33">
        <f>SUM(P73:P75)</f>
        <v>-36296.759999999995</v>
      </c>
      <c r="Q76" s="13"/>
      <c r="R76" s="31">
        <f>IF(P$12=0,0,P76/P$12)</f>
        <v>-14.336345682913342</v>
      </c>
      <c r="S76" s="13"/>
      <c r="T76" s="33">
        <f>SUM(T73:T75)</f>
        <v>-42772.78175528851</v>
      </c>
      <c r="U76" s="13"/>
      <c r="V76" s="31">
        <f>IF(T$12=0,0,T76/T$12)</f>
        <v>-15.841771020477227</v>
      </c>
      <c r="W76" s="16"/>
      <c r="X76" s="33">
        <f>+P76-T76</f>
        <v>6476.0217552885151</v>
      </c>
      <c r="Y76" s="16"/>
      <c r="Z76" s="31">
        <f>IF(T76=0,0,X76/T76)</f>
        <v>-0.15140520418660419</v>
      </c>
    </row>
    <row r="77" spans="1:26" ht="15" thickTop="1" x14ac:dyDescent="0.3">
      <c r="A77" s="9"/>
      <c r="C77" s="9"/>
      <c r="D77" s="18"/>
      <c r="E77" s="18"/>
      <c r="G77" s="18"/>
      <c r="H77" s="18"/>
      <c r="I77" s="18"/>
      <c r="J77" s="43"/>
      <c r="K77" s="18"/>
      <c r="L77" s="18"/>
      <c r="M77" s="18"/>
      <c r="P77" s="18"/>
      <c r="Q77" s="18"/>
      <c r="R77" s="43"/>
      <c r="S77" s="18"/>
      <c r="T77" s="18"/>
      <c r="U77" s="18"/>
      <c r="V77" s="43"/>
      <c r="W77" s="18"/>
      <c r="X77" s="18"/>
    </row>
    <row r="78" spans="1:26" x14ac:dyDescent="0.3">
      <c r="A78" s="9"/>
      <c r="B78" s="54">
        <v>44462.64548684028</v>
      </c>
      <c r="D78" s="18"/>
      <c r="E78" s="18"/>
      <c r="G78" s="18"/>
      <c r="H78" s="18"/>
      <c r="I78" s="18"/>
      <c r="J78" s="43"/>
      <c r="K78" s="18"/>
      <c r="L78" s="18"/>
      <c r="M78" s="18"/>
      <c r="P78" s="18"/>
      <c r="Q78" s="18"/>
      <c r="R78" s="43"/>
      <c r="S78" s="18"/>
      <c r="T78" s="18"/>
      <c r="U78" s="18"/>
      <c r="V78" s="43"/>
      <c r="W78" s="18"/>
      <c r="X78" s="18"/>
    </row>
    <row r="79" spans="1:26" x14ac:dyDescent="0.3">
      <c r="A79" s="9"/>
      <c r="B79" s="59" t="s">
        <v>56</v>
      </c>
      <c r="D79" s="18"/>
      <c r="E79" s="18"/>
      <c r="G79" s="18"/>
      <c r="H79" s="18"/>
      <c r="I79" s="18"/>
      <c r="J79" s="43"/>
      <c r="K79" s="18"/>
      <c r="L79" s="18"/>
      <c r="M79" s="18"/>
      <c r="P79" s="18"/>
      <c r="Q79" s="18"/>
      <c r="R79" s="43"/>
      <c r="S79" s="18"/>
      <c r="T79" s="18"/>
      <c r="U79" s="18"/>
      <c r="V79" s="43"/>
      <c r="W79" s="18"/>
      <c r="X79" s="18"/>
    </row>
    <row r="80" spans="1:26" x14ac:dyDescent="0.3">
      <c r="A80" s="9"/>
      <c r="B80" s="55"/>
      <c r="D80" s="18"/>
      <c r="E80" s="18"/>
      <c r="G80" s="18"/>
      <c r="H80" s="18"/>
      <c r="I80" s="18"/>
      <c r="J80" s="43"/>
      <c r="K80" s="18"/>
      <c r="L80" s="18"/>
      <c r="M80" s="18"/>
      <c r="P80" s="18"/>
      <c r="Q80" s="18"/>
      <c r="R80" s="43"/>
      <c r="S80" s="18"/>
      <c r="T80" s="18"/>
      <c r="U80" s="18"/>
      <c r="V80" s="43"/>
      <c r="W80" s="18"/>
      <c r="X80" s="18"/>
    </row>
    <row r="81" spans="4:24" x14ac:dyDescent="0.3">
      <c r="D81" s="18"/>
      <c r="E81" s="18"/>
      <c r="G81" s="18"/>
      <c r="H81" s="18"/>
      <c r="I81" s="18"/>
      <c r="J81" s="43"/>
      <c r="K81" s="18"/>
      <c r="L81" s="18"/>
      <c r="M81" s="18"/>
      <c r="P81" s="18"/>
      <c r="Q81" s="18"/>
      <c r="R81" s="43"/>
      <c r="S81" s="18"/>
      <c r="T81" s="18"/>
      <c r="U81" s="18"/>
      <c r="V81" s="43"/>
      <c r="W81" s="18"/>
      <c r="X81" s="18"/>
    </row>
  </sheetData>
  <pageMargins left="0.25" right="0.25" top="0.75" bottom="0.75" header="0.3" footer="0.3"/>
  <pageSetup scale="55" fitToWidth="2" orientation="landscape"/>
  <drawing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tabColor rgb="FFFFC000"/>
    <outlinePr summaryBelow="0" summaryRight="0"/>
  </sheetPr>
  <dimension ref="A2:Z90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50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7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50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7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7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7" customWidth="1" outlineLevel="1"/>
  </cols>
  <sheetData>
    <row r="2" spans="1:26" x14ac:dyDescent="0.3">
      <c r="D2" s="57" t="s">
        <v>23</v>
      </c>
    </row>
    <row r="3" spans="1:26" x14ac:dyDescent="0.3">
      <c r="D3" s="57" t="s">
        <v>237</v>
      </c>
      <c r="E3" s="17"/>
      <c r="F3" s="51"/>
      <c r="G3" s="17"/>
      <c r="H3" s="17"/>
      <c r="I3" s="17"/>
      <c r="J3" s="39"/>
      <c r="K3" s="17"/>
      <c r="L3" s="17"/>
      <c r="M3" s="17"/>
      <c r="N3" s="51"/>
      <c r="O3" s="61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3">
      <c r="D4" s="57" t="str">
        <f>CONCATENATE("Period ",RIGHT(202201,2),", ",2022)</f>
        <v>Period 01, 2022</v>
      </c>
      <c r="E4" s="17"/>
      <c r="F4" s="51"/>
      <c r="G4" s="17"/>
      <c r="H4" s="17"/>
      <c r="I4" s="17"/>
      <c r="J4" s="39"/>
      <c r="K4" s="17"/>
      <c r="L4" s="17"/>
      <c r="M4" s="17"/>
      <c r="N4" s="51"/>
      <c r="O4" s="61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3">
      <c r="A5" s="23"/>
      <c r="D5" s="64">
        <v>44408</v>
      </c>
      <c r="E5" s="17"/>
      <c r="F5" s="51"/>
      <c r="G5" s="17"/>
      <c r="H5" s="17"/>
      <c r="I5" s="17"/>
      <c r="J5" s="39"/>
      <c r="K5" s="17"/>
      <c r="L5" s="17"/>
      <c r="M5" s="17"/>
      <c r="N5" s="51"/>
      <c r="O5" s="61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3">
      <c r="A6" s="23"/>
      <c r="B6" s="47"/>
      <c r="C6" s="47"/>
      <c r="D6" s="23" t="s">
        <v>219</v>
      </c>
      <c r="E6" s="17"/>
      <c r="F6" s="51"/>
      <c r="G6" s="17"/>
      <c r="H6" s="17"/>
      <c r="I6" s="17"/>
      <c r="J6" s="39"/>
      <c r="K6" s="17"/>
      <c r="L6" s="17"/>
      <c r="M6" s="17"/>
      <c r="N6" s="51"/>
      <c r="O6" s="60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3">
      <c r="B7" s="63"/>
    </row>
    <row r="8" spans="1:26" x14ac:dyDescent="0.3">
      <c r="B8" s="63"/>
    </row>
    <row r="9" spans="1:26" x14ac:dyDescent="0.3">
      <c r="B9" s="9"/>
      <c r="C9" s="9"/>
      <c r="D9" s="15" t="s">
        <v>292</v>
      </c>
      <c r="E9" s="15"/>
      <c r="F9" s="38"/>
      <c r="G9" s="15"/>
      <c r="H9" s="15"/>
      <c r="I9" s="15"/>
      <c r="J9" s="49"/>
      <c r="K9" s="15"/>
      <c r="L9" s="15"/>
      <c r="M9" s="15"/>
      <c r="N9" s="38"/>
      <c r="P9" s="15" t="s">
        <v>39</v>
      </c>
      <c r="Q9" s="15"/>
      <c r="R9" s="38"/>
      <c r="S9" s="15"/>
      <c r="T9" s="15"/>
      <c r="U9" s="15"/>
      <c r="V9" s="49"/>
      <c r="W9" s="15"/>
      <c r="X9" s="15"/>
      <c r="Y9" s="15"/>
      <c r="Z9" s="38"/>
    </row>
    <row r="10" spans="1:26" x14ac:dyDescent="0.3">
      <c r="A10" s="10"/>
      <c r="B10" s="53"/>
      <c r="C10" s="10"/>
      <c r="D10" s="42" t="s">
        <v>57</v>
      </c>
      <c r="E10" s="34"/>
      <c r="F10" s="40" t="s">
        <v>40</v>
      </c>
      <c r="G10" s="34"/>
      <c r="H10" s="45" t="s">
        <v>238</v>
      </c>
      <c r="I10" s="34"/>
      <c r="J10" s="48" t="s">
        <v>58</v>
      </c>
      <c r="K10" s="10"/>
      <c r="L10" s="42" t="s">
        <v>127</v>
      </c>
      <c r="M10" s="10"/>
      <c r="N10" s="40" t="s">
        <v>258</v>
      </c>
      <c r="O10" s="10"/>
      <c r="P10" s="56" t="s">
        <v>57</v>
      </c>
      <c r="Q10" s="34"/>
      <c r="R10" s="40" t="s">
        <v>40</v>
      </c>
      <c r="S10" s="34"/>
      <c r="T10" s="45" t="s">
        <v>238</v>
      </c>
      <c r="U10" s="34"/>
      <c r="V10" s="48" t="s">
        <v>58</v>
      </c>
      <c r="W10" s="10"/>
      <c r="X10" s="42" t="s">
        <v>127</v>
      </c>
      <c r="Y10" s="10"/>
      <c r="Z10" s="40" t="s">
        <v>258</v>
      </c>
    </row>
    <row r="11" spans="1:26" ht="15.6" x14ac:dyDescent="0.3">
      <c r="A11" s="9"/>
      <c r="B11" s="58"/>
      <c r="C11" s="9"/>
      <c r="D11" s="9"/>
      <c r="E11" s="9"/>
      <c r="F11" s="6"/>
      <c r="G11" s="9"/>
      <c r="H11" s="9"/>
      <c r="I11" s="9"/>
      <c r="J11" s="46"/>
      <c r="K11" s="9"/>
      <c r="L11" s="9"/>
      <c r="M11" s="9"/>
      <c r="N11" s="6"/>
      <c r="P11" s="9"/>
      <c r="Q11" s="9"/>
      <c r="R11" s="6"/>
      <c r="S11" s="9"/>
      <c r="T11" s="9"/>
      <c r="U11" s="9"/>
      <c r="V11" s="46"/>
      <c r="W11" s="9"/>
      <c r="X11" s="9"/>
      <c r="Y11" s="9"/>
      <c r="Z11" s="6"/>
    </row>
    <row r="12" spans="1:26" s="23" customFormat="1" collapsed="1" x14ac:dyDescent="0.3">
      <c r="A12" s="10"/>
      <c r="B12" s="25" t="s">
        <v>140</v>
      </c>
      <c r="C12" s="10"/>
      <c r="D12" s="4">
        <f>SUM(OSRRefD13x_0)</f>
        <v>95306.299999999988</v>
      </c>
      <c r="E12" s="4"/>
      <c r="F12" s="12"/>
      <c r="G12" s="4"/>
      <c r="H12" s="4">
        <f>SUM(OSRRefH13x_0)</f>
        <v>277753</v>
      </c>
      <c r="I12" s="4"/>
      <c r="J12" s="12"/>
      <c r="K12" s="4"/>
      <c r="L12" s="4">
        <f t="shared" ref="L12:L16" si="0">+D12-H12</f>
        <v>-182446.7</v>
      </c>
      <c r="M12" s="4"/>
      <c r="N12" s="12">
        <f t="shared" ref="N12:N16" si="1">IF(H12=0,0,L12/H12)</f>
        <v>-0.65686671251075601</v>
      </c>
      <c r="O12" s="10"/>
      <c r="P12" s="4">
        <f>SUM(OSRRefP13x_0)</f>
        <v>95306.299999999988</v>
      </c>
      <c r="Q12" s="4"/>
      <c r="R12" s="12"/>
      <c r="S12" s="4"/>
      <c r="T12" s="4">
        <f>SUM(OSRRefT13x_0)</f>
        <v>277753</v>
      </c>
      <c r="U12" s="4"/>
      <c r="V12" s="12"/>
      <c r="W12" s="4"/>
      <c r="X12" s="4">
        <f t="shared" ref="X12:X16" si="2">+P12-T12</f>
        <v>-182446.7</v>
      </c>
      <c r="Y12" s="4"/>
      <c r="Z12" s="12">
        <f t="shared" ref="Z12:Z16" si="3">IF(T12=0,0,X12/T12)</f>
        <v>-0.65686671251075601</v>
      </c>
    </row>
    <row r="13" spans="1:26" s="24" customFormat="1" hidden="1" outlineLevel="1" x14ac:dyDescent="0.3">
      <c r="A13" s="44"/>
      <c r="B13" s="11" t="str">
        <f>CONCATENATE("          ", "4000", " - ", "TAXABLE SALES")</f>
        <v xml:space="preserve">          4000 - TAXABLE SALES</v>
      </c>
      <c r="C13" s="11"/>
      <c r="D13" s="3">
        <f>--81956.26</f>
        <v>81956.259999999995</v>
      </c>
      <c r="E13" s="3"/>
      <c r="F13" s="19"/>
      <c r="G13" s="3"/>
      <c r="H13" s="3">
        <v>267977</v>
      </c>
      <c r="I13" s="3"/>
      <c r="J13" s="19"/>
      <c r="K13" s="3"/>
      <c r="L13" s="3">
        <f t="shared" si="0"/>
        <v>-186020.74</v>
      </c>
      <c r="M13" s="3"/>
      <c r="N13" s="19">
        <f t="shared" si="1"/>
        <v>-0.69416681282348858</v>
      </c>
      <c r="O13" s="11"/>
      <c r="P13" s="3">
        <f>--81956.26</f>
        <v>81956.259999999995</v>
      </c>
      <c r="Q13" s="3"/>
      <c r="R13" s="19"/>
      <c r="S13" s="3"/>
      <c r="T13" s="3">
        <v>267977</v>
      </c>
      <c r="U13" s="3"/>
      <c r="V13" s="19"/>
      <c r="W13" s="3"/>
      <c r="X13" s="3">
        <f t="shared" si="2"/>
        <v>-186020.74</v>
      </c>
      <c r="Y13" s="3"/>
      <c r="Z13" s="19">
        <f t="shared" si="3"/>
        <v>-0.69416681282348858</v>
      </c>
    </row>
    <row r="14" spans="1:26" s="24" customFormat="1" hidden="1" outlineLevel="1" x14ac:dyDescent="0.3">
      <c r="A14" s="44"/>
      <c r="B14" s="11" t="str">
        <f>CONCATENATE("          ", "4100", " - ", "NON-TAXABLE SALES")</f>
        <v xml:space="preserve">          4100 - NON-TAXABLE SALES</v>
      </c>
      <c r="C14" s="11"/>
      <c r="D14" s="3">
        <f>--40967.98</f>
        <v>40967.980000000003</v>
      </c>
      <c r="E14" s="3"/>
      <c r="F14" s="19"/>
      <c r="G14" s="3"/>
      <c r="H14" s="3">
        <v>9776</v>
      </c>
      <c r="I14" s="3"/>
      <c r="J14" s="19"/>
      <c r="K14" s="3"/>
      <c r="L14" s="3">
        <f t="shared" si="0"/>
        <v>31191.980000000003</v>
      </c>
      <c r="M14" s="3"/>
      <c r="N14" s="19">
        <f t="shared" si="1"/>
        <v>3.1906689852700496</v>
      </c>
      <c r="O14" s="11"/>
      <c r="P14" s="3">
        <f>--40967.98</f>
        <v>40967.980000000003</v>
      </c>
      <c r="Q14" s="3"/>
      <c r="R14" s="19"/>
      <c r="S14" s="3"/>
      <c r="T14" s="3">
        <v>9776</v>
      </c>
      <c r="U14" s="3"/>
      <c r="V14" s="19"/>
      <c r="W14" s="3"/>
      <c r="X14" s="3">
        <f t="shared" si="2"/>
        <v>31191.980000000003</v>
      </c>
      <c r="Y14" s="3"/>
      <c r="Z14" s="19">
        <f t="shared" si="3"/>
        <v>3.1906689852700496</v>
      </c>
    </row>
    <row r="15" spans="1:26" s="24" customFormat="1" hidden="1" outlineLevel="1" x14ac:dyDescent="0.3">
      <c r="A15" s="44"/>
      <c r="B15" s="11" t="str">
        <f>CONCATENATE("          ", "4200", " - ", "TAXABLE RETURNS")</f>
        <v xml:space="preserve">          4200 - TAXABLE RETURNS</v>
      </c>
      <c r="C15" s="11"/>
      <c r="D15" s="3">
        <f>-27218.94</f>
        <v>-27218.94</v>
      </c>
      <c r="E15" s="3"/>
      <c r="F15" s="19"/>
      <c r="G15" s="3"/>
      <c r="H15" s="3"/>
      <c r="I15" s="3"/>
      <c r="J15" s="19"/>
      <c r="K15" s="3"/>
      <c r="L15" s="3">
        <f t="shared" si="0"/>
        <v>-27218.94</v>
      </c>
      <c r="M15" s="3"/>
      <c r="N15" s="19">
        <f t="shared" si="1"/>
        <v>0</v>
      </c>
      <c r="O15" s="11"/>
      <c r="P15" s="3">
        <f>-27218.94</f>
        <v>-27218.94</v>
      </c>
      <c r="Q15" s="3"/>
      <c r="R15" s="19"/>
      <c r="S15" s="3"/>
      <c r="T15" s="3"/>
      <c r="U15" s="3"/>
      <c r="V15" s="19"/>
      <c r="W15" s="3"/>
      <c r="X15" s="3">
        <f t="shared" si="2"/>
        <v>-27218.94</v>
      </c>
      <c r="Y15" s="3"/>
      <c r="Z15" s="19">
        <f t="shared" si="3"/>
        <v>0</v>
      </c>
    </row>
    <row r="16" spans="1:26" s="24" customFormat="1" hidden="1" outlineLevel="1" x14ac:dyDescent="0.3">
      <c r="A16" s="44"/>
      <c r="B16" s="11" t="str">
        <f>CONCATENATE("          ", "4300", " - ", "NON-TAX RETURNS")</f>
        <v xml:space="preserve">          4300 - NON-TAX RETURNS</v>
      </c>
      <c r="C16" s="11"/>
      <c r="D16" s="3">
        <f>-399</f>
        <v>-399</v>
      </c>
      <c r="E16" s="3"/>
      <c r="F16" s="19"/>
      <c r="G16" s="3"/>
      <c r="H16" s="3"/>
      <c r="I16" s="3"/>
      <c r="J16" s="19"/>
      <c r="K16" s="3"/>
      <c r="L16" s="3">
        <f t="shared" si="0"/>
        <v>-399</v>
      </c>
      <c r="M16" s="3"/>
      <c r="N16" s="19">
        <f t="shared" si="1"/>
        <v>0</v>
      </c>
      <c r="O16" s="11"/>
      <c r="P16" s="3">
        <f>-399</f>
        <v>-399</v>
      </c>
      <c r="Q16" s="3"/>
      <c r="R16" s="19"/>
      <c r="S16" s="3"/>
      <c r="T16" s="3"/>
      <c r="U16" s="3"/>
      <c r="V16" s="19"/>
      <c r="W16" s="3"/>
      <c r="X16" s="3">
        <f t="shared" si="2"/>
        <v>-399</v>
      </c>
      <c r="Y16" s="3"/>
      <c r="Z16" s="19">
        <f t="shared" si="3"/>
        <v>0</v>
      </c>
    </row>
    <row r="17" spans="1:26" x14ac:dyDescent="0.3">
      <c r="A17" s="9"/>
      <c r="B17" s="10"/>
      <c r="C17" s="9"/>
      <c r="D17" s="2"/>
      <c r="E17" s="2"/>
      <c r="F17" s="6"/>
      <c r="G17" s="2"/>
      <c r="H17" s="2"/>
      <c r="I17" s="2"/>
      <c r="J17" s="6"/>
      <c r="K17" s="2"/>
      <c r="L17" s="2"/>
      <c r="M17" s="2"/>
      <c r="N17" s="6"/>
      <c r="P17" s="2"/>
      <c r="Q17" s="2"/>
      <c r="R17" s="6"/>
      <c r="S17" s="2"/>
      <c r="T17" s="2"/>
      <c r="U17" s="2"/>
      <c r="V17" s="6"/>
      <c r="W17" s="2"/>
      <c r="X17" s="2"/>
      <c r="Y17" s="2"/>
      <c r="Z17" s="6"/>
    </row>
    <row r="18" spans="1:26" s="23" customFormat="1" collapsed="1" x14ac:dyDescent="0.3">
      <c r="A18" s="10"/>
      <c r="B18" s="25" t="s">
        <v>257</v>
      </c>
      <c r="C18" s="10"/>
      <c r="D18" s="4">
        <f>SUM(OSRRefD16x_0)</f>
        <v>82371.47</v>
      </c>
      <c r="E18" s="4"/>
      <c r="F18" s="12">
        <f t="shared" ref="F18:F28" si="4">IF(D$12=0,0,D18/D$12)</f>
        <v>0.86428147981822834</v>
      </c>
      <c r="G18" s="4"/>
      <c r="H18" s="4">
        <f>SUM(OSRRefH16x_0)</f>
        <v>248589</v>
      </c>
      <c r="I18" s="4"/>
      <c r="J18" s="12">
        <f t="shared" ref="J18:J28" si="5">IF(H$12=0,0,H18/H$12)</f>
        <v>0.8950002340208747</v>
      </c>
      <c r="K18" s="4"/>
      <c r="L18" s="4">
        <f t="shared" ref="L18:L28" si="6">+D18-H18</f>
        <v>-166217.53</v>
      </c>
      <c r="M18" s="4"/>
      <c r="N18" s="12">
        <f t="shared" ref="N18:N28" si="7">IF(H18=0,0,L18/H18)</f>
        <v>-0.66864394643367164</v>
      </c>
      <c r="O18" s="10"/>
      <c r="P18" s="4">
        <f>SUM(OSRRefP16x_0)</f>
        <v>82371.47</v>
      </c>
      <c r="Q18" s="4"/>
      <c r="R18" s="12">
        <f t="shared" ref="R18:R28" si="8">IF(P$12=0,0,P18/P$12)</f>
        <v>0.86428147981822834</v>
      </c>
      <c r="S18" s="4"/>
      <c r="T18" s="4">
        <f>SUM(OSRRefT16x_0)</f>
        <v>248589</v>
      </c>
      <c r="U18" s="4"/>
      <c r="V18" s="12">
        <f t="shared" ref="V18:V28" si="9">IF(T$12=0,0,T18/T$12)</f>
        <v>0.8950002340208747</v>
      </c>
      <c r="W18" s="4"/>
      <c r="X18" s="4">
        <f t="shared" ref="X18:X28" si="10">+P18-T18</f>
        <v>-166217.53</v>
      </c>
      <c r="Y18" s="4"/>
      <c r="Z18" s="12">
        <f t="shared" ref="Z18:Z28" si="11">IF(T18=0,0,X18/T18)</f>
        <v>-0.66864394643367164</v>
      </c>
    </row>
    <row r="19" spans="1:26" s="24" customFormat="1" hidden="1" outlineLevel="1" x14ac:dyDescent="0.3">
      <c r="A19" s="44"/>
      <c r="B19" s="11" t="str">
        <f>CONCATENATE("          ", "5000", " - ", "PURCHASES @ COST")</f>
        <v xml:space="preserve">          5000 - PURCHASES @ COST</v>
      </c>
      <c r="C19" s="11"/>
      <c r="D19" s="3">
        <v>97362.54</v>
      </c>
      <c r="E19" s="3"/>
      <c r="F19" s="19">
        <f t="shared" si="4"/>
        <v>1.0215750690143255</v>
      </c>
      <c r="G19" s="3"/>
      <c r="H19" s="3">
        <v>248589</v>
      </c>
      <c r="I19" s="3"/>
      <c r="J19" s="19">
        <f t="shared" si="5"/>
        <v>0.8950002340208747</v>
      </c>
      <c r="K19" s="3"/>
      <c r="L19" s="3">
        <f t="shared" si="6"/>
        <v>-151226.46000000002</v>
      </c>
      <c r="M19" s="3"/>
      <c r="N19" s="19">
        <f t="shared" si="7"/>
        <v>-0.60833930704898453</v>
      </c>
      <c r="O19" s="11"/>
      <c r="P19" s="3">
        <v>97362.54</v>
      </c>
      <c r="Q19" s="3"/>
      <c r="R19" s="19">
        <f t="shared" si="8"/>
        <v>1.0215750690143255</v>
      </c>
      <c r="S19" s="3"/>
      <c r="T19" s="3">
        <v>248589</v>
      </c>
      <c r="U19" s="3"/>
      <c r="V19" s="19">
        <f t="shared" si="9"/>
        <v>0.8950002340208747</v>
      </c>
      <c r="W19" s="3"/>
      <c r="X19" s="3">
        <f t="shared" si="10"/>
        <v>-151226.46000000002</v>
      </c>
      <c r="Y19" s="3"/>
      <c r="Z19" s="19">
        <f t="shared" si="11"/>
        <v>-0.60833930704898453</v>
      </c>
    </row>
    <row r="20" spans="1:26" s="24" customFormat="1" hidden="1" outlineLevel="1" x14ac:dyDescent="0.3">
      <c r="A20" s="44"/>
      <c r="B20" s="11" t="str">
        <f>CONCATENATE("          ", "5081", " - ", "PURCHASES @ COST-ELECTRONICS")</f>
        <v xml:space="preserve">          5081 - PURCHASES @ COST-ELECTRONICS</v>
      </c>
      <c r="C20" s="11"/>
      <c r="D20" s="3">
        <v>0</v>
      </c>
      <c r="E20" s="3"/>
      <c r="F20" s="19">
        <f t="shared" si="4"/>
        <v>0</v>
      </c>
      <c r="G20" s="3"/>
      <c r="H20" s="3"/>
      <c r="I20" s="3"/>
      <c r="J20" s="19">
        <f t="shared" si="5"/>
        <v>0</v>
      </c>
      <c r="K20" s="3"/>
      <c r="L20" s="3">
        <f t="shared" si="6"/>
        <v>0</v>
      </c>
      <c r="M20" s="3"/>
      <c r="N20" s="19">
        <f t="shared" si="7"/>
        <v>0</v>
      </c>
      <c r="O20" s="11"/>
      <c r="P20" s="3">
        <v>0</v>
      </c>
      <c r="Q20" s="3"/>
      <c r="R20" s="19">
        <f t="shared" si="8"/>
        <v>0</v>
      </c>
      <c r="S20" s="3"/>
      <c r="T20" s="3"/>
      <c r="U20" s="3"/>
      <c r="V20" s="19">
        <f t="shared" si="9"/>
        <v>0</v>
      </c>
      <c r="W20" s="3"/>
      <c r="X20" s="3">
        <f t="shared" si="10"/>
        <v>0</v>
      </c>
      <c r="Y20" s="3"/>
      <c r="Z20" s="19">
        <f t="shared" si="11"/>
        <v>0</v>
      </c>
    </row>
    <row r="21" spans="1:26" s="24" customFormat="1" hidden="1" outlineLevel="1" x14ac:dyDescent="0.3">
      <c r="A21" s="44"/>
      <c r="B21" s="11" t="str">
        <f>CONCATENATE("          ", "5082", " - ", "PURCHASES @ COST-COMPUTER HARD")</f>
        <v xml:space="preserve">          5082 - PURCHASES @ COST-COMPUTER HARD</v>
      </c>
      <c r="C21" s="11"/>
      <c r="D21" s="3">
        <v>-10902.62</v>
      </c>
      <c r="E21" s="3"/>
      <c r="F21" s="19">
        <f t="shared" si="4"/>
        <v>-0.1143955856013716</v>
      </c>
      <c r="G21" s="3"/>
      <c r="H21" s="3"/>
      <c r="I21" s="3"/>
      <c r="J21" s="19">
        <f t="shared" si="5"/>
        <v>0</v>
      </c>
      <c r="K21" s="3"/>
      <c r="L21" s="3">
        <f t="shared" si="6"/>
        <v>-10902.62</v>
      </c>
      <c r="M21" s="3"/>
      <c r="N21" s="19">
        <f t="shared" si="7"/>
        <v>0</v>
      </c>
      <c r="O21" s="11"/>
      <c r="P21" s="3">
        <v>-10902.62</v>
      </c>
      <c r="Q21" s="3"/>
      <c r="R21" s="19">
        <f t="shared" si="8"/>
        <v>-0.1143955856013716</v>
      </c>
      <c r="S21" s="3"/>
      <c r="T21" s="3"/>
      <c r="U21" s="3"/>
      <c r="V21" s="19">
        <f t="shared" si="9"/>
        <v>0</v>
      </c>
      <c r="W21" s="3"/>
      <c r="X21" s="3">
        <f t="shared" si="10"/>
        <v>-10902.62</v>
      </c>
      <c r="Y21" s="3"/>
      <c r="Z21" s="19">
        <f t="shared" si="11"/>
        <v>0</v>
      </c>
    </row>
    <row r="22" spans="1:26" s="24" customFormat="1" hidden="1" outlineLevel="1" x14ac:dyDescent="0.3">
      <c r="A22" s="44"/>
      <c r="B22" s="11" t="str">
        <f>CONCATENATE("          ", "5083", " - ", "PURCHASES @ COST-COMPUTER EQUI")</f>
        <v xml:space="preserve">          5083 - PURCHASES @ COST-COMPUTER EQUI</v>
      </c>
      <c r="C22" s="11"/>
      <c r="D22" s="3">
        <v>0</v>
      </c>
      <c r="E22" s="3"/>
      <c r="F22" s="19">
        <f t="shared" si="4"/>
        <v>0</v>
      </c>
      <c r="G22" s="3"/>
      <c r="H22" s="3"/>
      <c r="I22" s="3"/>
      <c r="J22" s="19">
        <f t="shared" si="5"/>
        <v>0</v>
      </c>
      <c r="K22" s="3"/>
      <c r="L22" s="3">
        <f t="shared" si="6"/>
        <v>0</v>
      </c>
      <c r="M22" s="3"/>
      <c r="N22" s="19">
        <f t="shared" si="7"/>
        <v>0</v>
      </c>
      <c r="O22" s="11"/>
      <c r="P22" s="3">
        <v>0</v>
      </c>
      <c r="Q22" s="3"/>
      <c r="R22" s="19">
        <f t="shared" si="8"/>
        <v>0</v>
      </c>
      <c r="S22" s="3"/>
      <c r="T22" s="3"/>
      <c r="U22" s="3"/>
      <c r="V22" s="19">
        <f t="shared" si="9"/>
        <v>0</v>
      </c>
      <c r="W22" s="3"/>
      <c r="X22" s="3">
        <f t="shared" si="10"/>
        <v>0</v>
      </c>
      <c r="Y22" s="3"/>
      <c r="Z22" s="19">
        <f t="shared" si="11"/>
        <v>0</v>
      </c>
    </row>
    <row r="23" spans="1:26" s="24" customFormat="1" hidden="1" outlineLevel="1" x14ac:dyDescent="0.3">
      <c r="A23" s="44"/>
      <c r="B23" s="11" t="str">
        <f>CONCATENATE("          ", "5085", " - ", "PURCHASES @ COST-SOFTWARE")</f>
        <v xml:space="preserve">          5085 - PURCHASES @ COST-SOFTWARE</v>
      </c>
      <c r="C23" s="11"/>
      <c r="D23" s="3">
        <v>0</v>
      </c>
      <c r="E23" s="3"/>
      <c r="F23" s="19">
        <f t="shared" si="4"/>
        <v>0</v>
      </c>
      <c r="G23" s="3"/>
      <c r="H23" s="3"/>
      <c r="I23" s="3"/>
      <c r="J23" s="19">
        <f t="shared" si="5"/>
        <v>0</v>
      </c>
      <c r="K23" s="3"/>
      <c r="L23" s="3">
        <f t="shared" si="6"/>
        <v>0</v>
      </c>
      <c r="M23" s="3"/>
      <c r="N23" s="19">
        <f t="shared" si="7"/>
        <v>0</v>
      </c>
      <c r="O23" s="11"/>
      <c r="P23" s="3">
        <v>0</v>
      </c>
      <c r="Q23" s="3"/>
      <c r="R23" s="19">
        <f t="shared" si="8"/>
        <v>0</v>
      </c>
      <c r="S23" s="3"/>
      <c r="T23" s="3"/>
      <c r="U23" s="3"/>
      <c r="V23" s="19">
        <f t="shared" si="9"/>
        <v>0</v>
      </c>
      <c r="W23" s="3"/>
      <c r="X23" s="3">
        <f t="shared" si="10"/>
        <v>0</v>
      </c>
      <c r="Y23" s="3"/>
      <c r="Z23" s="19">
        <f t="shared" si="11"/>
        <v>0</v>
      </c>
    </row>
    <row r="24" spans="1:26" s="24" customFormat="1" hidden="1" outlineLevel="1" x14ac:dyDescent="0.3">
      <c r="A24" s="44"/>
      <c r="B24" s="11" t="str">
        <f>CONCATENATE("          ", "5086", " - ", "PURCHASES @ COST-COMPUTER SUPP")</f>
        <v xml:space="preserve">          5086 - PURCHASES @ COST-COMPUTER SUPP</v>
      </c>
      <c r="C24" s="11"/>
      <c r="D24" s="3">
        <v>0</v>
      </c>
      <c r="E24" s="3"/>
      <c r="F24" s="19">
        <f t="shared" si="4"/>
        <v>0</v>
      </c>
      <c r="G24" s="3"/>
      <c r="H24" s="3"/>
      <c r="I24" s="3"/>
      <c r="J24" s="19">
        <f t="shared" si="5"/>
        <v>0</v>
      </c>
      <c r="K24" s="3"/>
      <c r="L24" s="3">
        <f t="shared" si="6"/>
        <v>0</v>
      </c>
      <c r="M24" s="3"/>
      <c r="N24" s="19">
        <f t="shared" si="7"/>
        <v>0</v>
      </c>
      <c r="O24" s="11"/>
      <c r="P24" s="3">
        <v>0</v>
      </c>
      <c r="Q24" s="3"/>
      <c r="R24" s="19">
        <f t="shared" si="8"/>
        <v>0</v>
      </c>
      <c r="S24" s="3"/>
      <c r="T24" s="3"/>
      <c r="U24" s="3"/>
      <c r="V24" s="19">
        <f t="shared" si="9"/>
        <v>0</v>
      </c>
      <c r="W24" s="3"/>
      <c r="X24" s="3">
        <f t="shared" si="10"/>
        <v>0</v>
      </c>
      <c r="Y24" s="3"/>
      <c r="Z24" s="19">
        <f t="shared" si="11"/>
        <v>0</v>
      </c>
    </row>
    <row r="25" spans="1:26" s="24" customFormat="1" hidden="1" outlineLevel="1" x14ac:dyDescent="0.3">
      <c r="A25" s="44"/>
      <c r="B25" s="11" t="str">
        <f>CONCATENATE("          ", "5200", " - ", "PURCHASES OFFSET")</f>
        <v xml:space="preserve">          5200 - PURCHASES OFFSET</v>
      </c>
      <c r="C25" s="11"/>
      <c r="D25" s="3">
        <v>-97382.65</v>
      </c>
      <c r="E25" s="3"/>
      <c r="F25" s="19">
        <f t="shared" si="4"/>
        <v>-1.0217860729038899</v>
      </c>
      <c r="G25" s="3"/>
      <c r="H25" s="3"/>
      <c r="I25" s="3"/>
      <c r="J25" s="19">
        <f t="shared" si="5"/>
        <v>0</v>
      </c>
      <c r="K25" s="3"/>
      <c r="L25" s="3">
        <f t="shared" si="6"/>
        <v>-97382.65</v>
      </c>
      <c r="M25" s="3"/>
      <c r="N25" s="19">
        <f t="shared" si="7"/>
        <v>0</v>
      </c>
      <c r="O25" s="11"/>
      <c r="P25" s="3">
        <v>-97382.65</v>
      </c>
      <c r="Q25" s="3"/>
      <c r="R25" s="19">
        <f t="shared" si="8"/>
        <v>-1.0217860729038899</v>
      </c>
      <c r="S25" s="3"/>
      <c r="T25" s="3"/>
      <c r="U25" s="3"/>
      <c r="V25" s="19">
        <f t="shared" si="9"/>
        <v>0</v>
      </c>
      <c r="W25" s="3"/>
      <c r="X25" s="3">
        <f t="shared" si="10"/>
        <v>-97382.65</v>
      </c>
      <c r="Y25" s="3"/>
      <c r="Z25" s="19">
        <f t="shared" si="11"/>
        <v>0</v>
      </c>
    </row>
    <row r="26" spans="1:26" s="24" customFormat="1" hidden="1" outlineLevel="1" x14ac:dyDescent="0.3">
      <c r="A26" s="44"/>
      <c r="B26" s="11" t="str">
        <f>CONCATENATE("          ", "5300", " - ", "COG$ OFFSET")</f>
        <v xml:space="preserve">          5300 - COG$ OFFSET</v>
      </c>
      <c r="C26" s="11"/>
      <c r="D26" s="3">
        <v>93274.09</v>
      </c>
      <c r="E26" s="3"/>
      <c r="F26" s="19">
        <f t="shared" si="4"/>
        <v>0.97867706541959987</v>
      </c>
      <c r="G26" s="3"/>
      <c r="H26" s="3"/>
      <c r="I26" s="3"/>
      <c r="J26" s="19">
        <f t="shared" si="5"/>
        <v>0</v>
      </c>
      <c r="K26" s="3"/>
      <c r="L26" s="3">
        <f t="shared" si="6"/>
        <v>93274.09</v>
      </c>
      <c r="M26" s="3"/>
      <c r="N26" s="19">
        <f t="shared" si="7"/>
        <v>0</v>
      </c>
      <c r="O26" s="11"/>
      <c r="P26" s="3">
        <v>93274.09</v>
      </c>
      <c r="Q26" s="3"/>
      <c r="R26" s="19">
        <f t="shared" si="8"/>
        <v>0.97867706541959987</v>
      </c>
      <c r="S26" s="3"/>
      <c r="T26" s="3"/>
      <c r="U26" s="3"/>
      <c r="V26" s="19">
        <f t="shared" si="9"/>
        <v>0</v>
      </c>
      <c r="W26" s="3"/>
      <c r="X26" s="3">
        <f t="shared" si="10"/>
        <v>93274.09</v>
      </c>
      <c r="Y26" s="3"/>
      <c r="Z26" s="19">
        <f t="shared" si="11"/>
        <v>0</v>
      </c>
    </row>
    <row r="27" spans="1:26" s="24" customFormat="1" hidden="1" outlineLevel="1" x14ac:dyDescent="0.3">
      <c r="A27" s="44"/>
      <c r="B27" s="11" t="str">
        <f>CONCATENATE("          ", "5500", " - ", "FREIGHT-IN")</f>
        <v xml:space="preserve">          5500 - FREIGHT-IN</v>
      </c>
      <c r="C27" s="11"/>
      <c r="D27" s="3">
        <v>20.11</v>
      </c>
      <c r="E27" s="3"/>
      <c r="F27" s="19">
        <f t="shared" si="4"/>
        <v>2.1100388956448842E-4</v>
      </c>
      <c r="G27" s="3"/>
      <c r="H27" s="3"/>
      <c r="I27" s="3"/>
      <c r="J27" s="19">
        <f t="shared" si="5"/>
        <v>0</v>
      </c>
      <c r="K27" s="3"/>
      <c r="L27" s="3">
        <f t="shared" si="6"/>
        <v>20.11</v>
      </c>
      <c r="M27" s="3"/>
      <c r="N27" s="19">
        <f t="shared" si="7"/>
        <v>0</v>
      </c>
      <c r="O27" s="11"/>
      <c r="P27" s="3">
        <v>20.11</v>
      </c>
      <c r="Q27" s="3"/>
      <c r="R27" s="19">
        <f t="shared" si="8"/>
        <v>2.1100388956448842E-4</v>
      </c>
      <c r="S27" s="3"/>
      <c r="T27" s="3"/>
      <c r="U27" s="3"/>
      <c r="V27" s="19">
        <f t="shared" si="9"/>
        <v>0</v>
      </c>
      <c r="W27" s="3"/>
      <c r="X27" s="3">
        <f t="shared" si="10"/>
        <v>20.11</v>
      </c>
      <c r="Y27" s="3"/>
      <c r="Z27" s="19">
        <f t="shared" si="11"/>
        <v>0</v>
      </c>
    </row>
    <row r="28" spans="1:26" s="24" customFormat="1" hidden="1" outlineLevel="1" x14ac:dyDescent="0.3">
      <c r="A28" s="44"/>
      <c r="B28" s="11" t="str">
        <f>CONCATENATE("          ", "5583", " - ", "FREIGHT-IN-COMPUTER EQUIPMENT")</f>
        <v xml:space="preserve">          5583 - FREIGHT-IN-COMPUTER EQUIPMENT</v>
      </c>
      <c r="C28" s="11"/>
      <c r="D28" s="3">
        <v>0</v>
      </c>
      <c r="E28" s="3"/>
      <c r="F28" s="19">
        <f t="shared" si="4"/>
        <v>0</v>
      </c>
      <c r="G28" s="3"/>
      <c r="H28" s="3"/>
      <c r="I28" s="3"/>
      <c r="J28" s="19">
        <f t="shared" si="5"/>
        <v>0</v>
      </c>
      <c r="K28" s="3"/>
      <c r="L28" s="3">
        <f t="shared" si="6"/>
        <v>0</v>
      </c>
      <c r="M28" s="3"/>
      <c r="N28" s="19">
        <f t="shared" si="7"/>
        <v>0</v>
      </c>
      <c r="O28" s="11"/>
      <c r="P28" s="3">
        <v>0</v>
      </c>
      <c r="Q28" s="3"/>
      <c r="R28" s="19">
        <f t="shared" si="8"/>
        <v>0</v>
      </c>
      <c r="S28" s="3"/>
      <c r="T28" s="3"/>
      <c r="U28" s="3"/>
      <c r="V28" s="19">
        <f t="shared" si="9"/>
        <v>0</v>
      </c>
      <c r="W28" s="3"/>
      <c r="X28" s="3">
        <f t="shared" si="10"/>
        <v>0</v>
      </c>
      <c r="Y28" s="3"/>
      <c r="Z28" s="19">
        <f t="shared" si="11"/>
        <v>0</v>
      </c>
    </row>
    <row r="29" spans="1:26" x14ac:dyDescent="0.3">
      <c r="A29" s="9"/>
      <c r="B29" s="10"/>
      <c r="C29" s="10"/>
      <c r="D29" s="2"/>
      <c r="E29" s="2"/>
      <c r="F29" s="6"/>
      <c r="G29" s="2"/>
      <c r="H29" s="2"/>
      <c r="I29" s="2"/>
      <c r="J29" s="6"/>
      <c r="K29" s="2"/>
      <c r="L29" s="2"/>
      <c r="M29" s="2"/>
      <c r="N29" s="6"/>
      <c r="O29" s="10"/>
      <c r="P29" s="2"/>
      <c r="Q29" s="2"/>
      <c r="R29" s="6"/>
      <c r="S29" s="2"/>
      <c r="T29" s="2"/>
      <c r="U29" s="2"/>
      <c r="V29" s="6"/>
      <c r="W29" s="2"/>
      <c r="X29" s="2"/>
      <c r="Y29" s="2"/>
      <c r="Z29" s="6"/>
    </row>
    <row r="30" spans="1:26" s="23" customFormat="1" x14ac:dyDescent="0.3">
      <c r="A30" s="10"/>
      <c r="B30" s="26" t="s">
        <v>108</v>
      </c>
      <c r="C30" s="26"/>
      <c r="D30" s="21">
        <f>D12-D18</f>
        <v>12934.829999999987</v>
      </c>
      <c r="E30" s="13"/>
      <c r="F30" s="22">
        <f>IF(D$12=0,0,D30/D$12)</f>
        <v>0.13571852018177172</v>
      </c>
      <c r="G30" s="13"/>
      <c r="H30" s="21">
        <f>H12-H18</f>
        <v>29164</v>
      </c>
      <c r="I30" s="13"/>
      <c r="J30" s="22">
        <f>IF(H$12=0,0,H30/H$12)</f>
        <v>0.10499976597912533</v>
      </c>
      <c r="K30" s="16"/>
      <c r="L30" s="21">
        <f>+D30-H30</f>
        <v>-16229.170000000013</v>
      </c>
      <c r="M30" s="16"/>
      <c r="N30" s="22">
        <f>IF(H30=0,0,L30/H30)</f>
        <v>-0.55647956384583774</v>
      </c>
      <c r="O30" s="25"/>
      <c r="P30" s="21">
        <f>P12-P18</f>
        <v>12934.829999999987</v>
      </c>
      <c r="Q30" s="13"/>
      <c r="R30" s="22">
        <f>IF(P$12=0,0,P30/P$12)</f>
        <v>0.13571852018177172</v>
      </c>
      <c r="S30" s="13"/>
      <c r="T30" s="21">
        <f>T12-T18</f>
        <v>29164</v>
      </c>
      <c r="U30" s="13"/>
      <c r="V30" s="22">
        <f>IF(T$12=0,0,T30/T$12)</f>
        <v>0.10499976597912533</v>
      </c>
      <c r="W30" s="16"/>
      <c r="X30" s="21">
        <f>+P30-T30</f>
        <v>-16229.170000000013</v>
      </c>
      <c r="Y30" s="16"/>
      <c r="Z30" s="22">
        <f>IF(T30=0,0,X30/T30)</f>
        <v>-0.55647956384583774</v>
      </c>
    </row>
    <row r="31" spans="1:26" x14ac:dyDescent="0.3">
      <c r="A31" s="9"/>
      <c r="B31" s="10"/>
      <c r="C31" s="9"/>
      <c r="D31" s="1"/>
      <c r="E31" s="1"/>
      <c r="F31" s="5"/>
      <c r="G31" s="1"/>
      <c r="H31" s="1"/>
      <c r="I31" s="1"/>
      <c r="J31" s="5"/>
      <c r="K31" s="1"/>
      <c r="L31" s="1"/>
      <c r="M31" s="1"/>
      <c r="N31" s="5"/>
      <c r="O31" s="36"/>
      <c r="P31" s="1"/>
      <c r="Q31" s="1"/>
      <c r="R31" s="5"/>
      <c r="S31" s="1"/>
      <c r="T31" s="1"/>
      <c r="U31" s="1"/>
      <c r="V31" s="5"/>
      <c r="W31" s="1"/>
      <c r="X31" s="1"/>
      <c r="Y31" s="1"/>
      <c r="Z31" s="5"/>
    </row>
    <row r="32" spans="1:26" s="23" customFormat="1" x14ac:dyDescent="0.3">
      <c r="A32" s="10"/>
      <c r="B32" s="25" t="s">
        <v>295</v>
      </c>
      <c r="C32" s="10"/>
      <c r="D32" s="20">
        <f>SUM(OSRRefD22x_0)</f>
        <v>16884.670000000002</v>
      </c>
      <c r="E32" s="20"/>
      <c r="F32" s="32">
        <f t="shared" ref="F32:F43" si="12">IF(D$12=0,0,D32/D$12)</f>
        <v>0.17716216031888768</v>
      </c>
      <c r="G32" s="20"/>
      <c r="H32" s="20">
        <f>SUM(OSRRefH22x_0)</f>
        <v>17140.7563610875</v>
      </c>
      <c r="I32" s="20"/>
      <c r="J32" s="32">
        <f t="shared" ref="J32:J43" si="13">IF(H$12=0,0,H32/H$12)</f>
        <v>6.1712227630619655E-2</v>
      </c>
      <c r="K32" s="4"/>
      <c r="L32" s="20">
        <f t="shared" ref="L32:L43" si="14">+D32-H32</f>
        <v>-256.08636108749852</v>
      </c>
      <c r="M32" s="4"/>
      <c r="N32" s="32">
        <f t="shared" ref="N32:N43" si="15">IF(H32=0,0,L32/H32)</f>
        <v>-1.4940201919494004E-2</v>
      </c>
      <c r="O32" s="10"/>
      <c r="P32" s="20">
        <f>SUM(OSRRefP22x_0)</f>
        <v>16884.670000000002</v>
      </c>
      <c r="Q32" s="20"/>
      <c r="R32" s="32">
        <f t="shared" ref="R32:R43" si="16">IF(P$12=0,0,P32/P$12)</f>
        <v>0.17716216031888768</v>
      </c>
      <c r="S32" s="20"/>
      <c r="T32" s="20">
        <f>SUM(OSRRefT22x_0)</f>
        <v>17140.7563610875</v>
      </c>
      <c r="U32" s="20"/>
      <c r="V32" s="32">
        <f t="shared" ref="V32:V43" si="17">IF(T$12=0,0,T32/T$12)</f>
        <v>6.1712227630619655E-2</v>
      </c>
      <c r="W32" s="4"/>
      <c r="X32" s="20">
        <f t="shared" ref="X32:X43" si="18">+P32-T32</f>
        <v>-256.08636108749852</v>
      </c>
      <c r="Y32" s="4"/>
      <c r="Z32" s="32">
        <f t="shared" ref="Z32:Z43" si="19">IF(T32=0,0,X32/T32)</f>
        <v>-1.4940201919494004E-2</v>
      </c>
    </row>
    <row r="33" spans="1:26" s="27" customFormat="1" outlineLevel="1" collapsed="1" x14ac:dyDescent="0.3">
      <c r="A33" s="28"/>
      <c r="B33" s="14" t="str">
        <f>CONCATENATE("     ","*Benefits                                         ")</f>
        <v xml:space="preserve">     *Benefits                                         </v>
      </c>
      <c r="C33" s="14"/>
      <c r="D33" s="1">
        <f>SUM(OSRRefD22_0x_0)</f>
        <v>2159.6000000000004</v>
      </c>
      <c r="E33" s="1"/>
      <c r="F33" s="5">
        <f t="shared" si="12"/>
        <v>2.2659572347263512E-2</v>
      </c>
      <c r="G33" s="1"/>
      <c r="H33" s="1">
        <f>SUM(OSRRefH22_0x_0)</f>
        <v>3317.8181735875005</v>
      </c>
      <c r="I33" s="1"/>
      <c r="J33" s="5">
        <f t="shared" si="13"/>
        <v>1.1945210937730648E-2</v>
      </c>
      <c r="K33" s="1"/>
      <c r="L33" s="1">
        <f t="shared" si="14"/>
        <v>-1158.2181735875001</v>
      </c>
      <c r="M33" s="1"/>
      <c r="N33" s="5">
        <f t="shared" si="15"/>
        <v>-0.34909030965224308</v>
      </c>
      <c r="O33" s="14"/>
      <c r="P33" s="1">
        <f>SUM(OSRRefP22_0x_0)</f>
        <v>2159.6000000000004</v>
      </c>
      <c r="Q33" s="1"/>
      <c r="R33" s="5">
        <f t="shared" si="16"/>
        <v>2.2659572347263512E-2</v>
      </c>
      <c r="S33" s="1"/>
      <c r="T33" s="1">
        <f>SUM(OSRRefT22_0x_0)</f>
        <v>3317.8181735875005</v>
      </c>
      <c r="U33" s="1"/>
      <c r="V33" s="5">
        <f t="shared" si="17"/>
        <v>1.1945210937730648E-2</v>
      </c>
      <c r="W33" s="1"/>
      <c r="X33" s="1">
        <f t="shared" si="18"/>
        <v>-1158.2181735875001</v>
      </c>
      <c r="Y33" s="1"/>
      <c r="Z33" s="5">
        <f t="shared" si="19"/>
        <v>-0.34909030965224308</v>
      </c>
    </row>
    <row r="34" spans="1:26" s="24" customFormat="1" hidden="1" outlineLevel="2" x14ac:dyDescent="0.3">
      <c r="A34" s="29"/>
      <c r="B34" s="11" t="str">
        <f>CONCATENATE("          ", "6111", " - ", "F.I.C.A.")</f>
        <v xml:space="preserve">          6111 - F.I.C.A.</v>
      </c>
      <c r="C34" s="11"/>
      <c r="D34" s="8">
        <v>653.55999999999995</v>
      </c>
      <c r="E34" s="3"/>
      <c r="F34" s="7">
        <f t="shared" si="12"/>
        <v>6.8574690235587788E-3</v>
      </c>
      <c r="G34" s="3"/>
      <c r="H34" s="8">
        <v>905.07907946249998</v>
      </c>
      <c r="I34" s="3"/>
      <c r="J34" s="7">
        <f t="shared" si="13"/>
        <v>3.2585753509863078E-3</v>
      </c>
      <c r="K34" s="3"/>
      <c r="L34" s="8">
        <f t="shared" si="14"/>
        <v>-251.51907946250003</v>
      </c>
      <c r="M34" s="3"/>
      <c r="N34" s="7">
        <f t="shared" si="15"/>
        <v>-0.27789735192185622</v>
      </c>
      <c r="O34" s="11"/>
      <c r="P34" s="8">
        <v>653.55999999999995</v>
      </c>
      <c r="Q34" s="3"/>
      <c r="R34" s="7">
        <f t="shared" si="16"/>
        <v>6.8574690235587788E-3</v>
      </c>
      <c r="S34" s="3"/>
      <c r="T34" s="8">
        <v>905.07907946249998</v>
      </c>
      <c r="U34" s="3"/>
      <c r="V34" s="7">
        <f t="shared" si="17"/>
        <v>3.2585753509863078E-3</v>
      </c>
      <c r="W34" s="3"/>
      <c r="X34" s="8">
        <f t="shared" si="18"/>
        <v>-251.51907946250003</v>
      </c>
      <c r="Y34" s="3"/>
      <c r="Z34" s="7">
        <f t="shared" si="19"/>
        <v>-0.27789735192185622</v>
      </c>
    </row>
    <row r="35" spans="1:26" s="24" customFormat="1" hidden="1" outlineLevel="2" x14ac:dyDescent="0.3">
      <c r="A35" s="29"/>
      <c r="B35" s="11" t="str">
        <f>CONCATENATE("          ", "6112", " - ", "COMPENSATION INSURANCE")</f>
        <v xml:space="preserve">          6112 - COMPENSATION INSURANCE</v>
      </c>
      <c r="C35" s="11"/>
      <c r="D35" s="8">
        <v>177.36</v>
      </c>
      <c r="E35" s="3"/>
      <c r="F35" s="7">
        <f t="shared" si="12"/>
        <v>1.8609472826035638E-3</v>
      </c>
      <c r="G35" s="3"/>
      <c r="H35" s="8">
        <v>184.4927955</v>
      </c>
      <c r="I35" s="3"/>
      <c r="J35" s="7">
        <f t="shared" si="13"/>
        <v>6.6423331341155633E-4</v>
      </c>
      <c r="K35" s="3"/>
      <c r="L35" s="8">
        <f t="shared" si="14"/>
        <v>-7.1327954999999861</v>
      </c>
      <c r="M35" s="3"/>
      <c r="N35" s="7">
        <f t="shared" si="15"/>
        <v>-3.8661647901584245E-2</v>
      </c>
      <c r="O35" s="11"/>
      <c r="P35" s="8">
        <v>177.36</v>
      </c>
      <c r="Q35" s="3"/>
      <c r="R35" s="7">
        <f t="shared" si="16"/>
        <v>1.8609472826035638E-3</v>
      </c>
      <c r="S35" s="3"/>
      <c r="T35" s="8">
        <v>184.4927955</v>
      </c>
      <c r="U35" s="3"/>
      <c r="V35" s="7">
        <f t="shared" si="17"/>
        <v>6.6423331341155633E-4</v>
      </c>
      <c r="W35" s="3"/>
      <c r="X35" s="8">
        <f t="shared" si="18"/>
        <v>-7.1327954999999861</v>
      </c>
      <c r="Y35" s="3"/>
      <c r="Z35" s="7">
        <f t="shared" si="19"/>
        <v>-3.8661647901584245E-2</v>
      </c>
    </row>
    <row r="36" spans="1:26" s="24" customFormat="1" hidden="1" outlineLevel="2" x14ac:dyDescent="0.3">
      <c r="A36" s="29"/>
      <c r="B36" s="11" t="str">
        <f>CONCATENATE("          ", "6113", " - ", "GROUP INSURANCE")</f>
        <v xml:space="preserve">          6113 - GROUP INSURANCE</v>
      </c>
      <c r="C36" s="11"/>
      <c r="D36" s="8">
        <v>828.27</v>
      </c>
      <c r="E36" s="3"/>
      <c r="F36" s="7">
        <f t="shared" si="12"/>
        <v>8.6906112187756755E-3</v>
      </c>
      <c r="G36" s="3"/>
      <c r="H36" s="8">
        <v>1096.5</v>
      </c>
      <c r="I36" s="3"/>
      <c r="J36" s="7">
        <f t="shared" si="13"/>
        <v>3.9477521394908422E-3</v>
      </c>
      <c r="K36" s="3"/>
      <c r="L36" s="8">
        <f t="shared" si="14"/>
        <v>-268.23</v>
      </c>
      <c r="M36" s="3"/>
      <c r="N36" s="7">
        <f t="shared" si="15"/>
        <v>-0.24462380300957595</v>
      </c>
      <c r="O36" s="11"/>
      <c r="P36" s="8">
        <v>828.27</v>
      </c>
      <c r="Q36" s="3"/>
      <c r="R36" s="7">
        <f t="shared" si="16"/>
        <v>8.6906112187756755E-3</v>
      </c>
      <c r="S36" s="3"/>
      <c r="T36" s="8">
        <v>1096.5</v>
      </c>
      <c r="U36" s="3"/>
      <c r="V36" s="7">
        <f t="shared" si="17"/>
        <v>3.9477521394908422E-3</v>
      </c>
      <c r="W36" s="3"/>
      <c r="X36" s="8">
        <f t="shared" si="18"/>
        <v>-268.23</v>
      </c>
      <c r="Y36" s="3"/>
      <c r="Z36" s="7">
        <f t="shared" si="19"/>
        <v>-0.24462380300957595</v>
      </c>
    </row>
    <row r="37" spans="1:26" s="24" customFormat="1" hidden="1" outlineLevel="2" x14ac:dyDescent="0.3">
      <c r="A37" s="29"/>
      <c r="B37" s="11" t="str">
        <f>CONCATENATE("          ", "6114", " - ", "STATE UNEMPLOYMENT INSURANCE")</f>
        <v xml:space="preserve">          6114 - STATE UNEMPLOYMENT INSURANCE</v>
      </c>
      <c r="C37" s="11"/>
      <c r="D37" s="8">
        <v>31.16</v>
      </c>
      <c r="E37" s="3"/>
      <c r="F37" s="7">
        <f t="shared" si="12"/>
        <v>3.2694585772399099E-4</v>
      </c>
      <c r="G37" s="3"/>
      <c r="H37" s="8">
        <v>24.835568625000001</v>
      </c>
      <c r="I37" s="3"/>
      <c r="J37" s="7">
        <f t="shared" si="13"/>
        <v>8.9416022959247973E-5</v>
      </c>
      <c r="K37" s="3"/>
      <c r="L37" s="8">
        <f t="shared" si="14"/>
        <v>6.3244313749999996</v>
      </c>
      <c r="M37" s="3"/>
      <c r="N37" s="7">
        <f t="shared" si="15"/>
        <v>0.2546521672402417</v>
      </c>
      <c r="O37" s="11"/>
      <c r="P37" s="8">
        <v>31.16</v>
      </c>
      <c r="Q37" s="3"/>
      <c r="R37" s="7">
        <f t="shared" si="16"/>
        <v>3.2694585772399099E-4</v>
      </c>
      <c r="S37" s="3"/>
      <c r="T37" s="8">
        <v>24.835568625000001</v>
      </c>
      <c r="U37" s="3"/>
      <c r="V37" s="7">
        <f t="shared" si="17"/>
        <v>8.9416022959247973E-5</v>
      </c>
      <c r="W37" s="3"/>
      <c r="X37" s="8">
        <f t="shared" si="18"/>
        <v>6.3244313749999996</v>
      </c>
      <c r="Y37" s="3"/>
      <c r="Z37" s="7">
        <f t="shared" si="19"/>
        <v>0.2546521672402417</v>
      </c>
    </row>
    <row r="38" spans="1:26" s="24" customFormat="1" hidden="1" outlineLevel="2" x14ac:dyDescent="0.3">
      <c r="A38" s="29"/>
      <c r="B38" s="11" t="str">
        <f>CONCATENATE("          ", "6115", " - ", "P.E.R.S.")</f>
        <v xml:space="preserve">          6115 - P.E.R.S.</v>
      </c>
      <c r="C38" s="11"/>
      <c r="D38" s="8">
        <v>133.9</v>
      </c>
      <c r="E38" s="3"/>
      <c r="F38" s="7">
        <f t="shared" si="12"/>
        <v>1.4049438494622079E-3</v>
      </c>
      <c r="G38" s="3"/>
      <c r="H38" s="8">
        <v>252.70766750000001</v>
      </c>
      <c r="I38" s="3"/>
      <c r="J38" s="7">
        <f t="shared" si="13"/>
        <v>9.0982875972536758E-4</v>
      </c>
      <c r="K38" s="3"/>
      <c r="L38" s="8">
        <f t="shared" si="14"/>
        <v>-118.80766750000001</v>
      </c>
      <c r="M38" s="3"/>
      <c r="N38" s="7">
        <f t="shared" si="15"/>
        <v>-0.47013875231941665</v>
      </c>
      <c r="O38" s="11"/>
      <c r="P38" s="8">
        <v>133.9</v>
      </c>
      <c r="Q38" s="3"/>
      <c r="R38" s="7">
        <f t="shared" si="16"/>
        <v>1.4049438494622079E-3</v>
      </c>
      <c r="S38" s="3"/>
      <c r="T38" s="8">
        <v>252.70766750000001</v>
      </c>
      <c r="U38" s="3"/>
      <c r="V38" s="7">
        <f t="shared" si="17"/>
        <v>9.0982875972536758E-4</v>
      </c>
      <c r="W38" s="3"/>
      <c r="X38" s="8">
        <f t="shared" si="18"/>
        <v>-118.80766750000001</v>
      </c>
      <c r="Y38" s="3"/>
      <c r="Z38" s="7">
        <f t="shared" si="19"/>
        <v>-0.47013875231941665</v>
      </c>
    </row>
    <row r="39" spans="1:26" s="24" customFormat="1" hidden="1" outlineLevel="2" x14ac:dyDescent="0.3">
      <c r="A39" s="29"/>
      <c r="B39" s="11" t="str">
        <f>CONCATENATE("          ", "6116", " - ", "EDUCATIONAL BENEFITS")</f>
        <v xml:space="preserve">          6116 - EDUCATIONAL BENEFITS</v>
      </c>
      <c r="C39" s="11"/>
      <c r="D39" s="8"/>
      <c r="E39" s="3"/>
      <c r="F39" s="7">
        <f t="shared" si="12"/>
        <v>0</v>
      </c>
      <c r="G39" s="3"/>
      <c r="H39" s="8">
        <v>0</v>
      </c>
      <c r="I39" s="3"/>
      <c r="J39" s="7">
        <f t="shared" si="13"/>
        <v>0</v>
      </c>
      <c r="K39" s="3"/>
      <c r="L39" s="8">
        <f t="shared" si="14"/>
        <v>0</v>
      </c>
      <c r="M39" s="3"/>
      <c r="N39" s="7">
        <f t="shared" si="15"/>
        <v>0</v>
      </c>
      <c r="O39" s="11"/>
      <c r="P39" s="8"/>
      <c r="Q39" s="3"/>
      <c r="R39" s="7">
        <f t="shared" si="16"/>
        <v>0</v>
      </c>
      <c r="S39" s="3"/>
      <c r="T39" s="8">
        <v>0</v>
      </c>
      <c r="U39" s="3"/>
      <c r="V39" s="7">
        <f t="shared" si="17"/>
        <v>0</v>
      </c>
      <c r="W39" s="3"/>
      <c r="X39" s="8">
        <f t="shared" si="18"/>
        <v>0</v>
      </c>
      <c r="Y39" s="3"/>
      <c r="Z39" s="7">
        <f t="shared" si="19"/>
        <v>0</v>
      </c>
    </row>
    <row r="40" spans="1:26" s="24" customFormat="1" hidden="1" outlineLevel="2" x14ac:dyDescent="0.3">
      <c r="A40" s="29"/>
      <c r="B40" s="11" t="str">
        <f>CONCATENATE("          ", "6117", " - ", "RETIREMENT STAFF HOURLY")</f>
        <v xml:space="preserve">          6117 - RETIREMENT STAFF HOURLY</v>
      </c>
      <c r="C40" s="11"/>
      <c r="D40" s="8">
        <v>162.69999999999999</v>
      </c>
      <c r="E40" s="3"/>
      <c r="F40" s="7">
        <f t="shared" si="12"/>
        <v>1.7071274406833547E-3</v>
      </c>
      <c r="G40" s="3"/>
      <c r="H40" s="8"/>
      <c r="I40" s="3"/>
      <c r="J40" s="7">
        <f t="shared" si="13"/>
        <v>0</v>
      </c>
      <c r="K40" s="3"/>
      <c r="L40" s="8">
        <f t="shared" si="14"/>
        <v>162.69999999999999</v>
      </c>
      <c r="M40" s="3"/>
      <c r="N40" s="7">
        <f t="shared" si="15"/>
        <v>0</v>
      </c>
      <c r="O40" s="11"/>
      <c r="P40" s="8">
        <v>162.69999999999999</v>
      </c>
      <c r="Q40" s="3"/>
      <c r="R40" s="7">
        <f t="shared" si="16"/>
        <v>1.7071274406833547E-3</v>
      </c>
      <c r="S40" s="3"/>
      <c r="T40" s="8"/>
      <c r="U40" s="3"/>
      <c r="V40" s="7">
        <f t="shared" si="17"/>
        <v>0</v>
      </c>
      <c r="W40" s="3"/>
      <c r="X40" s="8">
        <f t="shared" si="18"/>
        <v>162.69999999999999</v>
      </c>
      <c r="Y40" s="3"/>
      <c r="Z40" s="7">
        <f t="shared" si="19"/>
        <v>0</v>
      </c>
    </row>
    <row r="41" spans="1:26" s="24" customFormat="1" hidden="1" outlineLevel="2" x14ac:dyDescent="0.3">
      <c r="A41" s="29"/>
      <c r="B41" s="11" t="str">
        <f>CONCATENATE("          ", "6118", " - ", "VACATION")</f>
        <v xml:space="preserve">          6118 - VACATION</v>
      </c>
      <c r="C41" s="11"/>
      <c r="D41" s="8">
        <v>67.760000000000005</v>
      </c>
      <c r="E41" s="3"/>
      <c r="F41" s="7">
        <f t="shared" si="12"/>
        <v>7.1097083823419875E-4</v>
      </c>
      <c r="G41" s="3"/>
      <c r="H41" s="8">
        <v>224.11383749999999</v>
      </c>
      <c r="I41" s="3"/>
      <c r="J41" s="7">
        <f t="shared" si="13"/>
        <v>8.068817888555659E-4</v>
      </c>
      <c r="K41" s="3"/>
      <c r="L41" s="8">
        <f t="shared" si="14"/>
        <v>-156.3538375</v>
      </c>
      <c r="M41" s="3"/>
      <c r="N41" s="7">
        <f t="shared" si="15"/>
        <v>-0.69765365335819574</v>
      </c>
      <c r="O41" s="11"/>
      <c r="P41" s="8">
        <v>67.760000000000005</v>
      </c>
      <c r="Q41" s="3"/>
      <c r="R41" s="7">
        <f t="shared" si="16"/>
        <v>7.1097083823419875E-4</v>
      </c>
      <c r="S41" s="3"/>
      <c r="T41" s="8">
        <v>224.11383749999999</v>
      </c>
      <c r="U41" s="3"/>
      <c r="V41" s="7">
        <f t="shared" si="17"/>
        <v>8.068817888555659E-4</v>
      </c>
      <c r="W41" s="3"/>
      <c r="X41" s="8">
        <f t="shared" si="18"/>
        <v>-156.3538375</v>
      </c>
      <c r="Y41" s="3"/>
      <c r="Z41" s="7">
        <f t="shared" si="19"/>
        <v>-0.69765365335819574</v>
      </c>
    </row>
    <row r="42" spans="1:26" s="24" customFormat="1" hidden="1" outlineLevel="2" x14ac:dyDescent="0.3">
      <c r="A42" s="29"/>
      <c r="B42" s="11" t="str">
        <f>CONCATENATE("          ", "6119", " - ", "SICK LEAVE")</f>
        <v xml:space="preserve">          6119 - SICK LEAVE</v>
      </c>
      <c r="C42" s="11"/>
      <c r="D42" s="8">
        <v>81.180000000000007</v>
      </c>
      <c r="E42" s="3"/>
      <c r="F42" s="7">
        <f t="shared" si="12"/>
        <v>8.517799977546082E-4</v>
      </c>
      <c r="G42" s="3"/>
      <c r="H42" s="8">
        <v>280.089225</v>
      </c>
      <c r="I42" s="3"/>
      <c r="J42" s="7">
        <f t="shared" si="13"/>
        <v>1.0084111602754965E-3</v>
      </c>
      <c r="K42" s="3"/>
      <c r="L42" s="8">
        <f t="shared" si="14"/>
        <v>-198.90922499999999</v>
      </c>
      <c r="M42" s="3"/>
      <c r="N42" s="7">
        <f t="shared" si="15"/>
        <v>-0.71016378798577484</v>
      </c>
      <c r="O42" s="11"/>
      <c r="P42" s="8">
        <v>81.180000000000007</v>
      </c>
      <c r="Q42" s="3"/>
      <c r="R42" s="7">
        <f t="shared" si="16"/>
        <v>8.517799977546082E-4</v>
      </c>
      <c r="S42" s="3"/>
      <c r="T42" s="8">
        <v>280.089225</v>
      </c>
      <c r="U42" s="3"/>
      <c r="V42" s="7">
        <f t="shared" si="17"/>
        <v>1.0084111602754965E-3</v>
      </c>
      <c r="W42" s="3"/>
      <c r="X42" s="8">
        <f t="shared" si="18"/>
        <v>-198.90922499999999</v>
      </c>
      <c r="Y42" s="3"/>
      <c r="Z42" s="7">
        <f t="shared" si="19"/>
        <v>-0.71016378798577484</v>
      </c>
    </row>
    <row r="43" spans="1:26" s="24" customFormat="1" hidden="1" outlineLevel="2" x14ac:dyDescent="0.3">
      <c r="A43" s="29"/>
      <c r="B43" s="11" t="str">
        <f>CONCATENATE("          ", "6156", " - ", "EMPLOYEE MEALS")</f>
        <v xml:space="preserve">          6156 - EMPLOYEE MEALS</v>
      </c>
      <c r="C43" s="11"/>
      <c r="D43" s="8">
        <v>23.71</v>
      </c>
      <c r="E43" s="3"/>
      <c r="F43" s="7">
        <f t="shared" si="12"/>
        <v>2.487768384671318E-4</v>
      </c>
      <c r="G43" s="3"/>
      <c r="H43" s="8">
        <v>350</v>
      </c>
      <c r="I43" s="3"/>
      <c r="J43" s="7">
        <f t="shared" si="13"/>
        <v>1.2601124020262607E-3</v>
      </c>
      <c r="K43" s="3"/>
      <c r="L43" s="8">
        <f t="shared" si="14"/>
        <v>-326.29000000000002</v>
      </c>
      <c r="M43" s="3"/>
      <c r="N43" s="7">
        <f t="shared" si="15"/>
        <v>-0.9322571428571429</v>
      </c>
      <c r="O43" s="11"/>
      <c r="P43" s="8">
        <v>23.71</v>
      </c>
      <c r="Q43" s="3"/>
      <c r="R43" s="7">
        <f t="shared" si="16"/>
        <v>2.487768384671318E-4</v>
      </c>
      <c r="S43" s="3"/>
      <c r="T43" s="8">
        <v>350</v>
      </c>
      <c r="U43" s="3"/>
      <c r="V43" s="7">
        <f t="shared" si="17"/>
        <v>1.2601124020262607E-3</v>
      </c>
      <c r="W43" s="3"/>
      <c r="X43" s="8">
        <f t="shared" si="18"/>
        <v>-326.29000000000002</v>
      </c>
      <c r="Y43" s="3"/>
      <c r="Z43" s="7">
        <f t="shared" si="19"/>
        <v>-0.9322571428571429</v>
      </c>
    </row>
    <row r="44" spans="1:26" s="27" customFormat="1" outlineLevel="1" collapsed="1" x14ac:dyDescent="0.3">
      <c r="A44" s="28"/>
      <c r="B44" s="14" t="str">
        <f>CONCATENATE("     ","*Payroll                                          ")</f>
        <v xml:space="preserve">     *Payroll                                          </v>
      </c>
      <c r="C44" s="14"/>
      <c r="D44" s="1">
        <f>SUM(OSRRefD22_1x_0)</f>
        <v>10510.92</v>
      </c>
      <c r="E44" s="1"/>
      <c r="F44" s="5">
        <f t="shared" ref="F44:F54" si="20">IF(D$12=0,0,D44/D$12)</f>
        <v>0.11028567891104787</v>
      </c>
      <c r="G44" s="1"/>
      <c r="H44" s="1">
        <f>SUM(OSRRefH22_1x_0)</f>
        <v>11452.9381875</v>
      </c>
      <c r="I44" s="1"/>
      <c r="J44" s="5">
        <f t="shared" ref="J44:J54" si="21">IF(H$12=0,0,H44/H$12)</f>
        <v>4.1234255570596894E-2</v>
      </c>
      <c r="K44" s="1"/>
      <c r="L44" s="1">
        <f t="shared" ref="L44:L54" si="22">+D44-H44</f>
        <v>-942.01818749999984</v>
      </c>
      <c r="M44" s="1"/>
      <c r="N44" s="5">
        <f t="shared" ref="N44:N54" si="23">IF(H44=0,0,L44/H44)</f>
        <v>-8.2251224277813714E-2</v>
      </c>
      <c r="O44" s="14"/>
      <c r="P44" s="1">
        <f>SUM(OSRRefP22_1x_0)</f>
        <v>10510.92</v>
      </c>
      <c r="Q44" s="1"/>
      <c r="R44" s="5">
        <f t="shared" ref="R44:R54" si="24">IF(P$12=0,0,P44/P$12)</f>
        <v>0.11028567891104787</v>
      </c>
      <c r="S44" s="1"/>
      <c r="T44" s="1">
        <f>SUM(OSRRefT22_1x_0)</f>
        <v>11452.9381875</v>
      </c>
      <c r="U44" s="1"/>
      <c r="V44" s="5">
        <f t="shared" ref="V44:V54" si="25">IF(T$12=0,0,T44/T$12)</f>
        <v>4.1234255570596894E-2</v>
      </c>
      <c r="W44" s="1"/>
      <c r="X44" s="1">
        <f t="shared" ref="X44:X54" si="26">+P44-T44</f>
        <v>-942.01818749999984</v>
      </c>
      <c r="Y44" s="1"/>
      <c r="Z44" s="5">
        <f t="shared" ref="Z44:Z54" si="27">IF(T44=0,0,X44/T44)</f>
        <v>-8.2251224277813714E-2</v>
      </c>
    </row>
    <row r="45" spans="1:26" s="24" customFormat="1" hidden="1" outlineLevel="2" x14ac:dyDescent="0.3">
      <c r="A45" s="29"/>
      <c r="B45" s="11" t="str">
        <f>CONCATENATE("          ", "6001", " - ", "ADMINISTRATIVE SALARIES")</f>
        <v xml:space="preserve">          6001 - ADMINISTRATIVE SALARIES</v>
      </c>
      <c r="C45" s="11"/>
      <c r="D45" s="8"/>
      <c r="E45" s="3"/>
      <c r="F45" s="7">
        <f t="shared" si="20"/>
        <v>0</v>
      </c>
      <c r="G45" s="3"/>
      <c r="H45" s="8">
        <v>0</v>
      </c>
      <c r="I45" s="3"/>
      <c r="J45" s="7">
        <f t="shared" si="21"/>
        <v>0</v>
      </c>
      <c r="K45" s="3"/>
      <c r="L45" s="8">
        <f t="shared" si="22"/>
        <v>0</v>
      </c>
      <c r="M45" s="3"/>
      <c r="N45" s="7">
        <f t="shared" si="23"/>
        <v>0</v>
      </c>
      <c r="O45" s="11"/>
      <c r="P45" s="8"/>
      <c r="Q45" s="3"/>
      <c r="R45" s="7">
        <f t="shared" si="24"/>
        <v>0</v>
      </c>
      <c r="S45" s="3"/>
      <c r="T45" s="8">
        <v>0</v>
      </c>
      <c r="U45" s="3"/>
      <c r="V45" s="7">
        <f t="shared" si="25"/>
        <v>0</v>
      </c>
      <c r="W45" s="3"/>
      <c r="X45" s="8">
        <f t="shared" si="26"/>
        <v>0</v>
      </c>
      <c r="Y45" s="3"/>
      <c r="Z45" s="7">
        <f t="shared" si="27"/>
        <v>0</v>
      </c>
    </row>
    <row r="46" spans="1:26" s="24" customFormat="1" hidden="1" outlineLevel="2" x14ac:dyDescent="0.3">
      <c r="A46" s="29"/>
      <c r="B46" s="11" t="str">
        <f>CONCATENATE("          ", "6002", " - ", "STAFF SALARIES")</f>
        <v xml:space="preserve">          6002 - STAFF SALARIES</v>
      </c>
      <c r="C46" s="11"/>
      <c r="D46" s="8">
        <v>5113.92</v>
      </c>
      <c r="E46" s="3"/>
      <c r="F46" s="7">
        <f t="shared" si="20"/>
        <v>5.365773301450167E-2</v>
      </c>
      <c r="G46" s="3"/>
      <c r="H46" s="8">
        <v>2791.5381874999998</v>
      </c>
      <c r="I46" s="3"/>
      <c r="J46" s="7">
        <f t="shared" si="21"/>
        <v>1.0050433973710454E-2</v>
      </c>
      <c r="K46" s="3"/>
      <c r="L46" s="8">
        <f t="shared" si="22"/>
        <v>2322.3818125000003</v>
      </c>
      <c r="M46" s="3"/>
      <c r="N46" s="7">
        <f t="shared" si="23"/>
        <v>0.83193625037952323</v>
      </c>
      <c r="O46" s="11"/>
      <c r="P46" s="8">
        <v>5113.92</v>
      </c>
      <c r="Q46" s="3"/>
      <c r="R46" s="7">
        <f t="shared" si="24"/>
        <v>5.365773301450167E-2</v>
      </c>
      <c r="S46" s="3"/>
      <c r="T46" s="8">
        <v>2791.5381874999998</v>
      </c>
      <c r="U46" s="3"/>
      <c r="V46" s="7">
        <f t="shared" si="25"/>
        <v>1.0050433973710454E-2</v>
      </c>
      <c r="W46" s="3"/>
      <c r="X46" s="8">
        <f t="shared" si="26"/>
        <v>2322.3818125000003</v>
      </c>
      <c r="Y46" s="3"/>
      <c r="Z46" s="7">
        <f t="shared" si="27"/>
        <v>0.83193625037952323</v>
      </c>
    </row>
    <row r="47" spans="1:26" s="24" customFormat="1" hidden="1" outlineLevel="2" x14ac:dyDescent="0.3">
      <c r="A47" s="29"/>
      <c r="B47" s="11" t="str">
        <f>CONCATENATE("          ", "6003", " - ", "STAFF HOURLY-9 MONTH")</f>
        <v xml:space="preserve">          6003 - STAFF HOURLY-9 MONTH</v>
      </c>
      <c r="C47" s="11"/>
      <c r="D47" s="8"/>
      <c r="E47" s="3"/>
      <c r="F47" s="7">
        <f t="shared" si="20"/>
        <v>0</v>
      </c>
      <c r="G47" s="3"/>
      <c r="H47" s="8">
        <v>0</v>
      </c>
      <c r="I47" s="3"/>
      <c r="J47" s="7">
        <f t="shared" si="21"/>
        <v>0</v>
      </c>
      <c r="K47" s="3"/>
      <c r="L47" s="8">
        <f t="shared" si="22"/>
        <v>0</v>
      </c>
      <c r="M47" s="3"/>
      <c r="N47" s="7">
        <f t="shared" si="23"/>
        <v>0</v>
      </c>
      <c r="O47" s="11"/>
      <c r="P47" s="8"/>
      <c r="Q47" s="3"/>
      <c r="R47" s="7">
        <f t="shared" si="24"/>
        <v>0</v>
      </c>
      <c r="S47" s="3"/>
      <c r="T47" s="8">
        <v>0</v>
      </c>
      <c r="U47" s="3"/>
      <c r="V47" s="7">
        <f t="shared" si="25"/>
        <v>0</v>
      </c>
      <c r="W47" s="3"/>
      <c r="X47" s="8">
        <f t="shared" si="26"/>
        <v>0</v>
      </c>
      <c r="Y47" s="3"/>
      <c r="Z47" s="7">
        <f t="shared" si="27"/>
        <v>0</v>
      </c>
    </row>
    <row r="48" spans="1:26" s="24" customFormat="1" hidden="1" outlineLevel="2" x14ac:dyDescent="0.3">
      <c r="A48" s="29"/>
      <c r="B48" s="11" t="str">
        <f>CONCATENATE("          ", "6004", " - ", "STAFF HOURLY")</f>
        <v xml:space="preserve">          6004 - STAFF HOURLY</v>
      </c>
      <c r="C48" s="11"/>
      <c r="D48" s="8">
        <v>610.5</v>
      </c>
      <c r="E48" s="3"/>
      <c r="F48" s="7">
        <f t="shared" si="20"/>
        <v>6.4056625847399391E-3</v>
      </c>
      <c r="G48" s="3"/>
      <c r="H48" s="8">
        <v>4305.3999999999996</v>
      </c>
      <c r="I48" s="3"/>
      <c r="J48" s="7">
        <f t="shared" si="21"/>
        <v>1.5500822673382464E-2</v>
      </c>
      <c r="K48" s="3"/>
      <c r="L48" s="8">
        <f t="shared" si="22"/>
        <v>-3694.8999999999996</v>
      </c>
      <c r="M48" s="3"/>
      <c r="N48" s="7">
        <f t="shared" si="23"/>
        <v>-0.85820132856412878</v>
      </c>
      <c r="O48" s="11"/>
      <c r="P48" s="8">
        <v>610.5</v>
      </c>
      <c r="Q48" s="3"/>
      <c r="R48" s="7">
        <f t="shared" si="24"/>
        <v>6.4056625847399391E-3</v>
      </c>
      <c r="S48" s="3"/>
      <c r="T48" s="8">
        <v>4305.3999999999996</v>
      </c>
      <c r="U48" s="3"/>
      <c r="V48" s="7">
        <f t="shared" si="25"/>
        <v>1.5500822673382464E-2</v>
      </c>
      <c r="W48" s="3"/>
      <c r="X48" s="8">
        <f t="shared" si="26"/>
        <v>-3694.8999999999996</v>
      </c>
      <c r="Y48" s="3"/>
      <c r="Z48" s="7">
        <f t="shared" si="27"/>
        <v>-0.85820132856412878</v>
      </c>
    </row>
    <row r="49" spans="1:26" s="24" customFormat="1" hidden="1" outlineLevel="2" x14ac:dyDescent="0.3">
      <c r="A49" s="29"/>
      <c r="B49" s="11" t="str">
        <f>CONCATENATE("          ", "6005", " - ", "TEMPORARY WAGES-HOURLY")</f>
        <v xml:space="preserve">          6005 - TEMPORARY WAGES-HOURLY</v>
      </c>
      <c r="C49" s="11"/>
      <c r="D49" s="8"/>
      <c r="E49" s="3"/>
      <c r="F49" s="7">
        <f t="shared" si="20"/>
        <v>0</v>
      </c>
      <c r="G49" s="3"/>
      <c r="H49" s="8">
        <v>0</v>
      </c>
      <c r="I49" s="3"/>
      <c r="J49" s="7">
        <f t="shared" si="21"/>
        <v>0</v>
      </c>
      <c r="K49" s="3"/>
      <c r="L49" s="8">
        <f t="shared" si="22"/>
        <v>0</v>
      </c>
      <c r="M49" s="3"/>
      <c r="N49" s="7">
        <f t="shared" si="23"/>
        <v>0</v>
      </c>
      <c r="O49" s="11"/>
      <c r="P49" s="8"/>
      <c r="Q49" s="3"/>
      <c r="R49" s="7">
        <f t="shared" si="24"/>
        <v>0</v>
      </c>
      <c r="S49" s="3"/>
      <c r="T49" s="8">
        <v>0</v>
      </c>
      <c r="U49" s="3"/>
      <c r="V49" s="7">
        <f t="shared" si="25"/>
        <v>0</v>
      </c>
      <c r="W49" s="3"/>
      <c r="X49" s="8">
        <f t="shared" si="26"/>
        <v>0</v>
      </c>
      <c r="Y49" s="3"/>
      <c r="Z49" s="7">
        <f t="shared" si="27"/>
        <v>0</v>
      </c>
    </row>
    <row r="50" spans="1:26" s="24" customFormat="1" hidden="1" outlineLevel="2" x14ac:dyDescent="0.3">
      <c r="A50" s="29"/>
      <c r="B50" s="11" t="str">
        <f>CONCATENATE("          ", "6006", " - ", "TEMPORARY PART TIME")</f>
        <v xml:space="preserve">          6006 - TEMPORARY PART TIME</v>
      </c>
      <c r="C50" s="11"/>
      <c r="D50" s="8"/>
      <c r="E50" s="3"/>
      <c r="F50" s="7">
        <f t="shared" si="20"/>
        <v>0</v>
      </c>
      <c r="G50" s="3"/>
      <c r="H50" s="8">
        <v>0</v>
      </c>
      <c r="I50" s="3"/>
      <c r="J50" s="7">
        <f t="shared" si="21"/>
        <v>0</v>
      </c>
      <c r="K50" s="3"/>
      <c r="L50" s="8">
        <f t="shared" si="22"/>
        <v>0</v>
      </c>
      <c r="M50" s="3"/>
      <c r="N50" s="7">
        <f t="shared" si="23"/>
        <v>0</v>
      </c>
      <c r="O50" s="11"/>
      <c r="P50" s="8"/>
      <c r="Q50" s="3"/>
      <c r="R50" s="7">
        <f t="shared" si="24"/>
        <v>0</v>
      </c>
      <c r="S50" s="3"/>
      <c r="T50" s="8">
        <v>0</v>
      </c>
      <c r="U50" s="3"/>
      <c r="V50" s="7">
        <f t="shared" si="25"/>
        <v>0</v>
      </c>
      <c r="W50" s="3"/>
      <c r="X50" s="8">
        <f t="shared" si="26"/>
        <v>0</v>
      </c>
      <c r="Y50" s="3"/>
      <c r="Z50" s="7">
        <f t="shared" si="27"/>
        <v>0</v>
      </c>
    </row>
    <row r="51" spans="1:26" s="24" customFormat="1" hidden="1" outlineLevel="2" x14ac:dyDescent="0.3">
      <c r="A51" s="29"/>
      <c r="B51" s="11" t="str">
        <f>CONCATENATE("          ", "6007", " - ", "STUDENT HOURLY")</f>
        <v xml:space="preserve">          6007 - STUDENT HOURLY</v>
      </c>
      <c r="C51" s="11"/>
      <c r="D51" s="8">
        <v>4786.5</v>
      </c>
      <c r="E51" s="3"/>
      <c r="F51" s="7">
        <f t="shared" si="20"/>
        <v>5.0222283311806254E-2</v>
      </c>
      <c r="G51" s="3"/>
      <c r="H51" s="8">
        <v>4356</v>
      </c>
      <c r="I51" s="3"/>
      <c r="J51" s="7">
        <f t="shared" si="21"/>
        <v>1.5682998923503978E-2</v>
      </c>
      <c r="K51" s="3"/>
      <c r="L51" s="8">
        <f t="shared" si="22"/>
        <v>430.5</v>
      </c>
      <c r="M51" s="3"/>
      <c r="N51" s="7">
        <f t="shared" si="23"/>
        <v>9.8829201101928374E-2</v>
      </c>
      <c r="O51" s="11"/>
      <c r="P51" s="8">
        <v>4786.5</v>
      </c>
      <c r="Q51" s="3"/>
      <c r="R51" s="7">
        <f t="shared" si="24"/>
        <v>5.0222283311806254E-2</v>
      </c>
      <c r="S51" s="3"/>
      <c r="T51" s="8">
        <v>4356</v>
      </c>
      <c r="U51" s="3"/>
      <c r="V51" s="7">
        <f t="shared" si="25"/>
        <v>1.5682998923503978E-2</v>
      </c>
      <c r="W51" s="3"/>
      <c r="X51" s="8">
        <f t="shared" si="26"/>
        <v>430.5</v>
      </c>
      <c r="Y51" s="3"/>
      <c r="Z51" s="7">
        <f t="shared" si="27"/>
        <v>9.8829201101928374E-2</v>
      </c>
    </row>
    <row r="52" spans="1:26" s="24" customFormat="1" hidden="1" outlineLevel="2" x14ac:dyDescent="0.3">
      <c r="A52" s="29"/>
      <c r="B52" s="11" t="str">
        <f>CONCATENATE("          ", "6008", " - ", "STUDENT HOURLY-FICA EXEMPT")</f>
        <v xml:space="preserve">          6008 - STUDENT HOURLY-FICA EXEMPT</v>
      </c>
      <c r="C52" s="11"/>
      <c r="D52" s="8"/>
      <c r="E52" s="3"/>
      <c r="F52" s="7">
        <f t="shared" si="20"/>
        <v>0</v>
      </c>
      <c r="G52" s="3"/>
      <c r="H52" s="8">
        <v>0</v>
      </c>
      <c r="I52" s="3"/>
      <c r="J52" s="7">
        <f t="shared" si="21"/>
        <v>0</v>
      </c>
      <c r="K52" s="3"/>
      <c r="L52" s="8">
        <f t="shared" si="22"/>
        <v>0</v>
      </c>
      <c r="M52" s="3"/>
      <c r="N52" s="7">
        <f t="shared" si="23"/>
        <v>0</v>
      </c>
      <c r="O52" s="11"/>
      <c r="P52" s="8"/>
      <c r="Q52" s="3"/>
      <c r="R52" s="7">
        <f t="shared" si="24"/>
        <v>0</v>
      </c>
      <c r="S52" s="3"/>
      <c r="T52" s="8">
        <v>0</v>
      </c>
      <c r="U52" s="3"/>
      <c r="V52" s="7">
        <f t="shared" si="25"/>
        <v>0</v>
      </c>
      <c r="W52" s="3"/>
      <c r="X52" s="8">
        <f t="shared" si="26"/>
        <v>0</v>
      </c>
      <c r="Y52" s="3"/>
      <c r="Z52" s="7">
        <f t="shared" si="27"/>
        <v>0</v>
      </c>
    </row>
    <row r="53" spans="1:26" s="24" customFormat="1" hidden="1" outlineLevel="2" x14ac:dyDescent="0.3">
      <c r="A53" s="29"/>
      <c r="B53" s="11" t="str">
        <f>CONCATENATE("          ", "6009", " - ", "TEMPORARY-SEASONAL")</f>
        <v xml:space="preserve">          6009 - TEMPORARY-SEASONAL</v>
      </c>
      <c r="C53" s="11"/>
      <c r="D53" s="8"/>
      <c r="E53" s="3"/>
      <c r="F53" s="7">
        <f t="shared" si="20"/>
        <v>0</v>
      </c>
      <c r="G53" s="3"/>
      <c r="H53" s="8">
        <v>0</v>
      </c>
      <c r="I53" s="3"/>
      <c r="J53" s="7">
        <f t="shared" si="21"/>
        <v>0</v>
      </c>
      <c r="K53" s="3"/>
      <c r="L53" s="8">
        <f t="shared" si="22"/>
        <v>0</v>
      </c>
      <c r="M53" s="3"/>
      <c r="N53" s="7">
        <f t="shared" si="23"/>
        <v>0</v>
      </c>
      <c r="O53" s="11"/>
      <c r="P53" s="8"/>
      <c r="Q53" s="3"/>
      <c r="R53" s="7">
        <f t="shared" si="24"/>
        <v>0</v>
      </c>
      <c r="S53" s="3"/>
      <c r="T53" s="8">
        <v>0</v>
      </c>
      <c r="U53" s="3"/>
      <c r="V53" s="7">
        <f t="shared" si="25"/>
        <v>0</v>
      </c>
      <c r="W53" s="3"/>
      <c r="X53" s="8">
        <f t="shared" si="26"/>
        <v>0</v>
      </c>
      <c r="Y53" s="3"/>
      <c r="Z53" s="7">
        <f t="shared" si="27"/>
        <v>0</v>
      </c>
    </row>
    <row r="54" spans="1:26" s="24" customFormat="1" hidden="1" outlineLevel="2" x14ac:dyDescent="0.3">
      <c r="A54" s="29"/>
      <c r="B54" s="11" t="str">
        <f>CONCATENATE("          ", "6010", " - ", "GRATUITY")</f>
        <v xml:space="preserve">          6010 - GRATUITY</v>
      </c>
      <c r="C54" s="11"/>
      <c r="D54" s="8"/>
      <c r="E54" s="3"/>
      <c r="F54" s="7">
        <f t="shared" si="20"/>
        <v>0</v>
      </c>
      <c r="G54" s="3"/>
      <c r="H54" s="8">
        <v>0</v>
      </c>
      <c r="I54" s="3"/>
      <c r="J54" s="7">
        <f t="shared" si="21"/>
        <v>0</v>
      </c>
      <c r="K54" s="3"/>
      <c r="L54" s="8">
        <f t="shared" si="22"/>
        <v>0</v>
      </c>
      <c r="M54" s="3"/>
      <c r="N54" s="7">
        <f t="shared" si="23"/>
        <v>0</v>
      </c>
      <c r="O54" s="11"/>
      <c r="P54" s="8"/>
      <c r="Q54" s="3"/>
      <c r="R54" s="7">
        <f t="shared" si="24"/>
        <v>0</v>
      </c>
      <c r="S54" s="3"/>
      <c r="T54" s="8">
        <v>0</v>
      </c>
      <c r="U54" s="3"/>
      <c r="V54" s="7">
        <f t="shared" si="25"/>
        <v>0</v>
      </c>
      <c r="W54" s="3"/>
      <c r="X54" s="8">
        <f t="shared" si="26"/>
        <v>0</v>
      </c>
      <c r="Y54" s="3"/>
      <c r="Z54" s="7">
        <f t="shared" si="27"/>
        <v>0</v>
      </c>
    </row>
    <row r="55" spans="1:26" s="27" customFormat="1" outlineLevel="1" collapsed="1" x14ac:dyDescent="0.3">
      <c r="A55" s="28"/>
      <c r="B55" s="14" t="str">
        <f>CONCATENATE("     ","Advertising/Promo                                 ")</f>
        <v xml:space="preserve">     Advertising/Promo                                 </v>
      </c>
      <c r="C55" s="14"/>
      <c r="D55" s="1">
        <f>SUM(OSRRefD22_2x_0)</f>
        <v>45.42</v>
      </c>
      <c r="E55" s="1"/>
      <c r="F55" s="5">
        <f t="shared" ref="F55:F69" si="28">IF(D$12=0,0,D55/D$12)</f>
        <v>4.7656870532168395E-4</v>
      </c>
      <c r="G55" s="1"/>
      <c r="H55" s="1">
        <f>SUM(OSRRefH22_2x_0)</f>
        <v>200</v>
      </c>
      <c r="I55" s="1"/>
      <c r="J55" s="5">
        <f t="shared" ref="J55:J69" si="29">IF(H$12=0,0,H55/H$12)</f>
        <v>7.2006422972929187E-4</v>
      </c>
      <c r="K55" s="1"/>
      <c r="L55" s="1">
        <f t="shared" ref="L55:L69" si="30">+D55-H55</f>
        <v>-154.57999999999998</v>
      </c>
      <c r="M55" s="1"/>
      <c r="N55" s="5">
        <f t="shared" ref="N55:N69" si="31">IF(H55=0,0,L55/H55)</f>
        <v>-0.77289999999999992</v>
      </c>
      <c r="O55" s="14"/>
      <c r="P55" s="1">
        <f>SUM(OSRRefP22_2x_0)</f>
        <v>45.42</v>
      </c>
      <c r="Q55" s="1"/>
      <c r="R55" s="5">
        <f t="shared" ref="R55:R69" si="32">IF(P$12=0,0,P55/P$12)</f>
        <v>4.7656870532168395E-4</v>
      </c>
      <c r="S55" s="1"/>
      <c r="T55" s="1">
        <f>SUM(OSRRefT22_2x_0)</f>
        <v>200</v>
      </c>
      <c r="U55" s="1"/>
      <c r="V55" s="5">
        <f t="shared" ref="V55:V69" si="33">IF(T$12=0,0,T55/T$12)</f>
        <v>7.2006422972929187E-4</v>
      </c>
      <c r="W55" s="1"/>
      <c r="X55" s="1">
        <f t="shared" ref="X55:X69" si="34">+P55-T55</f>
        <v>-154.57999999999998</v>
      </c>
      <c r="Y55" s="1"/>
      <c r="Z55" s="5">
        <f t="shared" ref="Z55:Z69" si="35">IF(T55=0,0,X55/T55)</f>
        <v>-0.77289999999999992</v>
      </c>
    </row>
    <row r="56" spans="1:26" s="24" customFormat="1" hidden="1" outlineLevel="2" x14ac:dyDescent="0.3">
      <c r="A56" s="29"/>
      <c r="B56" s="11" t="str">
        <f>CONCATENATE("          ", "6362", " - ", "ADVERTISING EXPENSE")</f>
        <v xml:space="preserve">          6362 - ADVERTISING EXPENSE</v>
      </c>
      <c r="C56" s="11"/>
      <c r="D56" s="8">
        <v>45.42</v>
      </c>
      <c r="E56" s="3"/>
      <c r="F56" s="7">
        <f t="shared" si="28"/>
        <v>4.7656870532168395E-4</v>
      </c>
      <c r="G56" s="3"/>
      <c r="H56" s="8">
        <v>200</v>
      </c>
      <c r="I56" s="3"/>
      <c r="J56" s="7">
        <f t="shared" si="29"/>
        <v>7.2006422972929187E-4</v>
      </c>
      <c r="K56" s="3"/>
      <c r="L56" s="8">
        <f t="shared" si="30"/>
        <v>-154.57999999999998</v>
      </c>
      <c r="M56" s="3"/>
      <c r="N56" s="7">
        <f t="shared" si="31"/>
        <v>-0.77289999999999992</v>
      </c>
      <c r="O56" s="11"/>
      <c r="P56" s="8">
        <v>45.42</v>
      </c>
      <c r="Q56" s="3"/>
      <c r="R56" s="7">
        <f t="shared" si="32"/>
        <v>4.7656870532168395E-4</v>
      </c>
      <c r="S56" s="3"/>
      <c r="T56" s="8">
        <v>200</v>
      </c>
      <c r="U56" s="3"/>
      <c r="V56" s="7">
        <f t="shared" si="33"/>
        <v>7.2006422972929187E-4</v>
      </c>
      <c r="W56" s="3"/>
      <c r="X56" s="8">
        <f t="shared" si="34"/>
        <v>-154.57999999999998</v>
      </c>
      <c r="Y56" s="3"/>
      <c r="Z56" s="7">
        <f t="shared" si="35"/>
        <v>-0.77289999999999992</v>
      </c>
    </row>
    <row r="57" spans="1:26" s="27" customFormat="1" outlineLevel="1" collapsed="1" x14ac:dyDescent="0.3">
      <c r="A57" s="28"/>
      <c r="B57" s="14" t="str">
        <f>CONCATENATE("     ","Depreciation                                      ")</f>
        <v xml:space="preserve">     Depreciation                                      </v>
      </c>
      <c r="C57" s="14"/>
      <c r="D57" s="1">
        <f>SUM(OSRRefD22_3x_0)</f>
        <v>280.44</v>
      </c>
      <c r="E57" s="1"/>
      <c r="F57" s="5">
        <f t="shared" si="28"/>
        <v>2.9425127195159191E-3</v>
      </c>
      <c r="G57" s="1"/>
      <c r="H57" s="1">
        <f>SUM(OSRRefH22_3x_0)</f>
        <v>0</v>
      </c>
      <c r="I57" s="1"/>
      <c r="J57" s="5">
        <f t="shared" si="29"/>
        <v>0</v>
      </c>
      <c r="K57" s="1"/>
      <c r="L57" s="1">
        <f t="shared" si="30"/>
        <v>280.44</v>
      </c>
      <c r="M57" s="1"/>
      <c r="N57" s="5">
        <f t="shared" si="31"/>
        <v>0</v>
      </c>
      <c r="O57" s="14"/>
      <c r="P57" s="1">
        <f>SUM(OSRRefP22_3x_0)</f>
        <v>280.44</v>
      </c>
      <c r="Q57" s="1"/>
      <c r="R57" s="5">
        <f t="shared" si="32"/>
        <v>2.9425127195159191E-3</v>
      </c>
      <c r="S57" s="1"/>
      <c r="T57" s="1">
        <f>SUM(OSRRefT22_3x_0)</f>
        <v>0</v>
      </c>
      <c r="U57" s="1"/>
      <c r="V57" s="5">
        <f t="shared" si="33"/>
        <v>0</v>
      </c>
      <c r="W57" s="1"/>
      <c r="X57" s="1">
        <f t="shared" si="34"/>
        <v>280.44</v>
      </c>
      <c r="Y57" s="1"/>
      <c r="Z57" s="5">
        <f t="shared" si="35"/>
        <v>0</v>
      </c>
    </row>
    <row r="58" spans="1:26" s="24" customFormat="1" hidden="1" outlineLevel="2" x14ac:dyDescent="0.3">
      <c r="A58" s="29"/>
      <c r="B58" s="11" t="str">
        <f>CONCATENATE("          ", "6322", " - ", "EQUIPMENT DEPRECIATION EXPENSE")</f>
        <v xml:space="preserve">          6322 - EQUIPMENT DEPRECIATION EXPENSE</v>
      </c>
      <c r="C58" s="11"/>
      <c r="D58" s="8">
        <v>280.44</v>
      </c>
      <c r="E58" s="3"/>
      <c r="F58" s="7">
        <f t="shared" si="28"/>
        <v>2.9425127195159191E-3</v>
      </c>
      <c r="G58" s="3"/>
      <c r="H58" s="8"/>
      <c r="I58" s="3"/>
      <c r="J58" s="7">
        <f t="shared" si="29"/>
        <v>0</v>
      </c>
      <c r="K58" s="3"/>
      <c r="L58" s="8">
        <f t="shared" si="30"/>
        <v>280.44</v>
      </c>
      <c r="M58" s="3"/>
      <c r="N58" s="7">
        <f t="shared" si="31"/>
        <v>0</v>
      </c>
      <c r="O58" s="11"/>
      <c r="P58" s="8">
        <v>280.44</v>
      </c>
      <c r="Q58" s="3"/>
      <c r="R58" s="7">
        <f t="shared" si="32"/>
        <v>2.9425127195159191E-3</v>
      </c>
      <c r="S58" s="3"/>
      <c r="T58" s="8"/>
      <c r="U58" s="3"/>
      <c r="V58" s="7">
        <f t="shared" si="33"/>
        <v>0</v>
      </c>
      <c r="W58" s="3"/>
      <c r="X58" s="8">
        <f t="shared" si="34"/>
        <v>280.44</v>
      </c>
      <c r="Y58" s="3"/>
      <c r="Z58" s="7">
        <f t="shared" si="35"/>
        <v>0</v>
      </c>
    </row>
    <row r="59" spans="1:26" s="27" customFormat="1" outlineLevel="1" collapsed="1" x14ac:dyDescent="0.3">
      <c r="A59" s="28"/>
      <c r="B59" s="14" t="str">
        <f>CONCATENATE("     ","Employees' Appreciation                           ")</f>
        <v xml:space="preserve">     Employees' Appreciation                           </v>
      </c>
      <c r="C59" s="14"/>
      <c r="D59" s="1">
        <f>SUM(OSRRefD22_4x_0)</f>
        <v>0</v>
      </c>
      <c r="E59" s="1"/>
      <c r="F59" s="5">
        <f t="shared" si="28"/>
        <v>0</v>
      </c>
      <c r="G59" s="1"/>
      <c r="H59" s="1">
        <f>SUM(OSRRefH22_4x_0)</f>
        <v>20</v>
      </c>
      <c r="I59" s="1"/>
      <c r="J59" s="5">
        <f t="shared" si="29"/>
        <v>7.2006422972929185E-5</v>
      </c>
      <c r="K59" s="1"/>
      <c r="L59" s="1">
        <f t="shared" si="30"/>
        <v>-20</v>
      </c>
      <c r="M59" s="1"/>
      <c r="N59" s="5">
        <f t="shared" si="31"/>
        <v>-1</v>
      </c>
      <c r="O59" s="14"/>
      <c r="P59" s="1">
        <f>SUM(OSRRefP22_4x_0)</f>
        <v>0</v>
      </c>
      <c r="Q59" s="1"/>
      <c r="R59" s="5">
        <f t="shared" si="32"/>
        <v>0</v>
      </c>
      <c r="S59" s="1"/>
      <c r="T59" s="1">
        <f>SUM(OSRRefT22_4x_0)</f>
        <v>20</v>
      </c>
      <c r="U59" s="1"/>
      <c r="V59" s="5">
        <f t="shared" si="33"/>
        <v>7.2006422972929185E-5</v>
      </c>
      <c r="W59" s="1"/>
      <c r="X59" s="1">
        <f t="shared" si="34"/>
        <v>-20</v>
      </c>
      <c r="Y59" s="1"/>
      <c r="Z59" s="5">
        <f t="shared" si="35"/>
        <v>-1</v>
      </c>
    </row>
    <row r="60" spans="1:26" s="24" customFormat="1" hidden="1" outlineLevel="2" x14ac:dyDescent="0.3">
      <c r="A60" s="29"/>
      <c r="B60" s="11" t="str">
        <f>CONCATENATE("          ", "6277", " - ", "EMPLOYEE APPRECIATION")</f>
        <v xml:space="preserve">          6277 - EMPLOYEE APPRECIATION</v>
      </c>
      <c r="C60" s="11"/>
      <c r="D60" s="8"/>
      <c r="E60" s="3"/>
      <c r="F60" s="7">
        <f t="shared" si="28"/>
        <v>0</v>
      </c>
      <c r="G60" s="3"/>
      <c r="H60" s="8">
        <v>20</v>
      </c>
      <c r="I60" s="3"/>
      <c r="J60" s="7">
        <f t="shared" si="29"/>
        <v>7.2006422972929185E-5</v>
      </c>
      <c r="K60" s="3"/>
      <c r="L60" s="8">
        <f t="shared" si="30"/>
        <v>-20</v>
      </c>
      <c r="M60" s="3"/>
      <c r="N60" s="7">
        <f t="shared" si="31"/>
        <v>-1</v>
      </c>
      <c r="O60" s="11"/>
      <c r="P60" s="8"/>
      <c r="Q60" s="3"/>
      <c r="R60" s="7">
        <f t="shared" si="32"/>
        <v>0</v>
      </c>
      <c r="S60" s="3"/>
      <c r="T60" s="8">
        <v>20</v>
      </c>
      <c r="U60" s="3"/>
      <c r="V60" s="7">
        <f t="shared" si="33"/>
        <v>7.2006422972929185E-5</v>
      </c>
      <c r="W60" s="3"/>
      <c r="X60" s="8">
        <f t="shared" si="34"/>
        <v>-20</v>
      </c>
      <c r="Y60" s="3"/>
      <c r="Z60" s="7">
        <f t="shared" si="35"/>
        <v>-1</v>
      </c>
    </row>
    <row r="61" spans="1:26" s="27" customFormat="1" outlineLevel="1" collapsed="1" x14ac:dyDescent="0.3">
      <c r="A61" s="28"/>
      <c r="B61" s="14" t="str">
        <f>CONCATENATE("     ","Freight out/Postage                               ")</f>
        <v xml:space="preserve">     Freight out/Postage                               </v>
      </c>
      <c r="C61" s="14"/>
      <c r="D61" s="1">
        <f>SUM(OSRRefD22_5x_0)</f>
        <v>93.19</v>
      </c>
      <c r="E61" s="1"/>
      <c r="F61" s="5">
        <f t="shared" si="28"/>
        <v>9.7779475228814902E-4</v>
      </c>
      <c r="G61" s="1"/>
      <c r="H61" s="1">
        <f>SUM(OSRRefH22_5x_0)</f>
        <v>15</v>
      </c>
      <c r="I61" s="1"/>
      <c r="J61" s="5">
        <f t="shared" si="29"/>
        <v>5.4004817229696892E-5</v>
      </c>
      <c r="K61" s="1"/>
      <c r="L61" s="1">
        <f t="shared" si="30"/>
        <v>78.19</v>
      </c>
      <c r="M61" s="1"/>
      <c r="N61" s="5">
        <f t="shared" si="31"/>
        <v>5.2126666666666663</v>
      </c>
      <c r="O61" s="14"/>
      <c r="P61" s="1">
        <f>SUM(OSRRefP22_5x_0)</f>
        <v>93.19</v>
      </c>
      <c r="Q61" s="1"/>
      <c r="R61" s="5">
        <f t="shared" si="32"/>
        <v>9.7779475228814902E-4</v>
      </c>
      <c r="S61" s="1"/>
      <c r="T61" s="1">
        <f>SUM(OSRRefT22_5x_0)</f>
        <v>15</v>
      </c>
      <c r="U61" s="1"/>
      <c r="V61" s="5">
        <f t="shared" si="33"/>
        <v>5.4004817229696892E-5</v>
      </c>
      <c r="W61" s="1"/>
      <c r="X61" s="1">
        <f t="shared" si="34"/>
        <v>78.19</v>
      </c>
      <c r="Y61" s="1"/>
      <c r="Z61" s="5">
        <f t="shared" si="35"/>
        <v>5.2126666666666663</v>
      </c>
    </row>
    <row r="62" spans="1:26" s="24" customFormat="1" hidden="1" outlineLevel="2" x14ac:dyDescent="0.3">
      <c r="A62" s="29"/>
      <c r="B62" s="11" t="str">
        <f>CONCATENATE("          ", "6305", " - ", "FREIGHT OUT")</f>
        <v xml:space="preserve">          6305 - FREIGHT OUT</v>
      </c>
      <c r="C62" s="11"/>
      <c r="D62" s="8">
        <v>93.19</v>
      </c>
      <c r="E62" s="3"/>
      <c r="F62" s="7">
        <f t="shared" si="28"/>
        <v>9.7779475228814902E-4</v>
      </c>
      <c r="G62" s="3"/>
      <c r="H62" s="8">
        <v>15</v>
      </c>
      <c r="I62" s="3"/>
      <c r="J62" s="7">
        <f t="shared" si="29"/>
        <v>5.4004817229696892E-5</v>
      </c>
      <c r="K62" s="3"/>
      <c r="L62" s="8">
        <f t="shared" si="30"/>
        <v>78.19</v>
      </c>
      <c r="M62" s="3"/>
      <c r="N62" s="7">
        <f t="shared" si="31"/>
        <v>5.2126666666666663</v>
      </c>
      <c r="O62" s="11"/>
      <c r="P62" s="8">
        <v>93.19</v>
      </c>
      <c r="Q62" s="3"/>
      <c r="R62" s="7">
        <f t="shared" si="32"/>
        <v>9.7779475228814902E-4</v>
      </c>
      <c r="S62" s="3"/>
      <c r="T62" s="8">
        <v>15</v>
      </c>
      <c r="U62" s="3"/>
      <c r="V62" s="7">
        <f t="shared" si="33"/>
        <v>5.4004817229696892E-5</v>
      </c>
      <c r="W62" s="3"/>
      <c r="X62" s="8">
        <f t="shared" si="34"/>
        <v>78.19</v>
      </c>
      <c r="Y62" s="3"/>
      <c r="Z62" s="7">
        <f t="shared" si="35"/>
        <v>5.2126666666666663</v>
      </c>
    </row>
    <row r="63" spans="1:26" s="27" customFormat="1" outlineLevel="1" collapsed="1" x14ac:dyDescent="0.3">
      <c r="A63" s="28"/>
      <c r="B63" s="14" t="str">
        <f>CONCATENATE("     ","General                                           ")</f>
        <v xml:space="preserve">     General                                           </v>
      </c>
      <c r="C63" s="14"/>
      <c r="D63" s="1">
        <f>SUM(OSRRefD22_6x_0)</f>
        <v>0</v>
      </c>
      <c r="E63" s="1"/>
      <c r="F63" s="5">
        <f t="shared" si="28"/>
        <v>0</v>
      </c>
      <c r="G63" s="1"/>
      <c r="H63" s="1">
        <f>SUM(OSRRefH22_6x_0)</f>
        <v>30</v>
      </c>
      <c r="I63" s="1"/>
      <c r="J63" s="5">
        <f t="shared" si="29"/>
        <v>1.0800963445939378E-4</v>
      </c>
      <c r="K63" s="1"/>
      <c r="L63" s="1">
        <f t="shared" si="30"/>
        <v>-30</v>
      </c>
      <c r="M63" s="1"/>
      <c r="N63" s="5">
        <f t="shared" si="31"/>
        <v>-1</v>
      </c>
      <c r="O63" s="14"/>
      <c r="P63" s="1">
        <f>SUM(OSRRefP22_6x_0)</f>
        <v>0</v>
      </c>
      <c r="Q63" s="1"/>
      <c r="R63" s="5">
        <f t="shared" si="32"/>
        <v>0</v>
      </c>
      <c r="S63" s="1"/>
      <c r="T63" s="1">
        <f>SUM(OSRRefT22_6x_0)</f>
        <v>30</v>
      </c>
      <c r="U63" s="1"/>
      <c r="V63" s="5">
        <f t="shared" si="33"/>
        <v>1.0800963445939378E-4</v>
      </c>
      <c r="W63" s="1"/>
      <c r="X63" s="1">
        <f t="shared" si="34"/>
        <v>-30</v>
      </c>
      <c r="Y63" s="1"/>
      <c r="Z63" s="5">
        <f t="shared" si="35"/>
        <v>-1</v>
      </c>
    </row>
    <row r="64" spans="1:26" s="24" customFormat="1" hidden="1" outlineLevel="2" x14ac:dyDescent="0.3">
      <c r="A64" s="29"/>
      <c r="B64" s="11" t="str">
        <f>CONCATENATE("          ", "6279", " - ", "GENERAL EXPENSE")</f>
        <v xml:space="preserve">          6279 - GENERAL EXPENSE</v>
      </c>
      <c r="C64" s="11"/>
      <c r="D64" s="8"/>
      <c r="E64" s="3"/>
      <c r="F64" s="7">
        <f t="shared" si="28"/>
        <v>0</v>
      </c>
      <c r="G64" s="3"/>
      <c r="H64" s="8">
        <v>30</v>
      </c>
      <c r="I64" s="3"/>
      <c r="J64" s="7">
        <f t="shared" si="29"/>
        <v>1.0800963445939378E-4</v>
      </c>
      <c r="K64" s="3"/>
      <c r="L64" s="8">
        <f t="shared" si="30"/>
        <v>-30</v>
      </c>
      <c r="M64" s="3"/>
      <c r="N64" s="7">
        <f t="shared" si="31"/>
        <v>-1</v>
      </c>
      <c r="O64" s="11"/>
      <c r="P64" s="8"/>
      <c r="Q64" s="3"/>
      <c r="R64" s="7">
        <f t="shared" si="32"/>
        <v>0</v>
      </c>
      <c r="S64" s="3"/>
      <c r="T64" s="8">
        <v>30</v>
      </c>
      <c r="U64" s="3"/>
      <c r="V64" s="7">
        <f t="shared" si="33"/>
        <v>1.0800963445939378E-4</v>
      </c>
      <c r="W64" s="3"/>
      <c r="X64" s="8">
        <f t="shared" si="34"/>
        <v>-30</v>
      </c>
      <c r="Y64" s="3"/>
      <c r="Z64" s="7">
        <f t="shared" si="35"/>
        <v>-1</v>
      </c>
    </row>
    <row r="65" spans="1:26" s="27" customFormat="1" outlineLevel="1" collapsed="1" x14ac:dyDescent="0.3">
      <c r="A65" s="28"/>
      <c r="B65" s="14" t="str">
        <f>CONCATENATE("     ","Inventory Adjustment                              ")</f>
        <v xml:space="preserve">     Inventory Adjustment                              </v>
      </c>
      <c r="C65" s="14"/>
      <c r="D65" s="1">
        <f>SUM(OSRRefD22_7x_0)</f>
        <v>1470</v>
      </c>
      <c r="E65" s="1"/>
      <c r="F65" s="5">
        <f t="shared" si="28"/>
        <v>1.5423954135246045E-2</v>
      </c>
      <c r="G65" s="1"/>
      <c r="H65" s="1">
        <f>SUM(OSRRefH22_7x_0)</f>
        <v>1470</v>
      </c>
      <c r="I65" s="1"/>
      <c r="J65" s="5">
        <f t="shared" si="29"/>
        <v>5.2924720885102949E-3</v>
      </c>
      <c r="K65" s="1"/>
      <c r="L65" s="1">
        <f t="shared" si="30"/>
        <v>0</v>
      </c>
      <c r="M65" s="1"/>
      <c r="N65" s="5">
        <f t="shared" si="31"/>
        <v>0</v>
      </c>
      <c r="O65" s="14"/>
      <c r="P65" s="1">
        <f>SUM(OSRRefP22_7x_0)</f>
        <v>1470</v>
      </c>
      <c r="Q65" s="1"/>
      <c r="R65" s="5">
        <f t="shared" si="32"/>
        <v>1.5423954135246045E-2</v>
      </c>
      <c r="S65" s="1"/>
      <c r="T65" s="1">
        <f>SUM(OSRRefT22_7x_0)</f>
        <v>1470</v>
      </c>
      <c r="U65" s="1"/>
      <c r="V65" s="5">
        <f t="shared" si="33"/>
        <v>5.2924720885102949E-3</v>
      </c>
      <c r="W65" s="1"/>
      <c r="X65" s="1">
        <f t="shared" si="34"/>
        <v>0</v>
      </c>
      <c r="Y65" s="1"/>
      <c r="Z65" s="5">
        <f t="shared" si="35"/>
        <v>0</v>
      </c>
    </row>
    <row r="66" spans="1:26" s="24" customFormat="1" hidden="1" outlineLevel="2" x14ac:dyDescent="0.3">
      <c r="A66" s="29"/>
      <c r="B66" s="11" t="str">
        <f>CONCATENATE("          ", "6408", " - ", "INVENTORY ADJUSTMENT")</f>
        <v xml:space="preserve">          6408 - INVENTORY ADJUSTMENT</v>
      </c>
      <c r="C66" s="11"/>
      <c r="D66" s="8">
        <v>1470</v>
      </c>
      <c r="E66" s="3"/>
      <c r="F66" s="7">
        <f t="shared" si="28"/>
        <v>1.5423954135246045E-2</v>
      </c>
      <c r="G66" s="3"/>
      <c r="H66" s="8">
        <v>1470</v>
      </c>
      <c r="I66" s="3"/>
      <c r="J66" s="7">
        <f t="shared" si="29"/>
        <v>5.2924720885102949E-3</v>
      </c>
      <c r="K66" s="3"/>
      <c r="L66" s="8">
        <f t="shared" si="30"/>
        <v>0</v>
      </c>
      <c r="M66" s="3"/>
      <c r="N66" s="7">
        <f t="shared" si="31"/>
        <v>0</v>
      </c>
      <c r="O66" s="11"/>
      <c r="P66" s="8">
        <v>1470</v>
      </c>
      <c r="Q66" s="3"/>
      <c r="R66" s="7">
        <f t="shared" si="32"/>
        <v>1.5423954135246045E-2</v>
      </c>
      <c r="S66" s="3"/>
      <c r="T66" s="8">
        <v>1470</v>
      </c>
      <c r="U66" s="3"/>
      <c r="V66" s="7">
        <f t="shared" si="33"/>
        <v>5.2924720885102949E-3</v>
      </c>
      <c r="W66" s="3"/>
      <c r="X66" s="8">
        <f t="shared" si="34"/>
        <v>0</v>
      </c>
      <c r="Y66" s="3"/>
      <c r="Z66" s="7">
        <f t="shared" si="35"/>
        <v>0</v>
      </c>
    </row>
    <row r="67" spans="1:26" s="27" customFormat="1" outlineLevel="1" collapsed="1" x14ac:dyDescent="0.3">
      <c r="A67" s="28"/>
      <c r="B67" s="14" t="str">
        <f>CONCATENATE("     ","Supplies                                          ")</f>
        <v xml:space="preserve">     Supplies                                          </v>
      </c>
      <c r="C67" s="14"/>
      <c r="D67" s="1">
        <f>SUM(OSRRefD22_8x_0)</f>
        <v>2041.8</v>
      </c>
      <c r="E67" s="1"/>
      <c r="F67" s="5">
        <f t="shared" si="28"/>
        <v>2.1423557519282568E-2</v>
      </c>
      <c r="G67" s="1"/>
      <c r="H67" s="1">
        <f>SUM(OSRRefH22_8x_0)</f>
        <v>310</v>
      </c>
      <c r="I67" s="1"/>
      <c r="J67" s="5">
        <f t="shared" si="29"/>
        <v>1.1160995560804024E-3</v>
      </c>
      <c r="K67" s="1"/>
      <c r="L67" s="1">
        <f t="shared" si="30"/>
        <v>1731.8</v>
      </c>
      <c r="M67" s="1"/>
      <c r="N67" s="5">
        <f t="shared" si="31"/>
        <v>5.5864516129032253</v>
      </c>
      <c r="O67" s="14"/>
      <c r="P67" s="1">
        <f>SUM(OSRRefP22_8x_0)</f>
        <v>2041.8</v>
      </c>
      <c r="Q67" s="1"/>
      <c r="R67" s="5">
        <f t="shared" si="32"/>
        <v>2.1423557519282568E-2</v>
      </c>
      <c r="S67" s="1"/>
      <c r="T67" s="1">
        <f>SUM(OSRRefT22_8x_0)</f>
        <v>310</v>
      </c>
      <c r="U67" s="1"/>
      <c r="V67" s="5">
        <f t="shared" si="33"/>
        <v>1.1160995560804024E-3</v>
      </c>
      <c r="W67" s="1"/>
      <c r="X67" s="1">
        <f t="shared" si="34"/>
        <v>1731.8</v>
      </c>
      <c r="Y67" s="1"/>
      <c r="Z67" s="5">
        <f t="shared" si="35"/>
        <v>5.5864516129032253</v>
      </c>
    </row>
    <row r="68" spans="1:26" s="24" customFormat="1" hidden="1" outlineLevel="2" x14ac:dyDescent="0.3">
      <c r="A68" s="29"/>
      <c r="B68" s="11" t="str">
        <f>CONCATENATE("          ", "6241", " - ", "OFFICE EXPENSE")</f>
        <v xml:space="preserve">          6241 - OFFICE EXPENSE</v>
      </c>
      <c r="C68" s="11"/>
      <c r="D68" s="8">
        <v>8.8000000000000007</v>
      </c>
      <c r="E68" s="3"/>
      <c r="F68" s="7">
        <f t="shared" si="28"/>
        <v>9.2333875095350484E-5</v>
      </c>
      <c r="G68" s="3"/>
      <c r="H68" s="8">
        <v>110</v>
      </c>
      <c r="I68" s="3"/>
      <c r="J68" s="7">
        <f t="shared" si="29"/>
        <v>3.9603532635111051E-4</v>
      </c>
      <c r="K68" s="3"/>
      <c r="L68" s="8">
        <f t="shared" si="30"/>
        <v>-101.2</v>
      </c>
      <c r="M68" s="3"/>
      <c r="N68" s="7">
        <f t="shared" si="31"/>
        <v>-0.92</v>
      </c>
      <c r="O68" s="11"/>
      <c r="P68" s="8">
        <v>8.8000000000000007</v>
      </c>
      <c r="Q68" s="3"/>
      <c r="R68" s="7">
        <f t="shared" si="32"/>
        <v>9.2333875095350484E-5</v>
      </c>
      <c r="S68" s="3"/>
      <c r="T68" s="8">
        <v>110</v>
      </c>
      <c r="U68" s="3"/>
      <c r="V68" s="7">
        <f t="shared" si="33"/>
        <v>3.9603532635111051E-4</v>
      </c>
      <c r="W68" s="3"/>
      <c r="X68" s="8">
        <f t="shared" si="34"/>
        <v>-101.2</v>
      </c>
      <c r="Y68" s="3"/>
      <c r="Z68" s="7">
        <f t="shared" si="35"/>
        <v>-0.92</v>
      </c>
    </row>
    <row r="69" spans="1:26" s="24" customFormat="1" hidden="1" outlineLevel="2" x14ac:dyDescent="0.3">
      <c r="A69" s="29"/>
      <c r="B69" s="11" t="str">
        <f>CONCATENATE("          ", "6247", " - ", "STORE SUPPLIES")</f>
        <v xml:space="preserve">          6247 - STORE SUPPLIES</v>
      </c>
      <c r="C69" s="11"/>
      <c r="D69" s="8">
        <v>2033</v>
      </c>
      <c r="E69" s="3"/>
      <c r="F69" s="7">
        <f t="shared" si="28"/>
        <v>2.1331223644187217E-2</v>
      </c>
      <c r="G69" s="3"/>
      <c r="H69" s="8">
        <v>200</v>
      </c>
      <c r="I69" s="3"/>
      <c r="J69" s="7">
        <f t="shared" si="29"/>
        <v>7.2006422972929187E-4</v>
      </c>
      <c r="K69" s="3"/>
      <c r="L69" s="8">
        <f t="shared" si="30"/>
        <v>1833</v>
      </c>
      <c r="M69" s="3"/>
      <c r="N69" s="7">
        <f t="shared" si="31"/>
        <v>9.1649999999999991</v>
      </c>
      <c r="O69" s="11"/>
      <c r="P69" s="8">
        <v>2033</v>
      </c>
      <c r="Q69" s="3"/>
      <c r="R69" s="7">
        <f t="shared" si="32"/>
        <v>2.1331223644187217E-2</v>
      </c>
      <c r="S69" s="3"/>
      <c r="T69" s="8">
        <v>200</v>
      </c>
      <c r="U69" s="3"/>
      <c r="V69" s="7">
        <f t="shared" si="33"/>
        <v>7.2006422972929187E-4</v>
      </c>
      <c r="W69" s="3"/>
      <c r="X69" s="8">
        <f t="shared" si="34"/>
        <v>1833</v>
      </c>
      <c r="Y69" s="3"/>
      <c r="Z69" s="7">
        <f t="shared" si="35"/>
        <v>9.1649999999999991</v>
      </c>
    </row>
    <row r="70" spans="1:26" s="27" customFormat="1" outlineLevel="1" collapsed="1" x14ac:dyDescent="0.3">
      <c r="A70" s="28"/>
      <c r="B70" s="14" t="str">
        <f>CONCATENATE("     ","Telephone/Data Lines                              ")</f>
        <v xml:space="preserve">     Telephone/Data Lines                              </v>
      </c>
      <c r="C70" s="14"/>
      <c r="D70" s="1">
        <f>SUM(OSRRefD22_9x_0)</f>
        <v>283.3</v>
      </c>
      <c r="E70" s="1"/>
      <c r="F70" s="5">
        <f t="shared" ref="F70:F71" si="36">IF(D$12=0,0,D70/D$12)</f>
        <v>2.972521228921908E-3</v>
      </c>
      <c r="G70" s="1"/>
      <c r="H70" s="1">
        <f>SUM(OSRRefH22_9x_0)</f>
        <v>325</v>
      </c>
      <c r="I70" s="1"/>
      <c r="J70" s="5">
        <f t="shared" ref="J70:J71" si="37">IF(H$12=0,0,H70/H$12)</f>
        <v>1.1701043733100993E-3</v>
      </c>
      <c r="K70" s="1"/>
      <c r="L70" s="1">
        <f t="shared" ref="L70:L71" si="38">+D70-H70</f>
        <v>-41.699999999999989</v>
      </c>
      <c r="M70" s="1"/>
      <c r="N70" s="5">
        <f t="shared" ref="N70:N71" si="39">IF(H70=0,0,L70/H70)</f>
        <v>-0.12830769230769226</v>
      </c>
      <c r="O70" s="14"/>
      <c r="P70" s="1">
        <f>SUM(OSRRefP22_9x_0)</f>
        <v>283.3</v>
      </c>
      <c r="Q70" s="1"/>
      <c r="R70" s="5">
        <f t="shared" ref="R70:R71" si="40">IF(P$12=0,0,P70/P$12)</f>
        <v>2.972521228921908E-3</v>
      </c>
      <c r="S70" s="1"/>
      <c r="T70" s="1">
        <f>SUM(OSRRefT22_9x_0)</f>
        <v>325</v>
      </c>
      <c r="U70" s="1"/>
      <c r="V70" s="5">
        <f t="shared" ref="V70:V71" si="41">IF(T$12=0,0,T70/T$12)</f>
        <v>1.1701043733100993E-3</v>
      </c>
      <c r="W70" s="1"/>
      <c r="X70" s="1">
        <f t="shared" ref="X70:X71" si="42">+P70-T70</f>
        <v>-41.699999999999989</v>
      </c>
      <c r="Y70" s="1"/>
      <c r="Z70" s="5">
        <f t="shared" ref="Z70:Z71" si="43">IF(T70=0,0,X70/T70)</f>
        <v>-0.12830769230769226</v>
      </c>
    </row>
    <row r="71" spans="1:26" s="24" customFormat="1" hidden="1" outlineLevel="2" x14ac:dyDescent="0.3">
      <c r="A71" s="29"/>
      <c r="B71" s="11" t="str">
        <f>CONCATENATE("          ", "6309", " - ", "TELEPHONE")</f>
        <v xml:space="preserve">          6309 - TELEPHONE</v>
      </c>
      <c r="C71" s="11"/>
      <c r="D71" s="8">
        <v>283.3</v>
      </c>
      <c r="E71" s="3"/>
      <c r="F71" s="7">
        <f t="shared" si="36"/>
        <v>2.972521228921908E-3</v>
      </c>
      <c r="G71" s="3"/>
      <c r="H71" s="8">
        <v>325</v>
      </c>
      <c r="I71" s="3"/>
      <c r="J71" s="7">
        <f t="shared" si="37"/>
        <v>1.1701043733100993E-3</v>
      </c>
      <c r="K71" s="3"/>
      <c r="L71" s="8">
        <f t="shared" si="38"/>
        <v>-41.699999999999989</v>
      </c>
      <c r="M71" s="3"/>
      <c r="N71" s="7">
        <f t="shared" si="39"/>
        <v>-0.12830769230769226</v>
      </c>
      <c r="O71" s="11"/>
      <c r="P71" s="8">
        <v>283.3</v>
      </c>
      <c r="Q71" s="3"/>
      <c r="R71" s="7">
        <f t="shared" si="40"/>
        <v>2.972521228921908E-3</v>
      </c>
      <c r="S71" s="3"/>
      <c r="T71" s="8">
        <v>325</v>
      </c>
      <c r="U71" s="3"/>
      <c r="V71" s="7">
        <f t="shared" si="41"/>
        <v>1.1701043733100993E-3</v>
      </c>
      <c r="W71" s="3"/>
      <c r="X71" s="8">
        <f t="shared" si="42"/>
        <v>-41.699999999999989</v>
      </c>
      <c r="Y71" s="3"/>
      <c r="Z71" s="7">
        <f t="shared" si="43"/>
        <v>-0.12830769230769226</v>
      </c>
    </row>
    <row r="72" spans="1:26" s="62" customFormat="1" x14ac:dyDescent="0.3">
      <c r="A72" s="36"/>
      <c r="B72" s="36"/>
      <c r="C72" s="36"/>
      <c r="D72" s="1"/>
      <c r="E72" s="1"/>
      <c r="F72" s="5"/>
      <c r="G72" s="1"/>
      <c r="H72" s="1"/>
      <c r="I72" s="1"/>
      <c r="J72" s="5"/>
      <c r="K72" s="1"/>
      <c r="L72" s="1"/>
      <c r="M72" s="1"/>
      <c r="N72" s="5"/>
      <c r="O72" s="36"/>
      <c r="P72" s="1"/>
      <c r="Q72" s="1"/>
      <c r="R72" s="5"/>
      <c r="S72" s="1"/>
      <c r="T72" s="1"/>
      <c r="U72" s="1"/>
      <c r="V72" s="5"/>
      <c r="W72" s="1"/>
      <c r="X72" s="1"/>
      <c r="Y72" s="1"/>
      <c r="Z72" s="5"/>
    </row>
    <row r="73" spans="1:26" s="23" customFormat="1" collapsed="1" x14ac:dyDescent="0.3">
      <c r="A73" s="10"/>
      <c r="B73" s="25" t="s">
        <v>293</v>
      </c>
      <c r="C73" s="10"/>
      <c r="D73" s="4">
        <f>SUM(OSRRefD25x_0)</f>
        <v>193.38</v>
      </c>
      <c r="E73" s="4"/>
      <c r="F73" s="12">
        <f t="shared" ref="F73:F76" si="44">IF(D$12=0,0,D73/D$12)</f>
        <v>2.0290369052203268E-3</v>
      </c>
      <c r="G73" s="4"/>
      <c r="H73" s="4">
        <f>SUM(OSRRefH25x_0)</f>
        <v>2651</v>
      </c>
      <c r="I73" s="4"/>
      <c r="J73" s="12">
        <f t="shared" ref="J73:J76" si="45">IF(H$12=0,0,H73/H$12)</f>
        <v>9.5444513650617627E-3</v>
      </c>
      <c r="K73" s="4"/>
      <c r="L73" s="4">
        <f t="shared" ref="L73:L76" si="46">+D73-H73</f>
        <v>-2457.62</v>
      </c>
      <c r="M73" s="4"/>
      <c r="N73" s="12">
        <f t="shared" ref="N73:N76" si="47">IF(H73=0,0,L73/H73)</f>
        <v>-0.9270539419087136</v>
      </c>
      <c r="O73" s="10"/>
      <c r="P73" s="4">
        <f>SUM(OSRRefP25x_0)</f>
        <v>193.38</v>
      </c>
      <c r="Q73" s="4"/>
      <c r="R73" s="12">
        <f t="shared" ref="R73:R76" si="48">IF(P$12=0,0,P73/P$12)</f>
        <v>2.0290369052203268E-3</v>
      </c>
      <c r="S73" s="4"/>
      <c r="T73" s="4">
        <f>SUM(OSRRefT25x_0)</f>
        <v>2651</v>
      </c>
      <c r="U73" s="4"/>
      <c r="V73" s="12">
        <f t="shared" ref="V73:V76" si="49">IF(T$12=0,0,T73/T$12)</f>
        <v>9.5444513650617627E-3</v>
      </c>
      <c r="W73" s="4"/>
      <c r="X73" s="4">
        <f t="shared" ref="X73:X76" si="50">+P73-T73</f>
        <v>-2457.62</v>
      </c>
      <c r="Y73" s="4"/>
      <c r="Z73" s="12">
        <f t="shared" ref="Z73:Z76" si="51">IF(T73=0,0,X73/T73)</f>
        <v>-0.9270539419087136</v>
      </c>
    </row>
    <row r="74" spans="1:26" s="24" customFormat="1" hidden="1" outlineLevel="1" x14ac:dyDescent="0.3">
      <c r="A74" s="44"/>
      <c r="B74" s="11" t="str">
        <f>CONCATENATE("          ", "4187", " - ", "NON-TAXABLE SALES-COMPUTER REP")</f>
        <v xml:space="preserve">          4187 - NON-TAXABLE SALES-COMPUTER REP</v>
      </c>
      <c r="C74" s="11"/>
      <c r="D74" s="3">
        <f>0</f>
        <v>0</v>
      </c>
      <c r="E74" s="3"/>
      <c r="F74" s="19">
        <f t="shared" si="44"/>
        <v>0</v>
      </c>
      <c r="G74" s="3"/>
      <c r="H74" s="3"/>
      <c r="I74" s="3"/>
      <c r="J74" s="19">
        <f t="shared" si="45"/>
        <v>0</v>
      </c>
      <c r="K74" s="3"/>
      <c r="L74" s="3">
        <f t="shared" si="46"/>
        <v>0</v>
      </c>
      <c r="M74" s="3"/>
      <c r="N74" s="19">
        <f t="shared" si="47"/>
        <v>0</v>
      </c>
      <c r="O74" s="11"/>
      <c r="P74" s="3">
        <f>0</f>
        <v>0</v>
      </c>
      <c r="Q74" s="3"/>
      <c r="R74" s="19">
        <f t="shared" si="48"/>
        <v>0</v>
      </c>
      <c r="S74" s="3"/>
      <c r="T74" s="3"/>
      <c r="U74" s="3"/>
      <c r="V74" s="19">
        <f t="shared" si="49"/>
        <v>0</v>
      </c>
      <c r="W74" s="3"/>
      <c r="X74" s="3">
        <f t="shared" si="50"/>
        <v>0</v>
      </c>
      <c r="Y74" s="3"/>
      <c r="Z74" s="19">
        <f t="shared" si="51"/>
        <v>0</v>
      </c>
    </row>
    <row r="75" spans="1:26" s="24" customFormat="1" hidden="1" outlineLevel="1" x14ac:dyDescent="0.3">
      <c r="A75" s="44"/>
      <c r="B75" s="11" t="str">
        <f>CONCATENATE("          ", "9087", " - ", "")</f>
        <v xml:space="preserve">          9087 - </v>
      </c>
      <c r="C75" s="11"/>
      <c r="D75" s="3">
        <f>--73.47</f>
        <v>73.47</v>
      </c>
      <c r="E75" s="3"/>
      <c r="F75" s="19">
        <f t="shared" si="44"/>
        <v>7.7088293218811356E-4</v>
      </c>
      <c r="G75" s="3"/>
      <c r="H75" s="3"/>
      <c r="I75" s="3"/>
      <c r="J75" s="19">
        <f t="shared" si="45"/>
        <v>0</v>
      </c>
      <c r="K75" s="3"/>
      <c r="L75" s="3">
        <f t="shared" si="46"/>
        <v>73.47</v>
      </c>
      <c r="M75" s="3"/>
      <c r="N75" s="19">
        <f t="shared" si="47"/>
        <v>0</v>
      </c>
      <c r="O75" s="11"/>
      <c r="P75" s="3">
        <f>--73.47</f>
        <v>73.47</v>
      </c>
      <c r="Q75" s="3"/>
      <c r="R75" s="19">
        <f t="shared" si="48"/>
        <v>7.7088293218811356E-4</v>
      </c>
      <c r="S75" s="3"/>
      <c r="T75" s="3"/>
      <c r="U75" s="3"/>
      <c r="V75" s="19">
        <f t="shared" si="49"/>
        <v>0</v>
      </c>
      <c r="W75" s="3"/>
      <c r="X75" s="3">
        <f t="shared" si="50"/>
        <v>73.47</v>
      </c>
      <c r="Y75" s="3"/>
      <c r="Z75" s="19">
        <f t="shared" si="51"/>
        <v>0</v>
      </c>
    </row>
    <row r="76" spans="1:26" s="24" customFormat="1" hidden="1" outlineLevel="1" x14ac:dyDescent="0.3">
      <c r="A76" s="44"/>
      <c r="B76" s="11" t="str">
        <f>CONCATENATE("          ", "9150", " - ", "MISC. INCOME")</f>
        <v xml:space="preserve">          9150 - MISC. INCOME</v>
      </c>
      <c r="C76" s="11"/>
      <c r="D76" s="3">
        <f>--119.91</f>
        <v>119.91</v>
      </c>
      <c r="E76" s="3"/>
      <c r="F76" s="19">
        <f t="shared" si="44"/>
        <v>1.2581539730322131E-3</v>
      </c>
      <c r="G76" s="3"/>
      <c r="H76" s="3">
        <v>2651</v>
      </c>
      <c r="I76" s="3"/>
      <c r="J76" s="19">
        <f t="shared" si="45"/>
        <v>9.5444513650617627E-3</v>
      </c>
      <c r="K76" s="3"/>
      <c r="L76" s="3">
        <f t="shared" si="46"/>
        <v>-2531.09</v>
      </c>
      <c r="M76" s="3"/>
      <c r="N76" s="19">
        <f t="shared" si="47"/>
        <v>-0.95476801207091666</v>
      </c>
      <c r="O76" s="11"/>
      <c r="P76" s="3">
        <f>--119.91</f>
        <v>119.91</v>
      </c>
      <c r="Q76" s="3"/>
      <c r="R76" s="19">
        <f t="shared" si="48"/>
        <v>1.2581539730322131E-3</v>
      </c>
      <c r="S76" s="3"/>
      <c r="T76" s="3">
        <v>2651</v>
      </c>
      <c r="U76" s="3"/>
      <c r="V76" s="19">
        <f t="shared" si="49"/>
        <v>9.5444513650617627E-3</v>
      </c>
      <c r="W76" s="3"/>
      <c r="X76" s="3">
        <f t="shared" si="50"/>
        <v>-2531.09</v>
      </c>
      <c r="Y76" s="3"/>
      <c r="Z76" s="19">
        <f t="shared" si="51"/>
        <v>-0.95476801207091666</v>
      </c>
    </row>
    <row r="77" spans="1:26" x14ac:dyDescent="0.3">
      <c r="A77" s="9"/>
      <c r="B77" s="10"/>
      <c r="C77" s="10"/>
      <c r="D77" s="2"/>
      <c r="E77" s="2"/>
      <c r="F77" s="6"/>
      <c r="G77" s="2"/>
      <c r="H77" s="2"/>
      <c r="I77" s="2"/>
      <c r="J77" s="6"/>
      <c r="K77" s="2"/>
      <c r="L77" s="2"/>
      <c r="M77" s="2"/>
      <c r="N77" s="6"/>
      <c r="O77" s="10"/>
      <c r="P77" s="2"/>
      <c r="Q77" s="2"/>
      <c r="R77" s="6"/>
      <c r="S77" s="2"/>
      <c r="T77" s="2"/>
      <c r="U77" s="2"/>
      <c r="V77" s="6"/>
      <c r="W77" s="2"/>
      <c r="X77" s="2"/>
      <c r="Y77" s="2"/>
      <c r="Z77" s="6"/>
    </row>
    <row r="78" spans="1:26" s="23" customFormat="1" x14ac:dyDescent="0.3">
      <c r="A78" s="10"/>
      <c r="B78" s="26" t="s">
        <v>277</v>
      </c>
      <c r="C78" s="26"/>
      <c r="D78" s="21">
        <f>+D30-D32+D73</f>
        <v>-3756.4600000000146</v>
      </c>
      <c r="E78" s="13"/>
      <c r="F78" s="22">
        <f>IF(D$12=0,0,D78/D$12)</f>
        <v>-3.9414603231895634E-2</v>
      </c>
      <c r="G78" s="13"/>
      <c r="H78" s="21">
        <f>+H30-H32+H73</f>
        <v>14674.2436389125</v>
      </c>
      <c r="I78" s="13"/>
      <c r="J78" s="22">
        <f>IF(H$12=0,0,H78/H$12)</f>
        <v>5.2831989713567451E-2</v>
      </c>
      <c r="K78" s="16"/>
      <c r="L78" s="21">
        <f>+D78-H78</f>
        <v>-18430.703638912513</v>
      </c>
      <c r="M78" s="16"/>
      <c r="N78" s="22">
        <f>IF(H78=0,0,L78/H78)</f>
        <v>-1.2559900252738616</v>
      </c>
      <c r="O78" s="25"/>
      <c r="P78" s="21">
        <f>+P30-P32+P73</f>
        <v>-3756.4600000000146</v>
      </c>
      <c r="Q78" s="13"/>
      <c r="R78" s="22">
        <f>IF(P$12=0,0,P78/P$12)</f>
        <v>-3.9414603231895634E-2</v>
      </c>
      <c r="S78" s="13"/>
      <c r="T78" s="21">
        <f>+T30-T32+T73</f>
        <v>14674.2436389125</v>
      </c>
      <c r="U78" s="13"/>
      <c r="V78" s="22">
        <f>IF(T$12=0,0,T78/T$12)</f>
        <v>5.2831989713567451E-2</v>
      </c>
      <c r="W78" s="16"/>
      <c r="X78" s="21">
        <f>+P78-T78</f>
        <v>-18430.703638912513</v>
      </c>
      <c r="Y78" s="16"/>
      <c r="Z78" s="22">
        <f>IF(T78=0,0,X78/T78)</f>
        <v>-1.2559900252738616</v>
      </c>
    </row>
    <row r="79" spans="1:26" x14ac:dyDescent="0.3">
      <c r="A79" s="9"/>
      <c r="B79" s="10"/>
      <c r="C79" s="9"/>
      <c r="D79" s="2"/>
      <c r="E79" s="2"/>
      <c r="F79" s="6"/>
      <c r="G79" s="2"/>
      <c r="H79" s="2"/>
      <c r="I79" s="2"/>
      <c r="J79" s="6"/>
      <c r="K79" s="2"/>
      <c r="L79" s="2"/>
      <c r="M79" s="2"/>
      <c r="N79" s="6"/>
      <c r="P79" s="2"/>
      <c r="Q79" s="2"/>
      <c r="R79" s="6"/>
      <c r="S79" s="2"/>
      <c r="T79" s="2"/>
      <c r="U79" s="2"/>
      <c r="V79" s="6"/>
      <c r="W79" s="2"/>
      <c r="X79" s="2"/>
      <c r="Y79" s="2"/>
      <c r="Z79" s="6"/>
    </row>
    <row r="80" spans="1:26" s="23" customFormat="1" x14ac:dyDescent="0.3">
      <c r="A80" s="52"/>
      <c r="B80" s="10" t="s">
        <v>128</v>
      </c>
      <c r="C80" s="10"/>
      <c r="D80" s="4">
        <v>44031.12</v>
      </c>
      <c r="E80" s="4"/>
      <c r="F80" s="12">
        <f>IF(D$12=0,0,D80/D$12)</f>
        <v>0.46199590163504417</v>
      </c>
      <c r="G80" s="4"/>
      <c r="H80" s="4">
        <v>100588</v>
      </c>
      <c r="I80" s="4"/>
      <c r="J80" s="12">
        <f>IF(H$12=0,0,H80/H$12)</f>
        <v>0.36214910370005005</v>
      </c>
      <c r="K80" s="4"/>
      <c r="L80" s="4">
        <f>+D80-H80</f>
        <v>-56556.88</v>
      </c>
      <c r="M80" s="4"/>
      <c r="N80" s="12">
        <f>IF(H80=0,0,L80/H80)</f>
        <v>-0.56226269535133411</v>
      </c>
      <c r="O80" s="10"/>
      <c r="P80" s="4">
        <v>44031.12</v>
      </c>
      <c r="Q80" s="4"/>
      <c r="R80" s="12">
        <f>IF(P$12=0,0,P80/P$12)</f>
        <v>0.46199590163504417</v>
      </c>
      <c r="S80" s="4"/>
      <c r="T80" s="4">
        <v>100588</v>
      </c>
      <c r="U80" s="4"/>
      <c r="V80" s="12">
        <f>IF(T$12=0,0,T80/T$12)</f>
        <v>0.36214910370005005</v>
      </c>
      <c r="W80" s="4"/>
      <c r="X80" s="4">
        <f>+P80-T80</f>
        <v>-56556.88</v>
      </c>
      <c r="Y80" s="4"/>
      <c r="Z80" s="12">
        <f>IF(T80=0,0,X80/T80)</f>
        <v>-0.56226269535133411</v>
      </c>
    </row>
    <row r="81" spans="1:26" x14ac:dyDescent="0.3">
      <c r="A81" s="9"/>
      <c r="B81" s="10"/>
      <c r="C81" s="10"/>
      <c r="D81" s="2"/>
      <c r="E81" s="2"/>
      <c r="F81" s="6"/>
      <c r="G81" s="2"/>
      <c r="H81" s="2"/>
      <c r="I81" s="2"/>
      <c r="J81" s="6"/>
      <c r="K81" s="2"/>
      <c r="L81" s="2"/>
      <c r="M81" s="2"/>
      <c r="N81" s="6"/>
      <c r="O81" s="10"/>
      <c r="P81" s="2"/>
      <c r="Q81" s="2"/>
      <c r="R81" s="6"/>
      <c r="S81" s="2"/>
      <c r="T81" s="2"/>
      <c r="U81" s="2"/>
      <c r="V81" s="6"/>
      <c r="W81" s="2"/>
      <c r="X81" s="2"/>
      <c r="Y81" s="2"/>
      <c r="Z81" s="6"/>
    </row>
    <row r="82" spans="1:26" s="23" customFormat="1" ht="15" thickBot="1" x14ac:dyDescent="0.35">
      <c r="A82" s="10"/>
      <c r="B82" s="26" t="s">
        <v>126</v>
      </c>
      <c r="C82" s="26"/>
      <c r="D82" s="35">
        <f>+D78-D80</f>
        <v>-47787.580000000016</v>
      </c>
      <c r="E82" s="13"/>
      <c r="F82" s="30">
        <f>IF(D$12=0,0,D82/D$12)</f>
        <v>-0.50141050486693972</v>
      </c>
      <c r="G82" s="13"/>
      <c r="H82" s="35">
        <f>+H78-H80</f>
        <v>-85913.756361087493</v>
      </c>
      <c r="I82" s="13"/>
      <c r="J82" s="30">
        <f>IF(H$12=0,0,H82/H$12)</f>
        <v>-0.30931711398648259</v>
      </c>
      <c r="K82" s="16"/>
      <c r="L82" s="35">
        <f>D82-H82</f>
        <v>38126.176361087477</v>
      </c>
      <c r="M82" s="16"/>
      <c r="N82" s="30">
        <f>IF(H82=0,0,L82/H82)</f>
        <v>-0.44377266198030868</v>
      </c>
      <c r="O82" s="25"/>
      <c r="P82" s="35">
        <f>+P78-P80</f>
        <v>-47787.580000000016</v>
      </c>
      <c r="Q82" s="13"/>
      <c r="R82" s="30">
        <f>IF(P$12=0,0,P82/P$12)</f>
        <v>-0.50141050486693972</v>
      </c>
      <c r="S82" s="13"/>
      <c r="T82" s="35">
        <f>+T78-T80</f>
        <v>-85913.756361087493</v>
      </c>
      <c r="U82" s="13"/>
      <c r="V82" s="30">
        <f>IF(T$12=0,0,T82/T$12)</f>
        <v>-0.30931711398648259</v>
      </c>
      <c r="W82" s="16"/>
      <c r="X82" s="35">
        <f>P82-T82</f>
        <v>38126.176361087477</v>
      </c>
      <c r="Y82" s="16"/>
      <c r="Z82" s="30">
        <f>IF(T82=0,0,X82/T82)</f>
        <v>-0.44377266198030868</v>
      </c>
    </row>
    <row r="83" spans="1:26" ht="15" thickTop="1" x14ac:dyDescent="0.3">
      <c r="A83" s="9"/>
      <c r="B83" s="9"/>
      <c r="C83" s="9"/>
      <c r="D83" s="2"/>
      <c r="E83" s="2"/>
      <c r="F83" s="6"/>
      <c r="G83" s="2"/>
      <c r="H83" s="2"/>
      <c r="I83" s="2"/>
      <c r="J83" s="6"/>
      <c r="K83" s="2"/>
      <c r="L83" s="2"/>
      <c r="M83" s="2"/>
      <c r="N83" s="6"/>
      <c r="P83" s="2"/>
      <c r="Q83" s="2"/>
      <c r="R83" s="6"/>
      <c r="S83" s="2"/>
      <c r="T83" s="2"/>
      <c r="U83" s="2"/>
      <c r="V83" s="6"/>
      <c r="W83" s="2"/>
      <c r="X83" s="2"/>
      <c r="Y83" s="2"/>
      <c r="Z83" s="6"/>
    </row>
    <row r="84" spans="1:26" x14ac:dyDescent="0.3">
      <c r="A84" s="9"/>
      <c r="B84" s="9"/>
      <c r="C84" s="9"/>
      <c r="D84" s="2"/>
      <c r="E84" s="2"/>
      <c r="F84" s="6"/>
      <c r="G84" s="2"/>
      <c r="H84" s="2"/>
      <c r="I84" s="2"/>
      <c r="J84" s="6"/>
      <c r="K84" s="2"/>
      <c r="L84" s="2"/>
      <c r="M84" s="2"/>
      <c r="N84" s="6"/>
      <c r="P84" s="2"/>
      <c r="Q84" s="2"/>
      <c r="R84" s="6"/>
      <c r="S84" s="2"/>
      <c r="T84" s="2"/>
      <c r="U84" s="2"/>
      <c r="V84" s="6"/>
      <c r="W84" s="2"/>
      <c r="X84" s="2"/>
      <c r="Y84" s="2"/>
      <c r="Z84" s="6"/>
    </row>
    <row r="85" spans="1:26" s="23" customFormat="1" ht="15" thickBot="1" x14ac:dyDescent="0.35">
      <c r="A85" s="10"/>
      <c r="B85" s="26" t="s">
        <v>294</v>
      </c>
      <c r="C85" s="26"/>
      <c r="D85" s="33">
        <f>SUM(D82:D84)</f>
        <v>-47787.580000000016</v>
      </c>
      <c r="E85" s="13"/>
      <c r="F85" s="31">
        <f>IF(D$12=0,0,D85/D$12)</f>
        <v>-0.50141050486693972</v>
      </c>
      <c r="G85" s="13"/>
      <c r="H85" s="33">
        <f>SUM(H82:H84)</f>
        <v>-85913.756361087493</v>
      </c>
      <c r="I85" s="13"/>
      <c r="J85" s="31">
        <f>IF(H$12=0,0,H85/H$12)</f>
        <v>-0.30931711398648259</v>
      </c>
      <c r="K85" s="16"/>
      <c r="L85" s="33">
        <f>+D85-H85</f>
        <v>38126.176361087477</v>
      </c>
      <c r="M85" s="16"/>
      <c r="N85" s="31">
        <f>IF(H85=0,0,L85/H85)</f>
        <v>-0.44377266198030868</v>
      </c>
      <c r="O85" s="25"/>
      <c r="P85" s="33">
        <f>SUM(P82:P84)</f>
        <v>-47787.580000000016</v>
      </c>
      <c r="Q85" s="13"/>
      <c r="R85" s="31">
        <f>IF(P$12=0,0,P85/P$12)</f>
        <v>-0.50141050486693972</v>
      </c>
      <c r="S85" s="13"/>
      <c r="T85" s="33">
        <f>SUM(T82:T84)</f>
        <v>-85913.756361087493</v>
      </c>
      <c r="U85" s="13"/>
      <c r="V85" s="31">
        <f>IF(T$12=0,0,T85/T$12)</f>
        <v>-0.30931711398648259</v>
      </c>
      <c r="W85" s="16"/>
      <c r="X85" s="33">
        <f>+P85-T85</f>
        <v>38126.176361087477</v>
      </c>
      <c r="Y85" s="16"/>
      <c r="Z85" s="31">
        <f>IF(T85=0,0,X85/T85)</f>
        <v>-0.44377266198030868</v>
      </c>
    </row>
    <row r="86" spans="1:26" ht="15" thickTop="1" x14ac:dyDescent="0.3">
      <c r="A86" s="9"/>
      <c r="C86" s="9"/>
      <c r="D86" s="18"/>
      <c r="E86" s="18"/>
      <c r="G86" s="18"/>
      <c r="H86" s="18"/>
      <c r="I86" s="18"/>
      <c r="J86" s="43"/>
      <c r="K86" s="18"/>
      <c r="L86" s="18"/>
      <c r="M86" s="18"/>
      <c r="P86" s="18"/>
      <c r="Q86" s="18"/>
      <c r="R86" s="43"/>
      <c r="S86" s="18"/>
      <c r="T86" s="18"/>
      <c r="U86" s="18"/>
      <c r="V86" s="43"/>
      <c r="W86" s="18"/>
      <c r="X86" s="18"/>
    </row>
    <row r="87" spans="1:26" x14ac:dyDescent="0.3">
      <c r="A87" s="9"/>
      <c r="B87" s="54">
        <v>44462.645481712963</v>
      </c>
      <c r="D87" s="18"/>
      <c r="E87" s="18"/>
      <c r="G87" s="18"/>
      <c r="H87" s="18"/>
      <c r="I87" s="18"/>
      <c r="J87" s="43"/>
      <c r="K87" s="18"/>
      <c r="L87" s="18"/>
      <c r="M87" s="18"/>
      <c r="P87" s="18"/>
      <c r="Q87" s="18"/>
      <c r="R87" s="43"/>
      <c r="S87" s="18"/>
      <c r="T87" s="18"/>
      <c r="U87" s="18"/>
      <c r="V87" s="43"/>
      <c r="W87" s="18"/>
      <c r="X87" s="18"/>
    </row>
    <row r="88" spans="1:26" x14ac:dyDescent="0.3">
      <c r="A88" s="9"/>
      <c r="B88" s="59" t="s">
        <v>56</v>
      </c>
      <c r="D88" s="18"/>
      <c r="E88" s="18"/>
      <c r="G88" s="18"/>
      <c r="H88" s="18"/>
      <c r="I88" s="18"/>
      <c r="J88" s="43"/>
      <c r="K88" s="18"/>
      <c r="L88" s="18"/>
      <c r="M88" s="18"/>
      <c r="P88" s="18"/>
      <c r="Q88" s="18"/>
      <c r="R88" s="43"/>
      <c r="S88" s="18"/>
      <c r="T88" s="18"/>
      <c r="U88" s="18"/>
      <c r="V88" s="43"/>
      <c r="W88" s="18"/>
      <c r="X88" s="18"/>
    </row>
    <row r="89" spans="1:26" x14ac:dyDescent="0.3">
      <c r="A89" s="9"/>
      <c r="B89" s="55"/>
      <c r="D89" s="18"/>
      <c r="E89" s="18"/>
      <c r="G89" s="18"/>
      <c r="H89" s="18"/>
      <c r="I89" s="18"/>
      <c r="J89" s="43"/>
      <c r="K89" s="18"/>
      <c r="L89" s="18"/>
      <c r="M89" s="18"/>
      <c r="P89" s="18"/>
      <c r="Q89" s="18"/>
      <c r="R89" s="43"/>
      <c r="S89" s="18"/>
      <c r="T89" s="18"/>
      <c r="U89" s="18"/>
      <c r="V89" s="43"/>
      <c r="W89" s="18"/>
      <c r="X89" s="18"/>
    </row>
    <row r="90" spans="1:26" x14ac:dyDescent="0.3">
      <c r="D90" s="18"/>
      <c r="E90" s="18"/>
      <c r="G90" s="18"/>
      <c r="H90" s="18"/>
      <c r="I90" s="18"/>
      <c r="J90" s="43"/>
      <c r="K90" s="18"/>
      <c r="L90" s="18"/>
      <c r="M90" s="18"/>
      <c r="P90" s="18"/>
      <c r="Q90" s="18"/>
      <c r="R90" s="43"/>
      <c r="S90" s="18"/>
      <c r="T90" s="18"/>
      <c r="U90" s="18"/>
      <c r="V90" s="43"/>
      <c r="W90" s="18"/>
      <c r="X90" s="18"/>
    </row>
  </sheetData>
  <pageMargins left="0.25" right="0.25" top="0.75" bottom="0.75" header="0.3" footer="0.3"/>
  <pageSetup scale="55" fitToWidth="2" orientation="landscape"/>
  <drawing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>
    <tabColor rgb="FF92D050"/>
    <outlinePr summaryBelow="0" summaryRight="0"/>
  </sheetPr>
  <dimension ref="A2:Z90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50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7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50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7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7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7" customWidth="1" outlineLevel="1"/>
  </cols>
  <sheetData>
    <row r="2" spans="1:26" x14ac:dyDescent="0.3">
      <c r="D2" s="57" t="s">
        <v>23</v>
      </c>
    </row>
    <row r="3" spans="1:26" x14ac:dyDescent="0.3">
      <c r="D3" s="57" t="s">
        <v>237</v>
      </c>
      <c r="E3" s="17"/>
      <c r="F3" s="51"/>
      <c r="G3" s="17"/>
      <c r="H3" s="17"/>
      <c r="I3" s="17"/>
      <c r="J3" s="39"/>
      <c r="K3" s="17"/>
      <c r="L3" s="17"/>
      <c r="M3" s="17"/>
      <c r="N3" s="51"/>
      <c r="O3" s="61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3">
      <c r="D4" s="57" t="str">
        <f>CONCATENATE("Period ",RIGHT(202201,2),", ",2022)</f>
        <v>Period 01, 2022</v>
      </c>
      <c r="E4" s="17"/>
      <c r="F4" s="51"/>
      <c r="G4" s="17"/>
      <c r="H4" s="17"/>
      <c r="I4" s="17"/>
      <c r="J4" s="39"/>
      <c r="K4" s="17"/>
      <c r="L4" s="17"/>
      <c r="M4" s="17"/>
      <c r="N4" s="51"/>
      <c r="O4" s="61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3">
      <c r="A5" s="23"/>
      <c r="D5" s="64">
        <v>44408</v>
      </c>
      <c r="E5" s="17"/>
      <c r="F5" s="51"/>
      <c r="G5" s="17"/>
      <c r="H5" s="17"/>
      <c r="I5" s="17"/>
      <c r="J5" s="39"/>
      <c r="K5" s="17"/>
      <c r="L5" s="17"/>
      <c r="M5" s="17"/>
      <c r="N5" s="51"/>
      <c r="O5" s="61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3">
      <c r="A6" s="23"/>
      <c r="B6" s="47"/>
      <c r="C6" s="47"/>
      <c r="D6" s="23" t="str">
        <f>CONCATENATE("Department ","317", " - ", "Computer Store")</f>
        <v>Department 317 - Computer Store</v>
      </c>
      <c r="E6" s="17"/>
      <c r="F6" s="51"/>
      <c r="G6" s="17"/>
      <c r="H6" s="17"/>
      <c r="I6" s="17"/>
      <c r="J6" s="39"/>
      <c r="K6" s="17"/>
      <c r="L6" s="17"/>
      <c r="M6" s="17"/>
      <c r="N6" s="51"/>
      <c r="O6" s="60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3">
      <c r="B7" s="63"/>
    </row>
    <row r="8" spans="1:26" x14ac:dyDescent="0.3">
      <c r="B8" s="63"/>
    </row>
    <row r="9" spans="1:26" x14ac:dyDescent="0.3">
      <c r="B9" s="9"/>
      <c r="C9" s="9"/>
      <c r="D9" s="15" t="s">
        <v>292</v>
      </c>
      <c r="E9" s="15"/>
      <c r="F9" s="38"/>
      <c r="G9" s="15"/>
      <c r="H9" s="15"/>
      <c r="I9" s="15"/>
      <c r="J9" s="49"/>
      <c r="K9" s="15"/>
      <c r="L9" s="15"/>
      <c r="M9" s="15"/>
      <c r="N9" s="38"/>
      <c r="P9" s="15" t="s">
        <v>39</v>
      </c>
      <c r="Q9" s="15"/>
      <c r="R9" s="38"/>
      <c r="S9" s="15"/>
      <c r="T9" s="15"/>
      <c r="U9" s="15"/>
      <c r="V9" s="49"/>
      <c r="W9" s="15"/>
      <c r="X9" s="15"/>
      <c r="Y9" s="15"/>
      <c r="Z9" s="38"/>
    </row>
    <row r="10" spans="1:26" x14ac:dyDescent="0.3">
      <c r="A10" s="10"/>
      <c r="B10" s="53"/>
      <c r="C10" s="10"/>
      <c r="D10" s="42" t="s">
        <v>57</v>
      </c>
      <c r="E10" s="34"/>
      <c r="F10" s="40" t="s">
        <v>40</v>
      </c>
      <c r="G10" s="34"/>
      <c r="H10" s="45" t="s">
        <v>238</v>
      </c>
      <c r="I10" s="34"/>
      <c r="J10" s="48" t="s">
        <v>58</v>
      </c>
      <c r="K10" s="10"/>
      <c r="L10" s="42" t="s">
        <v>127</v>
      </c>
      <c r="M10" s="10"/>
      <c r="N10" s="40" t="s">
        <v>258</v>
      </c>
      <c r="O10" s="10"/>
      <c r="P10" s="56" t="s">
        <v>57</v>
      </c>
      <c r="Q10" s="34"/>
      <c r="R10" s="40" t="s">
        <v>40</v>
      </c>
      <c r="S10" s="34"/>
      <c r="T10" s="45" t="s">
        <v>238</v>
      </c>
      <c r="U10" s="34"/>
      <c r="V10" s="48" t="s">
        <v>58</v>
      </c>
      <c r="W10" s="10"/>
      <c r="X10" s="42" t="s">
        <v>127</v>
      </c>
      <c r="Y10" s="10"/>
      <c r="Z10" s="40" t="s">
        <v>258</v>
      </c>
    </row>
    <row r="11" spans="1:26" ht="15.6" x14ac:dyDescent="0.3">
      <c r="A11" s="9"/>
      <c r="B11" s="58"/>
      <c r="C11" s="9"/>
      <c r="D11" s="9"/>
      <c r="E11" s="9"/>
      <c r="F11" s="6"/>
      <c r="G11" s="9"/>
      <c r="H11" s="9"/>
      <c r="I11" s="9"/>
      <c r="J11" s="46"/>
      <c r="K11" s="9"/>
      <c r="L11" s="9"/>
      <c r="M11" s="9"/>
      <c r="N11" s="6"/>
      <c r="P11" s="9"/>
      <c r="Q11" s="9"/>
      <c r="R11" s="6"/>
      <c r="S11" s="9"/>
      <c r="T11" s="9"/>
      <c r="U11" s="9"/>
      <c r="V11" s="46"/>
      <c r="W11" s="9"/>
      <c r="X11" s="9"/>
      <c r="Y11" s="9"/>
      <c r="Z11" s="6"/>
    </row>
    <row r="12" spans="1:26" s="23" customFormat="1" collapsed="1" x14ac:dyDescent="0.3">
      <c r="A12" s="10"/>
      <c r="B12" s="25" t="s">
        <v>140</v>
      </c>
      <c r="C12" s="10"/>
      <c r="D12" s="4">
        <f>SUM(OSRRefD13x_0)</f>
        <v>95306.299999999988</v>
      </c>
      <c r="E12" s="4"/>
      <c r="F12" s="12"/>
      <c r="G12" s="4"/>
      <c r="H12" s="4">
        <f>SUM(OSRRefH13x_0)</f>
        <v>277753</v>
      </c>
      <c r="I12" s="4"/>
      <c r="J12" s="12"/>
      <c r="K12" s="4"/>
      <c r="L12" s="4">
        <f t="shared" ref="L12:L16" si="0">+D12-H12</f>
        <v>-182446.7</v>
      </c>
      <c r="M12" s="4"/>
      <c r="N12" s="12">
        <f t="shared" ref="N12:N16" si="1">IF(H12=0,0,L12/H12)</f>
        <v>-0.65686671251075601</v>
      </c>
      <c r="O12" s="10"/>
      <c r="P12" s="4">
        <f>SUM(OSRRefP13x_0)</f>
        <v>95306.299999999988</v>
      </c>
      <c r="Q12" s="4"/>
      <c r="R12" s="12"/>
      <c r="S12" s="4"/>
      <c r="T12" s="4">
        <f>SUM(OSRRefT13x_0)</f>
        <v>277753</v>
      </c>
      <c r="U12" s="4"/>
      <c r="V12" s="12"/>
      <c r="W12" s="4"/>
      <c r="X12" s="4">
        <f t="shared" ref="X12:X16" si="2">+P12-T12</f>
        <v>-182446.7</v>
      </c>
      <c r="Y12" s="4"/>
      <c r="Z12" s="12">
        <f t="shared" ref="Z12:Z16" si="3">IF(T12=0,0,X12/T12)</f>
        <v>-0.65686671251075601</v>
      </c>
    </row>
    <row r="13" spans="1:26" s="24" customFormat="1" hidden="1" outlineLevel="1" x14ac:dyDescent="0.3">
      <c r="A13" s="44"/>
      <c r="B13" s="11" t="str">
        <f>CONCATENATE("          ", "4000", " - ", "TAXABLE SALES")</f>
        <v xml:space="preserve">          4000 - TAXABLE SALES</v>
      </c>
      <c r="C13" s="11"/>
      <c r="D13" s="3">
        <f>--81956.26</f>
        <v>81956.259999999995</v>
      </c>
      <c r="E13" s="3"/>
      <c r="F13" s="19"/>
      <c r="G13" s="3"/>
      <c r="H13" s="3">
        <v>267977</v>
      </c>
      <c r="I13" s="3"/>
      <c r="J13" s="19"/>
      <c r="K13" s="3"/>
      <c r="L13" s="3">
        <f t="shared" si="0"/>
        <v>-186020.74</v>
      </c>
      <c r="M13" s="3"/>
      <c r="N13" s="19">
        <f t="shared" si="1"/>
        <v>-0.69416681282348858</v>
      </c>
      <c r="O13" s="11"/>
      <c r="P13" s="3">
        <f>--81956.26</f>
        <v>81956.259999999995</v>
      </c>
      <c r="Q13" s="3"/>
      <c r="R13" s="19"/>
      <c r="S13" s="3"/>
      <c r="T13" s="3">
        <v>267977</v>
      </c>
      <c r="U13" s="3"/>
      <c r="V13" s="19"/>
      <c r="W13" s="3"/>
      <c r="X13" s="3">
        <f t="shared" si="2"/>
        <v>-186020.74</v>
      </c>
      <c r="Y13" s="3"/>
      <c r="Z13" s="19">
        <f t="shared" si="3"/>
        <v>-0.69416681282348858</v>
      </c>
    </row>
    <row r="14" spans="1:26" s="24" customFormat="1" hidden="1" outlineLevel="1" x14ac:dyDescent="0.3">
      <c r="A14" s="44"/>
      <c r="B14" s="11" t="str">
        <f>CONCATENATE("          ", "4100", " - ", "NON-TAXABLE SALES")</f>
        <v xml:space="preserve">          4100 - NON-TAXABLE SALES</v>
      </c>
      <c r="C14" s="11"/>
      <c r="D14" s="3">
        <f>--40967.98</f>
        <v>40967.980000000003</v>
      </c>
      <c r="E14" s="3"/>
      <c r="F14" s="19"/>
      <c r="G14" s="3"/>
      <c r="H14" s="3">
        <v>9776</v>
      </c>
      <c r="I14" s="3"/>
      <c r="J14" s="19"/>
      <c r="K14" s="3"/>
      <c r="L14" s="3">
        <f t="shared" si="0"/>
        <v>31191.980000000003</v>
      </c>
      <c r="M14" s="3"/>
      <c r="N14" s="19">
        <f t="shared" si="1"/>
        <v>3.1906689852700496</v>
      </c>
      <c r="O14" s="11"/>
      <c r="P14" s="3">
        <f>--40967.98</f>
        <v>40967.980000000003</v>
      </c>
      <c r="Q14" s="3"/>
      <c r="R14" s="19"/>
      <c r="S14" s="3"/>
      <c r="T14" s="3">
        <v>9776</v>
      </c>
      <c r="U14" s="3"/>
      <c r="V14" s="19"/>
      <c r="W14" s="3"/>
      <c r="X14" s="3">
        <f t="shared" si="2"/>
        <v>31191.980000000003</v>
      </c>
      <c r="Y14" s="3"/>
      <c r="Z14" s="19">
        <f t="shared" si="3"/>
        <v>3.1906689852700496</v>
      </c>
    </row>
    <row r="15" spans="1:26" s="24" customFormat="1" hidden="1" outlineLevel="1" x14ac:dyDescent="0.3">
      <c r="A15" s="44"/>
      <c r="B15" s="11" t="str">
        <f>CONCATENATE("          ", "4200", " - ", "TAXABLE RETURNS")</f>
        <v xml:space="preserve">          4200 - TAXABLE RETURNS</v>
      </c>
      <c r="C15" s="11"/>
      <c r="D15" s="3">
        <f>-27218.94</f>
        <v>-27218.94</v>
      </c>
      <c r="E15" s="3"/>
      <c r="F15" s="19"/>
      <c r="G15" s="3"/>
      <c r="H15" s="3"/>
      <c r="I15" s="3"/>
      <c r="J15" s="19"/>
      <c r="K15" s="3"/>
      <c r="L15" s="3">
        <f t="shared" si="0"/>
        <v>-27218.94</v>
      </c>
      <c r="M15" s="3"/>
      <c r="N15" s="19">
        <f t="shared" si="1"/>
        <v>0</v>
      </c>
      <c r="O15" s="11"/>
      <c r="P15" s="3">
        <f>-27218.94</f>
        <v>-27218.94</v>
      </c>
      <c r="Q15" s="3"/>
      <c r="R15" s="19"/>
      <c r="S15" s="3"/>
      <c r="T15" s="3"/>
      <c r="U15" s="3"/>
      <c r="V15" s="19"/>
      <c r="W15" s="3"/>
      <c r="X15" s="3">
        <f t="shared" si="2"/>
        <v>-27218.94</v>
      </c>
      <c r="Y15" s="3"/>
      <c r="Z15" s="19">
        <f t="shared" si="3"/>
        <v>0</v>
      </c>
    </row>
    <row r="16" spans="1:26" s="24" customFormat="1" hidden="1" outlineLevel="1" x14ac:dyDescent="0.3">
      <c r="A16" s="44"/>
      <c r="B16" s="11" t="str">
        <f>CONCATENATE("          ", "4300", " - ", "NON-TAX RETURNS")</f>
        <v xml:space="preserve">          4300 - NON-TAX RETURNS</v>
      </c>
      <c r="C16" s="11"/>
      <c r="D16" s="3">
        <f>-399</f>
        <v>-399</v>
      </c>
      <c r="E16" s="3"/>
      <c r="F16" s="19"/>
      <c r="G16" s="3"/>
      <c r="H16" s="3"/>
      <c r="I16" s="3"/>
      <c r="J16" s="19"/>
      <c r="K16" s="3"/>
      <c r="L16" s="3">
        <f t="shared" si="0"/>
        <v>-399</v>
      </c>
      <c r="M16" s="3"/>
      <c r="N16" s="19">
        <f t="shared" si="1"/>
        <v>0</v>
      </c>
      <c r="O16" s="11"/>
      <c r="P16" s="3">
        <f>-399</f>
        <v>-399</v>
      </c>
      <c r="Q16" s="3"/>
      <c r="R16" s="19"/>
      <c r="S16" s="3"/>
      <c r="T16" s="3"/>
      <c r="U16" s="3"/>
      <c r="V16" s="19"/>
      <c r="W16" s="3"/>
      <c r="X16" s="3">
        <f t="shared" si="2"/>
        <v>-399</v>
      </c>
      <c r="Y16" s="3"/>
      <c r="Z16" s="19">
        <f t="shared" si="3"/>
        <v>0</v>
      </c>
    </row>
    <row r="17" spans="1:26" x14ac:dyDescent="0.3">
      <c r="A17" s="9"/>
      <c r="B17" s="10"/>
      <c r="C17" s="9"/>
      <c r="D17" s="2"/>
      <c r="E17" s="2"/>
      <c r="F17" s="6"/>
      <c r="G17" s="2"/>
      <c r="H17" s="2"/>
      <c r="I17" s="2"/>
      <c r="J17" s="6"/>
      <c r="K17" s="2"/>
      <c r="L17" s="2"/>
      <c r="M17" s="2"/>
      <c r="N17" s="6"/>
      <c r="P17" s="2"/>
      <c r="Q17" s="2"/>
      <c r="R17" s="6"/>
      <c r="S17" s="2"/>
      <c r="T17" s="2"/>
      <c r="U17" s="2"/>
      <c r="V17" s="6"/>
      <c r="W17" s="2"/>
      <c r="X17" s="2"/>
      <c r="Y17" s="2"/>
      <c r="Z17" s="6"/>
    </row>
    <row r="18" spans="1:26" s="23" customFormat="1" collapsed="1" x14ac:dyDescent="0.3">
      <c r="A18" s="10"/>
      <c r="B18" s="25" t="s">
        <v>257</v>
      </c>
      <c r="C18" s="10"/>
      <c r="D18" s="4">
        <f>SUM(OSRRefD16x_0)</f>
        <v>82371.47</v>
      </c>
      <c r="E18" s="4"/>
      <c r="F18" s="12">
        <f t="shared" ref="F18:F28" si="4">IF(D$12=0,0,D18/D$12)</f>
        <v>0.86428147981822834</v>
      </c>
      <c r="G18" s="4"/>
      <c r="H18" s="4">
        <f>SUM(OSRRefH16x_0)</f>
        <v>248589</v>
      </c>
      <c r="I18" s="4"/>
      <c r="J18" s="12">
        <f t="shared" ref="J18:J28" si="5">IF(H$12=0,0,H18/H$12)</f>
        <v>0.8950002340208747</v>
      </c>
      <c r="K18" s="4"/>
      <c r="L18" s="4">
        <f t="shared" ref="L18:L28" si="6">+D18-H18</f>
        <v>-166217.53</v>
      </c>
      <c r="M18" s="4"/>
      <c r="N18" s="12">
        <f t="shared" ref="N18:N28" si="7">IF(H18=0,0,L18/H18)</f>
        <v>-0.66864394643367164</v>
      </c>
      <c r="O18" s="10"/>
      <c r="P18" s="4">
        <f>SUM(OSRRefP16x_0)</f>
        <v>82371.47</v>
      </c>
      <c r="Q18" s="4"/>
      <c r="R18" s="12">
        <f t="shared" ref="R18:R28" si="8">IF(P$12=0,0,P18/P$12)</f>
        <v>0.86428147981822834</v>
      </c>
      <c r="S18" s="4"/>
      <c r="T18" s="4">
        <f>SUM(OSRRefT16x_0)</f>
        <v>248589</v>
      </c>
      <c r="U18" s="4"/>
      <c r="V18" s="12">
        <f t="shared" ref="V18:V28" si="9">IF(T$12=0,0,T18/T$12)</f>
        <v>0.8950002340208747</v>
      </c>
      <c r="W18" s="4"/>
      <c r="X18" s="4">
        <f t="shared" ref="X18:X28" si="10">+P18-T18</f>
        <v>-166217.53</v>
      </c>
      <c r="Y18" s="4"/>
      <c r="Z18" s="12">
        <f t="shared" ref="Z18:Z28" si="11">IF(T18=0,0,X18/T18)</f>
        <v>-0.66864394643367164</v>
      </c>
    </row>
    <row r="19" spans="1:26" s="24" customFormat="1" hidden="1" outlineLevel="1" x14ac:dyDescent="0.3">
      <c r="A19" s="44"/>
      <c r="B19" s="11" t="str">
        <f>CONCATENATE("          ", "5000", " - ", "PURCHASES @ COST")</f>
        <v xml:space="preserve">          5000 - PURCHASES @ COST</v>
      </c>
      <c r="C19" s="11"/>
      <c r="D19" s="3">
        <v>97362.54</v>
      </c>
      <c r="E19" s="3"/>
      <c r="F19" s="19">
        <f t="shared" si="4"/>
        <v>1.0215750690143255</v>
      </c>
      <c r="G19" s="3"/>
      <c r="H19" s="3">
        <v>248589</v>
      </c>
      <c r="I19" s="3"/>
      <c r="J19" s="19">
        <f t="shared" si="5"/>
        <v>0.8950002340208747</v>
      </c>
      <c r="K19" s="3"/>
      <c r="L19" s="3">
        <f t="shared" si="6"/>
        <v>-151226.46000000002</v>
      </c>
      <c r="M19" s="3"/>
      <c r="N19" s="19">
        <f t="shared" si="7"/>
        <v>-0.60833930704898453</v>
      </c>
      <c r="O19" s="11"/>
      <c r="P19" s="3">
        <v>97362.54</v>
      </c>
      <c r="Q19" s="3"/>
      <c r="R19" s="19">
        <f t="shared" si="8"/>
        <v>1.0215750690143255</v>
      </c>
      <c r="S19" s="3"/>
      <c r="T19" s="3">
        <v>248589</v>
      </c>
      <c r="U19" s="3"/>
      <c r="V19" s="19">
        <f t="shared" si="9"/>
        <v>0.8950002340208747</v>
      </c>
      <c r="W19" s="3"/>
      <c r="X19" s="3">
        <f t="shared" si="10"/>
        <v>-151226.46000000002</v>
      </c>
      <c r="Y19" s="3"/>
      <c r="Z19" s="19">
        <f t="shared" si="11"/>
        <v>-0.60833930704898453</v>
      </c>
    </row>
    <row r="20" spans="1:26" s="24" customFormat="1" hidden="1" outlineLevel="1" x14ac:dyDescent="0.3">
      <c r="A20" s="44"/>
      <c r="B20" s="11" t="str">
        <f>CONCATENATE("          ", "5081", " - ", "PURCHASES @ COST-ELECTRONICS")</f>
        <v xml:space="preserve">          5081 - PURCHASES @ COST-ELECTRONICS</v>
      </c>
      <c r="C20" s="11"/>
      <c r="D20" s="3">
        <v>0</v>
      </c>
      <c r="E20" s="3"/>
      <c r="F20" s="19">
        <f t="shared" si="4"/>
        <v>0</v>
      </c>
      <c r="G20" s="3"/>
      <c r="H20" s="3"/>
      <c r="I20" s="3"/>
      <c r="J20" s="19">
        <f t="shared" si="5"/>
        <v>0</v>
      </c>
      <c r="K20" s="3"/>
      <c r="L20" s="3">
        <f t="shared" si="6"/>
        <v>0</v>
      </c>
      <c r="M20" s="3"/>
      <c r="N20" s="19">
        <f t="shared" si="7"/>
        <v>0</v>
      </c>
      <c r="O20" s="11"/>
      <c r="P20" s="3">
        <v>0</v>
      </c>
      <c r="Q20" s="3"/>
      <c r="R20" s="19">
        <f t="shared" si="8"/>
        <v>0</v>
      </c>
      <c r="S20" s="3"/>
      <c r="T20" s="3"/>
      <c r="U20" s="3"/>
      <c r="V20" s="19">
        <f t="shared" si="9"/>
        <v>0</v>
      </c>
      <c r="W20" s="3"/>
      <c r="X20" s="3">
        <f t="shared" si="10"/>
        <v>0</v>
      </c>
      <c r="Y20" s="3"/>
      <c r="Z20" s="19">
        <f t="shared" si="11"/>
        <v>0</v>
      </c>
    </row>
    <row r="21" spans="1:26" s="24" customFormat="1" hidden="1" outlineLevel="1" x14ac:dyDescent="0.3">
      <c r="A21" s="44"/>
      <c r="B21" s="11" t="str">
        <f>CONCATENATE("          ", "5082", " - ", "PURCHASES @ COST-COMPUTER HARD")</f>
        <v xml:space="preserve">          5082 - PURCHASES @ COST-COMPUTER HARD</v>
      </c>
      <c r="C21" s="11"/>
      <c r="D21" s="3">
        <v>-10902.62</v>
      </c>
      <c r="E21" s="3"/>
      <c r="F21" s="19">
        <f t="shared" si="4"/>
        <v>-0.1143955856013716</v>
      </c>
      <c r="G21" s="3"/>
      <c r="H21" s="3"/>
      <c r="I21" s="3"/>
      <c r="J21" s="19">
        <f t="shared" si="5"/>
        <v>0</v>
      </c>
      <c r="K21" s="3"/>
      <c r="L21" s="3">
        <f t="shared" si="6"/>
        <v>-10902.62</v>
      </c>
      <c r="M21" s="3"/>
      <c r="N21" s="19">
        <f t="shared" si="7"/>
        <v>0</v>
      </c>
      <c r="O21" s="11"/>
      <c r="P21" s="3">
        <v>-10902.62</v>
      </c>
      <c r="Q21" s="3"/>
      <c r="R21" s="19">
        <f t="shared" si="8"/>
        <v>-0.1143955856013716</v>
      </c>
      <c r="S21" s="3"/>
      <c r="T21" s="3"/>
      <c r="U21" s="3"/>
      <c r="V21" s="19">
        <f t="shared" si="9"/>
        <v>0</v>
      </c>
      <c r="W21" s="3"/>
      <c r="X21" s="3">
        <f t="shared" si="10"/>
        <v>-10902.62</v>
      </c>
      <c r="Y21" s="3"/>
      <c r="Z21" s="19">
        <f t="shared" si="11"/>
        <v>0</v>
      </c>
    </row>
    <row r="22" spans="1:26" s="24" customFormat="1" hidden="1" outlineLevel="1" x14ac:dyDescent="0.3">
      <c r="A22" s="44"/>
      <c r="B22" s="11" t="str">
        <f>CONCATENATE("          ", "5083", " - ", "PURCHASES @ COST-COMPUTER EQUI")</f>
        <v xml:space="preserve">          5083 - PURCHASES @ COST-COMPUTER EQUI</v>
      </c>
      <c r="C22" s="11"/>
      <c r="D22" s="3">
        <v>0</v>
      </c>
      <c r="E22" s="3"/>
      <c r="F22" s="19">
        <f t="shared" si="4"/>
        <v>0</v>
      </c>
      <c r="G22" s="3"/>
      <c r="H22" s="3"/>
      <c r="I22" s="3"/>
      <c r="J22" s="19">
        <f t="shared" si="5"/>
        <v>0</v>
      </c>
      <c r="K22" s="3"/>
      <c r="L22" s="3">
        <f t="shared" si="6"/>
        <v>0</v>
      </c>
      <c r="M22" s="3"/>
      <c r="N22" s="19">
        <f t="shared" si="7"/>
        <v>0</v>
      </c>
      <c r="O22" s="11"/>
      <c r="P22" s="3">
        <v>0</v>
      </c>
      <c r="Q22" s="3"/>
      <c r="R22" s="19">
        <f t="shared" si="8"/>
        <v>0</v>
      </c>
      <c r="S22" s="3"/>
      <c r="T22" s="3"/>
      <c r="U22" s="3"/>
      <c r="V22" s="19">
        <f t="shared" si="9"/>
        <v>0</v>
      </c>
      <c r="W22" s="3"/>
      <c r="X22" s="3">
        <f t="shared" si="10"/>
        <v>0</v>
      </c>
      <c r="Y22" s="3"/>
      <c r="Z22" s="19">
        <f t="shared" si="11"/>
        <v>0</v>
      </c>
    </row>
    <row r="23" spans="1:26" s="24" customFormat="1" hidden="1" outlineLevel="1" x14ac:dyDescent="0.3">
      <c r="A23" s="44"/>
      <c r="B23" s="11" t="str">
        <f>CONCATENATE("          ", "5085", " - ", "PURCHASES @ COST-SOFTWARE")</f>
        <v xml:space="preserve">          5085 - PURCHASES @ COST-SOFTWARE</v>
      </c>
      <c r="C23" s="11"/>
      <c r="D23" s="3">
        <v>0</v>
      </c>
      <c r="E23" s="3"/>
      <c r="F23" s="19">
        <f t="shared" si="4"/>
        <v>0</v>
      </c>
      <c r="G23" s="3"/>
      <c r="H23" s="3"/>
      <c r="I23" s="3"/>
      <c r="J23" s="19">
        <f t="shared" si="5"/>
        <v>0</v>
      </c>
      <c r="K23" s="3"/>
      <c r="L23" s="3">
        <f t="shared" si="6"/>
        <v>0</v>
      </c>
      <c r="M23" s="3"/>
      <c r="N23" s="19">
        <f t="shared" si="7"/>
        <v>0</v>
      </c>
      <c r="O23" s="11"/>
      <c r="P23" s="3">
        <v>0</v>
      </c>
      <c r="Q23" s="3"/>
      <c r="R23" s="19">
        <f t="shared" si="8"/>
        <v>0</v>
      </c>
      <c r="S23" s="3"/>
      <c r="T23" s="3"/>
      <c r="U23" s="3"/>
      <c r="V23" s="19">
        <f t="shared" si="9"/>
        <v>0</v>
      </c>
      <c r="W23" s="3"/>
      <c r="X23" s="3">
        <f t="shared" si="10"/>
        <v>0</v>
      </c>
      <c r="Y23" s="3"/>
      <c r="Z23" s="19">
        <f t="shared" si="11"/>
        <v>0</v>
      </c>
    </row>
    <row r="24" spans="1:26" s="24" customFormat="1" hidden="1" outlineLevel="1" x14ac:dyDescent="0.3">
      <c r="A24" s="44"/>
      <c r="B24" s="11" t="str">
        <f>CONCATENATE("          ", "5086", " - ", "PURCHASES @ COST-COMPUTER SUPP")</f>
        <v xml:space="preserve">          5086 - PURCHASES @ COST-COMPUTER SUPP</v>
      </c>
      <c r="C24" s="11"/>
      <c r="D24" s="3">
        <v>0</v>
      </c>
      <c r="E24" s="3"/>
      <c r="F24" s="19">
        <f t="shared" si="4"/>
        <v>0</v>
      </c>
      <c r="G24" s="3"/>
      <c r="H24" s="3"/>
      <c r="I24" s="3"/>
      <c r="J24" s="19">
        <f t="shared" si="5"/>
        <v>0</v>
      </c>
      <c r="K24" s="3"/>
      <c r="L24" s="3">
        <f t="shared" si="6"/>
        <v>0</v>
      </c>
      <c r="M24" s="3"/>
      <c r="N24" s="19">
        <f t="shared" si="7"/>
        <v>0</v>
      </c>
      <c r="O24" s="11"/>
      <c r="P24" s="3">
        <v>0</v>
      </c>
      <c r="Q24" s="3"/>
      <c r="R24" s="19">
        <f t="shared" si="8"/>
        <v>0</v>
      </c>
      <c r="S24" s="3"/>
      <c r="T24" s="3"/>
      <c r="U24" s="3"/>
      <c r="V24" s="19">
        <f t="shared" si="9"/>
        <v>0</v>
      </c>
      <c r="W24" s="3"/>
      <c r="X24" s="3">
        <f t="shared" si="10"/>
        <v>0</v>
      </c>
      <c r="Y24" s="3"/>
      <c r="Z24" s="19">
        <f t="shared" si="11"/>
        <v>0</v>
      </c>
    </row>
    <row r="25" spans="1:26" s="24" customFormat="1" hidden="1" outlineLevel="1" x14ac:dyDescent="0.3">
      <c r="A25" s="44"/>
      <c r="B25" s="11" t="str">
        <f>CONCATENATE("          ", "5200", " - ", "PURCHASES OFFSET")</f>
        <v xml:space="preserve">          5200 - PURCHASES OFFSET</v>
      </c>
      <c r="C25" s="11"/>
      <c r="D25" s="3">
        <v>-97382.65</v>
      </c>
      <c r="E25" s="3"/>
      <c r="F25" s="19">
        <f t="shared" si="4"/>
        <v>-1.0217860729038899</v>
      </c>
      <c r="G25" s="3"/>
      <c r="H25" s="3"/>
      <c r="I25" s="3"/>
      <c r="J25" s="19">
        <f t="shared" si="5"/>
        <v>0</v>
      </c>
      <c r="K25" s="3"/>
      <c r="L25" s="3">
        <f t="shared" si="6"/>
        <v>-97382.65</v>
      </c>
      <c r="M25" s="3"/>
      <c r="N25" s="19">
        <f t="shared" si="7"/>
        <v>0</v>
      </c>
      <c r="O25" s="11"/>
      <c r="P25" s="3">
        <v>-97382.65</v>
      </c>
      <c r="Q25" s="3"/>
      <c r="R25" s="19">
        <f t="shared" si="8"/>
        <v>-1.0217860729038899</v>
      </c>
      <c r="S25" s="3"/>
      <c r="T25" s="3"/>
      <c r="U25" s="3"/>
      <c r="V25" s="19">
        <f t="shared" si="9"/>
        <v>0</v>
      </c>
      <c r="W25" s="3"/>
      <c r="X25" s="3">
        <f t="shared" si="10"/>
        <v>-97382.65</v>
      </c>
      <c r="Y25" s="3"/>
      <c r="Z25" s="19">
        <f t="shared" si="11"/>
        <v>0</v>
      </c>
    </row>
    <row r="26" spans="1:26" s="24" customFormat="1" hidden="1" outlineLevel="1" x14ac:dyDescent="0.3">
      <c r="A26" s="44"/>
      <c r="B26" s="11" t="str">
        <f>CONCATENATE("          ", "5300", " - ", "COG$ OFFSET")</f>
        <v xml:space="preserve">          5300 - COG$ OFFSET</v>
      </c>
      <c r="C26" s="11"/>
      <c r="D26" s="3">
        <v>93274.09</v>
      </c>
      <c r="E26" s="3"/>
      <c r="F26" s="19">
        <f t="shared" si="4"/>
        <v>0.97867706541959987</v>
      </c>
      <c r="G26" s="3"/>
      <c r="H26" s="3"/>
      <c r="I26" s="3"/>
      <c r="J26" s="19">
        <f t="shared" si="5"/>
        <v>0</v>
      </c>
      <c r="K26" s="3"/>
      <c r="L26" s="3">
        <f t="shared" si="6"/>
        <v>93274.09</v>
      </c>
      <c r="M26" s="3"/>
      <c r="N26" s="19">
        <f t="shared" si="7"/>
        <v>0</v>
      </c>
      <c r="O26" s="11"/>
      <c r="P26" s="3">
        <v>93274.09</v>
      </c>
      <c r="Q26" s="3"/>
      <c r="R26" s="19">
        <f t="shared" si="8"/>
        <v>0.97867706541959987</v>
      </c>
      <c r="S26" s="3"/>
      <c r="T26" s="3"/>
      <c r="U26" s="3"/>
      <c r="V26" s="19">
        <f t="shared" si="9"/>
        <v>0</v>
      </c>
      <c r="W26" s="3"/>
      <c r="X26" s="3">
        <f t="shared" si="10"/>
        <v>93274.09</v>
      </c>
      <c r="Y26" s="3"/>
      <c r="Z26" s="19">
        <f t="shared" si="11"/>
        <v>0</v>
      </c>
    </row>
    <row r="27" spans="1:26" s="24" customFormat="1" hidden="1" outlineLevel="1" x14ac:dyDescent="0.3">
      <c r="A27" s="44"/>
      <c r="B27" s="11" t="str">
        <f>CONCATENATE("          ", "5500", " - ", "FREIGHT-IN")</f>
        <v xml:space="preserve">          5500 - FREIGHT-IN</v>
      </c>
      <c r="C27" s="11"/>
      <c r="D27" s="3">
        <v>20.11</v>
      </c>
      <c r="E27" s="3"/>
      <c r="F27" s="19">
        <f t="shared" si="4"/>
        <v>2.1100388956448842E-4</v>
      </c>
      <c r="G27" s="3"/>
      <c r="H27" s="3"/>
      <c r="I27" s="3"/>
      <c r="J27" s="19">
        <f t="shared" si="5"/>
        <v>0</v>
      </c>
      <c r="K27" s="3"/>
      <c r="L27" s="3">
        <f t="shared" si="6"/>
        <v>20.11</v>
      </c>
      <c r="M27" s="3"/>
      <c r="N27" s="19">
        <f t="shared" si="7"/>
        <v>0</v>
      </c>
      <c r="O27" s="11"/>
      <c r="P27" s="3">
        <v>20.11</v>
      </c>
      <c r="Q27" s="3"/>
      <c r="R27" s="19">
        <f t="shared" si="8"/>
        <v>2.1100388956448842E-4</v>
      </c>
      <c r="S27" s="3"/>
      <c r="T27" s="3"/>
      <c r="U27" s="3"/>
      <c r="V27" s="19">
        <f t="shared" si="9"/>
        <v>0</v>
      </c>
      <c r="W27" s="3"/>
      <c r="X27" s="3">
        <f t="shared" si="10"/>
        <v>20.11</v>
      </c>
      <c r="Y27" s="3"/>
      <c r="Z27" s="19">
        <f t="shared" si="11"/>
        <v>0</v>
      </c>
    </row>
    <row r="28" spans="1:26" s="24" customFormat="1" hidden="1" outlineLevel="1" x14ac:dyDescent="0.3">
      <c r="A28" s="44"/>
      <c r="B28" s="11" t="str">
        <f>CONCATENATE("          ", "5583", " - ", "FREIGHT-IN-COMPUTER EQUIPMENT")</f>
        <v xml:space="preserve">          5583 - FREIGHT-IN-COMPUTER EQUIPMENT</v>
      </c>
      <c r="C28" s="11"/>
      <c r="D28" s="3">
        <v>0</v>
      </c>
      <c r="E28" s="3"/>
      <c r="F28" s="19">
        <f t="shared" si="4"/>
        <v>0</v>
      </c>
      <c r="G28" s="3"/>
      <c r="H28" s="3"/>
      <c r="I28" s="3"/>
      <c r="J28" s="19">
        <f t="shared" si="5"/>
        <v>0</v>
      </c>
      <c r="K28" s="3"/>
      <c r="L28" s="3">
        <f t="shared" si="6"/>
        <v>0</v>
      </c>
      <c r="M28" s="3"/>
      <c r="N28" s="19">
        <f t="shared" si="7"/>
        <v>0</v>
      </c>
      <c r="O28" s="11"/>
      <c r="P28" s="3">
        <v>0</v>
      </c>
      <c r="Q28" s="3"/>
      <c r="R28" s="19">
        <f t="shared" si="8"/>
        <v>0</v>
      </c>
      <c r="S28" s="3"/>
      <c r="T28" s="3"/>
      <c r="U28" s="3"/>
      <c r="V28" s="19">
        <f t="shared" si="9"/>
        <v>0</v>
      </c>
      <c r="W28" s="3"/>
      <c r="X28" s="3">
        <f t="shared" si="10"/>
        <v>0</v>
      </c>
      <c r="Y28" s="3"/>
      <c r="Z28" s="19">
        <f t="shared" si="11"/>
        <v>0</v>
      </c>
    </row>
    <row r="29" spans="1:26" x14ac:dyDescent="0.3">
      <c r="A29" s="9"/>
      <c r="B29" s="10"/>
      <c r="C29" s="10"/>
      <c r="D29" s="2"/>
      <c r="E29" s="2"/>
      <c r="F29" s="6"/>
      <c r="G29" s="2"/>
      <c r="H29" s="2"/>
      <c r="I29" s="2"/>
      <c r="J29" s="6"/>
      <c r="K29" s="2"/>
      <c r="L29" s="2"/>
      <c r="M29" s="2"/>
      <c r="N29" s="6"/>
      <c r="O29" s="10"/>
      <c r="P29" s="2"/>
      <c r="Q29" s="2"/>
      <c r="R29" s="6"/>
      <c r="S29" s="2"/>
      <c r="T29" s="2"/>
      <c r="U29" s="2"/>
      <c r="V29" s="6"/>
      <c r="W29" s="2"/>
      <c r="X29" s="2"/>
      <c r="Y29" s="2"/>
      <c r="Z29" s="6"/>
    </row>
    <row r="30" spans="1:26" s="23" customFormat="1" x14ac:dyDescent="0.3">
      <c r="A30" s="10"/>
      <c r="B30" s="26" t="s">
        <v>108</v>
      </c>
      <c r="C30" s="26"/>
      <c r="D30" s="21">
        <f>D12-D18</f>
        <v>12934.829999999987</v>
      </c>
      <c r="E30" s="13"/>
      <c r="F30" s="22">
        <f>IF(D$12=0,0,D30/D$12)</f>
        <v>0.13571852018177172</v>
      </c>
      <c r="G30" s="13"/>
      <c r="H30" s="21">
        <f>H12-H18</f>
        <v>29164</v>
      </c>
      <c r="I30" s="13"/>
      <c r="J30" s="22">
        <f>IF(H$12=0,0,H30/H$12)</f>
        <v>0.10499976597912533</v>
      </c>
      <c r="K30" s="16"/>
      <c r="L30" s="21">
        <f>+D30-H30</f>
        <v>-16229.170000000013</v>
      </c>
      <c r="M30" s="16"/>
      <c r="N30" s="22">
        <f>IF(H30=0,0,L30/H30)</f>
        <v>-0.55647956384583774</v>
      </c>
      <c r="O30" s="25"/>
      <c r="P30" s="21">
        <f>P12-P18</f>
        <v>12934.829999999987</v>
      </c>
      <c r="Q30" s="13"/>
      <c r="R30" s="22">
        <f>IF(P$12=0,0,P30/P$12)</f>
        <v>0.13571852018177172</v>
      </c>
      <c r="S30" s="13"/>
      <c r="T30" s="21">
        <f>T12-T18</f>
        <v>29164</v>
      </c>
      <c r="U30" s="13"/>
      <c r="V30" s="22">
        <f>IF(T$12=0,0,T30/T$12)</f>
        <v>0.10499976597912533</v>
      </c>
      <c r="W30" s="16"/>
      <c r="X30" s="21">
        <f>+P30-T30</f>
        <v>-16229.170000000013</v>
      </c>
      <c r="Y30" s="16"/>
      <c r="Z30" s="22">
        <f>IF(T30=0,0,X30/T30)</f>
        <v>-0.55647956384583774</v>
      </c>
    </row>
    <row r="31" spans="1:26" x14ac:dyDescent="0.3">
      <c r="A31" s="9"/>
      <c r="B31" s="10"/>
      <c r="C31" s="9"/>
      <c r="D31" s="1"/>
      <c r="E31" s="1"/>
      <c r="F31" s="5"/>
      <c r="G31" s="1"/>
      <c r="H31" s="1"/>
      <c r="I31" s="1"/>
      <c r="J31" s="5"/>
      <c r="K31" s="1"/>
      <c r="L31" s="1"/>
      <c r="M31" s="1"/>
      <c r="N31" s="5"/>
      <c r="O31" s="36"/>
      <c r="P31" s="1"/>
      <c r="Q31" s="1"/>
      <c r="R31" s="5"/>
      <c r="S31" s="1"/>
      <c r="T31" s="1"/>
      <c r="U31" s="1"/>
      <c r="V31" s="5"/>
      <c r="W31" s="1"/>
      <c r="X31" s="1"/>
      <c r="Y31" s="1"/>
      <c r="Z31" s="5"/>
    </row>
    <row r="32" spans="1:26" s="23" customFormat="1" x14ac:dyDescent="0.3">
      <c r="A32" s="10"/>
      <c r="B32" s="25" t="s">
        <v>295</v>
      </c>
      <c r="C32" s="10"/>
      <c r="D32" s="20">
        <f>SUM(OSRRefD22x_0)</f>
        <v>16884.670000000002</v>
      </c>
      <c r="E32" s="20"/>
      <c r="F32" s="32">
        <f t="shared" ref="F32:F43" si="12">IF(D$12=0,0,D32/D$12)</f>
        <v>0.17716216031888768</v>
      </c>
      <c r="G32" s="20"/>
      <c r="H32" s="20">
        <f>SUM(OSRRefH22x_0)</f>
        <v>17140.7563610875</v>
      </c>
      <c r="I32" s="20"/>
      <c r="J32" s="32">
        <f t="shared" ref="J32:J43" si="13">IF(H$12=0,0,H32/H$12)</f>
        <v>6.1712227630619655E-2</v>
      </c>
      <c r="K32" s="4"/>
      <c r="L32" s="20">
        <f t="shared" ref="L32:L43" si="14">+D32-H32</f>
        <v>-256.08636108749852</v>
      </c>
      <c r="M32" s="4"/>
      <c r="N32" s="32">
        <f t="shared" ref="N32:N43" si="15">IF(H32=0,0,L32/H32)</f>
        <v>-1.4940201919494004E-2</v>
      </c>
      <c r="O32" s="10"/>
      <c r="P32" s="20">
        <f>SUM(OSRRefP22x_0)</f>
        <v>16884.670000000002</v>
      </c>
      <c r="Q32" s="20"/>
      <c r="R32" s="32">
        <f t="shared" ref="R32:R43" si="16">IF(P$12=0,0,P32/P$12)</f>
        <v>0.17716216031888768</v>
      </c>
      <c r="S32" s="20"/>
      <c r="T32" s="20">
        <f>SUM(OSRRefT22x_0)</f>
        <v>17140.7563610875</v>
      </c>
      <c r="U32" s="20"/>
      <c r="V32" s="32">
        <f t="shared" ref="V32:V43" si="17">IF(T$12=0,0,T32/T$12)</f>
        <v>6.1712227630619655E-2</v>
      </c>
      <c r="W32" s="4"/>
      <c r="X32" s="20">
        <f t="shared" ref="X32:X43" si="18">+P32-T32</f>
        <v>-256.08636108749852</v>
      </c>
      <c r="Y32" s="4"/>
      <c r="Z32" s="32">
        <f t="shared" ref="Z32:Z43" si="19">IF(T32=0,0,X32/T32)</f>
        <v>-1.4940201919494004E-2</v>
      </c>
    </row>
    <row r="33" spans="1:26" s="27" customFormat="1" outlineLevel="1" collapsed="1" x14ac:dyDescent="0.3">
      <c r="A33" s="28"/>
      <c r="B33" s="14" t="str">
        <f>CONCATENATE("     ","*Benefits                                         ")</f>
        <v xml:space="preserve">     *Benefits                                         </v>
      </c>
      <c r="C33" s="14"/>
      <c r="D33" s="1">
        <f>SUM(OSRRefD22_0x_0)</f>
        <v>2159.6000000000004</v>
      </c>
      <c r="E33" s="1"/>
      <c r="F33" s="5">
        <f t="shared" si="12"/>
        <v>2.2659572347263512E-2</v>
      </c>
      <c r="G33" s="1"/>
      <c r="H33" s="1">
        <f>SUM(OSRRefH22_0x_0)</f>
        <v>3317.8181735875005</v>
      </c>
      <c r="I33" s="1"/>
      <c r="J33" s="5">
        <f t="shared" si="13"/>
        <v>1.1945210937730648E-2</v>
      </c>
      <c r="K33" s="1"/>
      <c r="L33" s="1">
        <f t="shared" si="14"/>
        <v>-1158.2181735875001</v>
      </c>
      <c r="M33" s="1"/>
      <c r="N33" s="5">
        <f t="shared" si="15"/>
        <v>-0.34909030965224308</v>
      </c>
      <c r="O33" s="14"/>
      <c r="P33" s="1">
        <f>SUM(OSRRefP22_0x_0)</f>
        <v>2159.6000000000004</v>
      </c>
      <c r="Q33" s="1"/>
      <c r="R33" s="5">
        <f t="shared" si="16"/>
        <v>2.2659572347263512E-2</v>
      </c>
      <c r="S33" s="1"/>
      <c r="T33" s="1">
        <f>SUM(OSRRefT22_0x_0)</f>
        <v>3317.8181735875005</v>
      </c>
      <c r="U33" s="1"/>
      <c r="V33" s="5">
        <f t="shared" si="17"/>
        <v>1.1945210937730648E-2</v>
      </c>
      <c r="W33" s="1"/>
      <c r="X33" s="1">
        <f t="shared" si="18"/>
        <v>-1158.2181735875001</v>
      </c>
      <c r="Y33" s="1"/>
      <c r="Z33" s="5">
        <f t="shared" si="19"/>
        <v>-0.34909030965224308</v>
      </c>
    </row>
    <row r="34" spans="1:26" s="24" customFormat="1" hidden="1" outlineLevel="2" x14ac:dyDescent="0.3">
      <c r="A34" s="29"/>
      <c r="B34" s="11" t="str">
        <f>CONCATENATE("          ", "6111", " - ", "F.I.C.A.")</f>
        <v xml:space="preserve">          6111 - F.I.C.A.</v>
      </c>
      <c r="C34" s="11"/>
      <c r="D34" s="8">
        <v>653.55999999999995</v>
      </c>
      <c r="E34" s="3"/>
      <c r="F34" s="7">
        <f t="shared" si="12"/>
        <v>6.8574690235587788E-3</v>
      </c>
      <c r="G34" s="3"/>
      <c r="H34" s="8">
        <v>905.07907946249998</v>
      </c>
      <c r="I34" s="3"/>
      <c r="J34" s="7">
        <f t="shared" si="13"/>
        <v>3.2585753509863078E-3</v>
      </c>
      <c r="K34" s="3"/>
      <c r="L34" s="8">
        <f t="shared" si="14"/>
        <v>-251.51907946250003</v>
      </c>
      <c r="M34" s="3"/>
      <c r="N34" s="7">
        <f t="shared" si="15"/>
        <v>-0.27789735192185622</v>
      </c>
      <c r="O34" s="11"/>
      <c r="P34" s="8">
        <v>653.55999999999995</v>
      </c>
      <c r="Q34" s="3"/>
      <c r="R34" s="7">
        <f t="shared" si="16"/>
        <v>6.8574690235587788E-3</v>
      </c>
      <c r="S34" s="3"/>
      <c r="T34" s="8">
        <v>905.07907946249998</v>
      </c>
      <c r="U34" s="3"/>
      <c r="V34" s="7">
        <f t="shared" si="17"/>
        <v>3.2585753509863078E-3</v>
      </c>
      <c r="W34" s="3"/>
      <c r="X34" s="8">
        <f t="shared" si="18"/>
        <v>-251.51907946250003</v>
      </c>
      <c r="Y34" s="3"/>
      <c r="Z34" s="7">
        <f t="shared" si="19"/>
        <v>-0.27789735192185622</v>
      </c>
    </row>
    <row r="35" spans="1:26" s="24" customFormat="1" hidden="1" outlineLevel="2" x14ac:dyDescent="0.3">
      <c r="A35" s="29"/>
      <c r="B35" s="11" t="str">
        <f>CONCATENATE("          ", "6112", " - ", "COMPENSATION INSURANCE")</f>
        <v xml:space="preserve">          6112 - COMPENSATION INSURANCE</v>
      </c>
      <c r="C35" s="11"/>
      <c r="D35" s="8">
        <v>177.36</v>
      </c>
      <c r="E35" s="3"/>
      <c r="F35" s="7">
        <f t="shared" si="12"/>
        <v>1.8609472826035638E-3</v>
      </c>
      <c r="G35" s="3"/>
      <c r="H35" s="8">
        <v>184.4927955</v>
      </c>
      <c r="I35" s="3"/>
      <c r="J35" s="7">
        <f t="shared" si="13"/>
        <v>6.6423331341155633E-4</v>
      </c>
      <c r="K35" s="3"/>
      <c r="L35" s="8">
        <f t="shared" si="14"/>
        <v>-7.1327954999999861</v>
      </c>
      <c r="M35" s="3"/>
      <c r="N35" s="7">
        <f t="shared" si="15"/>
        <v>-3.8661647901584245E-2</v>
      </c>
      <c r="O35" s="11"/>
      <c r="P35" s="8">
        <v>177.36</v>
      </c>
      <c r="Q35" s="3"/>
      <c r="R35" s="7">
        <f t="shared" si="16"/>
        <v>1.8609472826035638E-3</v>
      </c>
      <c r="S35" s="3"/>
      <c r="T35" s="8">
        <v>184.4927955</v>
      </c>
      <c r="U35" s="3"/>
      <c r="V35" s="7">
        <f t="shared" si="17"/>
        <v>6.6423331341155633E-4</v>
      </c>
      <c r="W35" s="3"/>
      <c r="X35" s="8">
        <f t="shared" si="18"/>
        <v>-7.1327954999999861</v>
      </c>
      <c r="Y35" s="3"/>
      <c r="Z35" s="7">
        <f t="shared" si="19"/>
        <v>-3.8661647901584245E-2</v>
      </c>
    </row>
    <row r="36" spans="1:26" s="24" customFormat="1" hidden="1" outlineLevel="2" x14ac:dyDescent="0.3">
      <c r="A36" s="29"/>
      <c r="B36" s="11" t="str">
        <f>CONCATENATE("          ", "6113", " - ", "GROUP INSURANCE")</f>
        <v xml:space="preserve">          6113 - GROUP INSURANCE</v>
      </c>
      <c r="C36" s="11"/>
      <c r="D36" s="8">
        <v>828.27</v>
      </c>
      <c r="E36" s="3"/>
      <c r="F36" s="7">
        <f t="shared" si="12"/>
        <v>8.6906112187756755E-3</v>
      </c>
      <c r="G36" s="3"/>
      <c r="H36" s="8">
        <v>1096.5</v>
      </c>
      <c r="I36" s="3"/>
      <c r="J36" s="7">
        <f t="shared" si="13"/>
        <v>3.9477521394908422E-3</v>
      </c>
      <c r="K36" s="3"/>
      <c r="L36" s="8">
        <f t="shared" si="14"/>
        <v>-268.23</v>
      </c>
      <c r="M36" s="3"/>
      <c r="N36" s="7">
        <f t="shared" si="15"/>
        <v>-0.24462380300957595</v>
      </c>
      <c r="O36" s="11"/>
      <c r="P36" s="8">
        <v>828.27</v>
      </c>
      <c r="Q36" s="3"/>
      <c r="R36" s="7">
        <f t="shared" si="16"/>
        <v>8.6906112187756755E-3</v>
      </c>
      <c r="S36" s="3"/>
      <c r="T36" s="8">
        <v>1096.5</v>
      </c>
      <c r="U36" s="3"/>
      <c r="V36" s="7">
        <f t="shared" si="17"/>
        <v>3.9477521394908422E-3</v>
      </c>
      <c r="W36" s="3"/>
      <c r="X36" s="8">
        <f t="shared" si="18"/>
        <v>-268.23</v>
      </c>
      <c r="Y36" s="3"/>
      <c r="Z36" s="7">
        <f t="shared" si="19"/>
        <v>-0.24462380300957595</v>
      </c>
    </row>
    <row r="37" spans="1:26" s="24" customFormat="1" hidden="1" outlineLevel="2" x14ac:dyDescent="0.3">
      <c r="A37" s="29"/>
      <c r="B37" s="11" t="str">
        <f>CONCATENATE("          ", "6114", " - ", "STATE UNEMPLOYMENT INSURANCE")</f>
        <v xml:space="preserve">          6114 - STATE UNEMPLOYMENT INSURANCE</v>
      </c>
      <c r="C37" s="11"/>
      <c r="D37" s="8">
        <v>31.16</v>
      </c>
      <c r="E37" s="3"/>
      <c r="F37" s="7">
        <f t="shared" si="12"/>
        <v>3.2694585772399099E-4</v>
      </c>
      <c r="G37" s="3"/>
      <c r="H37" s="8">
        <v>24.835568625000001</v>
      </c>
      <c r="I37" s="3"/>
      <c r="J37" s="7">
        <f t="shared" si="13"/>
        <v>8.9416022959247973E-5</v>
      </c>
      <c r="K37" s="3"/>
      <c r="L37" s="8">
        <f t="shared" si="14"/>
        <v>6.3244313749999996</v>
      </c>
      <c r="M37" s="3"/>
      <c r="N37" s="7">
        <f t="shared" si="15"/>
        <v>0.2546521672402417</v>
      </c>
      <c r="O37" s="11"/>
      <c r="P37" s="8">
        <v>31.16</v>
      </c>
      <c r="Q37" s="3"/>
      <c r="R37" s="7">
        <f t="shared" si="16"/>
        <v>3.2694585772399099E-4</v>
      </c>
      <c r="S37" s="3"/>
      <c r="T37" s="8">
        <v>24.835568625000001</v>
      </c>
      <c r="U37" s="3"/>
      <c r="V37" s="7">
        <f t="shared" si="17"/>
        <v>8.9416022959247973E-5</v>
      </c>
      <c r="W37" s="3"/>
      <c r="X37" s="8">
        <f t="shared" si="18"/>
        <v>6.3244313749999996</v>
      </c>
      <c r="Y37" s="3"/>
      <c r="Z37" s="7">
        <f t="shared" si="19"/>
        <v>0.2546521672402417</v>
      </c>
    </row>
    <row r="38" spans="1:26" s="24" customFormat="1" hidden="1" outlineLevel="2" x14ac:dyDescent="0.3">
      <c r="A38" s="29"/>
      <c r="B38" s="11" t="str">
        <f>CONCATENATE("          ", "6115", " - ", "P.E.R.S.")</f>
        <v xml:space="preserve">          6115 - P.E.R.S.</v>
      </c>
      <c r="C38" s="11"/>
      <c r="D38" s="8">
        <v>133.9</v>
      </c>
      <c r="E38" s="3"/>
      <c r="F38" s="7">
        <f t="shared" si="12"/>
        <v>1.4049438494622079E-3</v>
      </c>
      <c r="G38" s="3"/>
      <c r="H38" s="8">
        <v>252.70766750000001</v>
      </c>
      <c r="I38" s="3"/>
      <c r="J38" s="7">
        <f t="shared" si="13"/>
        <v>9.0982875972536758E-4</v>
      </c>
      <c r="K38" s="3"/>
      <c r="L38" s="8">
        <f t="shared" si="14"/>
        <v>-118.80766750000001</v>
      </c>
      <c r="M38" s="3"/>
      <c r="N38" s="7">
        <f t="shared" si="15"/>
        <v>-0.47013875231941665</v>
      </c>
      <c r="O38" s="11"/>
      <c r="P38" s="8">
        <v>133.9</v>
      </c>
      <c r="Q38" s="3"/>
      <c r="R38" s="7">
        <f t="shared" si="16"/>
        <v>1.4049438494622079E-3</v>
      </c>
      <c r="S38" s="3"/>
      <c r="T38" s="8">
        <v>252.70766750000001</v>
      </c>
      <c r="U38" s="3"/>
      <c r="V38" s="7">
        <f t="shared" si="17"/>
        <v>9.0982875972536758E-4</v>
      </c>
      <c r="W38" s="3"/>
      <c r="X38" s="8">
        <f t="shared" si="18"/>
        <v>-118.80766750000001</v>
      </c>
      <c r="Y38" s="3"/>
      <c r="Z38" s="7">
        <f t="shared" si="19"/>
        <v>-0.47013875231941665</v>
      </c>
    </row>
    <row r="39" spans="1:26" s="24" customFormat="1" hidden="1" outlineLevel="2" x14ac:dyDescent="0.3">
      <c r="A39" s="29"/>
      <c r="B39" s="11" t="str">
        <f>CONCATENATE("          ", "6116", " - ", "EDUCATIONAL BENEFITS")</f>
        <v xml:space="preserve">          6116 - EDUCATIONAL BENEFITS</v>
      </c>
      <c r="C39" s="11"/>
      <c r="D39" s="8"/>
      <c r="E39" s="3"/>
      <c r="F39" s="7">
        <f t="shared" si="12"/>
        <v>0</v>
      </c>
      <c r="G39" s="3"/>
      <c r="H39" s="8">
        <v>0</v>
      </c>
      <c r="I39" s="3"/>
      <c r="J39" s="7">
        <f t="shared" si="13"/>
        <v>0</v>
      </c>
      <c r="K39" s="3"/>
      <c r="L39" s="8">
        <f t="shared" si="14"/>
        <v>0</v>
      </c>
      <c r="M39" s="3"/>
      <c r="N39" s="7">
        <f t="shared" si="15"/>
        <v>0</v>
      </c>
      <c r="O39" s="11"/>
      <c r="P39" s="8"/>
      <c r="Q39" s="3"/>
      <c r="R39" s="7">
        <f t="shared" si="16"/>
        <v>0</v>
      </c>
      <c r="S39" s="3"/>
      <c r="T39" s="8">
        <v>0</v>
      </c>
      <c r="U39" s="3"/>
      <c r="V39" s="7">
        <f t="shared" si="17"/>
        <v>0</v>
      </c>
      <c r="W39" s="3"/>
      <c r="X39" s="8">
        <f t="shared" si="18"/>
        <v>0</v>
      </c>
      <c r="Y39" s="3"/>
      <c r="Z39" s="7">
        <f t="shared" si="19"/>
        <v>0</v>
      </c>
    </row>
    <row r="40" spans="1:26" s="24" customFormat="1" hidden="1" outlineLevel="2" x14ac:dyDescent="0.3">
      <c r="A40" s="29"/>
      <c r="B40" s="11" t="str">
        <f>CONCATENATE("          ", "6117", " - ", "RETIREMENT STAFF HOURLY")</f>
        <v xml:space="preserve">          6117 - RETIREMENT STAFF HOURLY</v>
      </c>
      <c r="C40" s="11"/>
      <c r="D40" s="8">
        <v>162.69999999999999</v>
      </c>
      <c r="E40" s="3"/>
      <c r="F40" s="7">
        <f t="shared" si="12"/>
        <v>1.7071274406833547E-3</v>
      </c>
      <c r="G40" s="3"/>
      <c r="H40" s="8"/>
      <c r="I40" s="3"/>
      <c r="J40" s="7">
        <f t="shared" si="13"/>
        <v>0</v>
      </c>
      <c r="K40" s="3"/>
      <c r="L40" s="8">
        <f t="shared" si="14"/>
        <v>162.69999999999999</v>
      </c>
      <c r="M40" s="3"/>
      <c r="N40" s="7">
        <f t="shared" si="15"/>
        <v>0</v>
      </c>
      <c r="O40" s="11"/>
      <c r="P40" s="8">
        <v>162.69999999999999</v>
      </c>
      <c r="Q40" s="3"/>
      <c r="R40" s="7">
        <f t="shared" si="16"/>
        <v>1.7071274406833547E-3</v>
      </c>
      <c r="S40" s="3"/>
      <c r="T40" s="8"/>
      <c r="U40" s="3"/>
      <c r="V40" s="7">
        <f t="shared" si="17"/>
        <v>0</v>
      </c>
      <c r="W40" s="3"/>
      <c r="X40" s="8">
        <f t="shared" si="18"/>
        <v>162.69999999999999</v>
      </c>
      <c r="Y40" s="3"/>
      <c r="Z40" s="7">
        <f t="shared" si="19"/>
        <v>0</v>
      </c>
    </row>
    <row r="41" spans="1:26" s="24" customFormat="1" hidden="1" outlineLevel="2" x14ac:dyDescent="0.3">
      <c r="A41" s="29"/>
      <c r="B41" s="11" t="str">
        <f>CONCATENATE("          ", "6118", " - ", "VACATION")</f>
        <v xml:space="preserve">          6118 - VACATION</v>
      </c>
      <c r="C41" s="11"/>
      <c r="D41" s="8">
        <v>67.760000000000005</v>
      </c>
      <c r="E41" s="3"/>
      <c r="F41" s="7">
        <f t="shared" si="12"/>
        <v>7.1097083823419875E-4</v>
      </c>
      <c r="G41" s="3"/>
      <c r="H41" s="8">
        <v>224.11383749999999</v>
      </c>
      <c r="I41" s="3"/>
      <c r="J41" s="7">
        <f t="shared" si="13"/>
        <v>8.068817888555659E-4</v>
      </c>
      <c r="K41" s="3"/>
      <c r="L41" s="8">
        <f t="shared" si="14"/>
        <v>-156.3538375</v>
      </c>
      <c r="M41" s="3"/>
      <c r="N41" s="7">
        <f t="shared" si="15"/>
        <v>-0.69765365335819574</v>
      </c>
      <c r="O41" s="11"/>
      <c r="P41" s="8">
        <v>67.760000000000005</v>
      </c>
      <c r="Q41" s="3"/>
      <c r="R41" s="7">
        <f t="shared" si="16"/>
        <v>7.1097083823419875E-4</v>
      </c>
      <c r="S41" s="3"/>
      <c r="T41" s="8">
        <v>224.11383749999999</v>
      </c>
      <c r="U41" s="3"/>
      <c r="V41" s="7">
        <f t="shared" si="17"/>
        <v>8.068817888555659E-4</v>
      </c>
      <c r="W41" s="3"/>
      <c r="X41" s="8">
        <f t="shared" si="18"/>
        <v>-156.3538375</v>
      </c>
      <c r="Y41" s="3"/>
      <c r="Z41" s="7">
        <f t="shared" si="19"/>
        <v>-0.69765365335819574</v>
      </c>
    </row>
    <row r="42" spans="1:26" s="24" customFormat="1" hidden="1" outlineLevel="2" x14ac:dyDescent="0.3">
      <c r="A42" s="29"/>
      <c r="B42" s="11" t="str">
        <f>CONCATENATE("          ", "6119", " - ", "SICK LEAVE")</f>
        <v xml:space="preserve">          6119 - SICK LEAVE</v>
      </c>
      <c r="C42" s="11"/>
      <c r="D42" s="8">
        <v>81.180000000000007</v>
      </c>
      <c r="E42" s="3"/>
      <c r="F42" s="7">
        <f t="shared" si="12"/>
        <v>8.517799977546082E-4</v>
      </c>
      <c r="G42" s="3"/>
      <c r="H42" s="8">
        <v>280.089225</v>
      </c>
      <c r="I42" s="3"/>
      <c r="J42" s="7">
        <f t="shared" si="13"/>
        <v>1.0084111602754965E-3</v>
      </c>
      <c r="K42" s="3"/>
      <c r="L42" s="8">
        <f t="shared" si="14"/>
        <v>-198.90922499999999</v>
      </c>
      <c r="M42" s="3"/>
      <c r="N42" s="7">
        <f t="shared" si="15"/>
        <v>-0.71016378798577484</v>
      </c>
      <c r="O42" s="11"/>
      <c r="P42" s="8">
        <v>81.180000000000007</v>
      </c>
      <c r="Q42" s="3"/>
      <c r="R42" s="7">
        <f t="shared" si="16"/>
        <v>8.517799977546082E-4</v>
      </c>
      <c r="S42" s="3"/>
      <c r="T42" s="8">
        <v>280.089225</v>
      </c>
      <c r="U42" s="3"/>
      <c r="V42" s="7">
        <f t="shared" si="17"/>
        <v>1.0084111602754965E-3</v>
      </c>
      <c r="W42" s="3"/>
      <c r="X42" s="8">
        <f t="shared" si="18"/>
        <v>-198.90922499999999</v>
      </c>
      <c r="Y42" s="3"/>
      <c r="Z42" s="7">
        <f t="shared" si="19"/>
        <v>-0.71016378798577484</v>
      </c>
    </row>
    <row r="43" spans="1:26" s="24" customFormat="1" hidden="1" outlineLevel="2" x14ac:dyDescent="0.3">
      <c r="A43" s="29"/>
      <c r="B43" s="11" t="str">
        <f>CONCATENATE("          ", "6156", " - ", "EMPLOYEE MEALS")</f>
        <v xml:space="preserve">          6156 - EMPLOYEE MEALS</v>
      </c>
      <c r="C43" s="11"/>
      <c r="D43" s="8">
        <v>23.71</v>
      </c>
      <c r="E43" s="3"/>
      <c r="F43" s="7">
        <f t="shared" si="12"/>
        <v>2.487768384671318E-4</v>
      </c>
      <c r="G43" s="3"/>
      <c r="H43" s="8">
        <v>350</v>
      </c>
      <c r="I43" s="3"/>
      <c r="J43" s="7">
        <f t="shared" si="13"/>
        <v>1.2601124020262607E-3</v>
      </c>
      <c r="K43" s="3"/>
      <c r="L43" s="8">
        <f t="shared" si="14"/>
        <v>-326.29000000000002</v>
      </c>
      <c r="M43" s="3"/>
      <c r="N43" s="7">
        <f t="shared" si="15"/>
        <v>-0.9322571428571429</v>
      </c>
      <c r="O43" s="11"/>
      <c r="P43" s="8">
        <v>23.71</v>
      </c>
      <c r="Q43" s="3"/>
      <c r="R43" s="7">
        <f t="shared" si="16"/>
        <v>2.487768384671318E-4</v>
      </c>
      <c r="S43" s="3"/>
      <c r="T43" s="8">
        <v>350</v>
      </c>
      <c r="U43" s="3"/>
      <c r="V43" s="7">
        <f t="shared" si="17"/>
        <v>1.2601124020262607E-3</v>
      </c>
      <c r="W43" s="3"/>
      <c r="X43" s="8">
        <f t="shared" si="18"/>
        <v>-326.29000000000002</v>
      </c>
      <c r="Y43" s="3"/>
      <c r="Z43" s="7">
        <f t="shared" si="19"/>
        <v>-0.9322571428571429</v>
      </c>
    </row>
    <row r="44" spans="1:26" s="27" customFormat="1" outlineLevel="1" collapsed="1" x14ac:dyDescent="0.3">
      <c r="A44" s="28"/>
      <c r="B44" s="14" t="str">
        <f>CONCATENATE("     ","*Payroll                                          ")</f>
        <v xml:space="preserve">     *Payroll                                          </v>
      </c>
      <c r="C44" s="14"/>
      <c r="D44" s="1">
        <f>SUM(OSRRefD22_1x_0)</f>
        <v>10510.92</v>
      </c>
      <c r="E44" s="1"/>
      <c r="F44" s="5">
        <f t="shared" ref="F44:F54" si="20">IF(D$12=0,0,D44/D$12)</f>
        <v>0.11028567891104787</v>
      </c>
      <c r="G44" s="1"/>
      <c r="H44" s="1">
        <f>SUM(OSRRefH22_1x_0)</f>
        <v>11452.9381875</v>
      </c>
      <c r="I44" s="1"/>
      <c r="J44" s="5">
        <f t="shared" ref="J44:J54" si="21">IF(H$12=0,0,H44/H$12)</f>
        <v>4.1234255570596894E-2</v>
      </c>
      <c r="K44" s="1"/>
      <c r="L44" s="1">
        <f t="shared" ref="L44:L54" si="22">+D44-H44</f>
        <v>-942.01818749999984</v>
      </c>
      <c r="M44" s="1"/>
      <c r="N44" s="5">
        <f t="shared" ref="N44:N54" si="23">IF(H44=0,0,L44/H44)</f>
        <v>-8.2251224277813714E-2</v>
      </c>
      <c r="O44" s="14"/>
      <c r="P44" s="1">
        <f>SUM(OSRRefP22_1x_0)</f>
        <v>10510.92</v>
      </c>
      <c r="Q44" s="1"/>
      <c r="R44" s="5">
        <f t="shared" ref="R44:R54" si="24">IF(P$12=0,0,P44/P$12)</f>
        <v>0.11028567891104787</v>
      </c>
      <c r="S44" s="1"/>
      <c r="T44" s="1">
        <f>SUM(OSRRefT22_1x_0)</f>
        <v>11452.9381875</v>
      </c>
      <c r="U44" s="1"/>
      <c r="V44" s="5">
        <f t="shared" ref="V44:V54" si="25">IF(T$12=0,0,T44/T$12)</f>
        <v>4.1234255570596894E-2</v>
      </c>
      <c r="W44" s="1"/>
      <c r="X44" s="1">
        <f t="shared" ref="X44:X54" si="26">+P44-T44</f>
        <v>-942.01818749999984</v>
      </c>
      <c r="Y44" s="1"/>
      <c r="Z44" s="5">
        <f t="shared" ref="Z44:Z54" si="27">IF(T44=0,0,X44/T44)</f>
        <v>-8.2251224277813714E-2</v>
      </c>
    </row>
    <row r="45" spans="1:26" s="24" customFormat="1" hidden="1" outlineLevel="2" x14ac:dyDescent="0.3">
      <c r="A45" s="29"/>
      <c r="B45" s="11" t="str">
        <f>CONCATENATE("          ", "6001", " - ", "ADMINISTRATIVE SALARIES")</f>
        <v xml:space="preserve">          6001 - ADMINISTRATIVE SALARIES</v>
      </c>
      <c r="C45" s="11"/>
      <c r="D45" s="8"/>
      <c r="E45" s="3"/>
      <c r="F45" s="7">
        <f t="shared" si="20"/>
        <v>0</v>
      </c>
      <c r="G45" s="3"/>
      <c r="H45" s="8">
        <v>0</v>
      </c>
      <c r="I45" s="3"/>
      <c r="J45" s="7">
        <f t="shared" si="21"/>
        <v>0</v>
      </c>
      <c r="K45" s="3"/>
      <c r="L45" s="8">
        <f t="shared" si="22"/>
        <v>0</v>
      </c>
      <c r="M45" s="3"/>
      <c r="N45" s="7">
        <f t="shared" si="23"/>
        <v>0</v>
      </c>
      <c r="O45" s="11"/>
      <c r="P45" s="8"/>
      <c r="Q45" s="3"/>
      <c r="R45" s="7">
        <f t="shared" si="24"/>
        <v>0</v>
      </c>
      <c r="S45" s="3"/>
      <c r="T45" s="8">
        <v>0</v>
      </c>
      <c r="U45" s="3"/>
      <c r="V45" s="7">
        <f t="shared" si="25"/>
        <v>0</v>
      </c>
      <c r="W45" s="3"/>
      <c r="X45" s="8">
        <f t="shared" si="26"/>
        <v>0</v>
      </c>
      <c r="Y45" s="3"/>
      <c r="Z45" s="7">
        <f t="shared" si="27"/>
        <v>0</v>
      </c>
    </row>
    <row r="46" spans="1:26" s="24" customFormat="1" hidden="1" outlineLevel="2" x14ac:dyDescent="0.3">
      <c r="A46" s="29"/>
      <c r="B46" s="11" t="str">
        <f>CONCATENATE("          ", "6002", " - ", "STAFF SALARIES")</f>
        <v xml:space="preserve">          6002 - STAFF SALARIES</v>
      </c>
      <c r="C46" s="11"/>
      <c r="D46" s="8">
        <v>5113.92</v>
      </c>
      <c r="E46" s="3"/>
      <c r="F46" s="7">
        <f t="shared" si="20"/>
        <v>5.365773301450167E-2</v>
      </c>
      <c r="G46" s="3"/>
      <c r="H46" s="8">
        <v>2791.5381874999998</v>
      </c>
      <c r="I46" s="3"/>
      <c r="J46" s="7">
        <f t="shared" si="21"/>
        <v>1.0050433973710454E-2</v>
      </c>
      <c r="K46" s="3"/>
      <c r="L46" s="8">
        <f t="shared" si="22"/>
        <v>2322.3818125000003</v>
      </c>
      <c r="M46" s="3"/>
      <c r="N46" s="7">
        <f t="shared" si="23"/>
        <v>0.83193625037952323</v>
      </c>
      <c r="O46" s="11"/>
      <c r="P46" s="8">
        <v>5113.92</v>
      </c>
      <c r="Q46" s="3"/>
      <c r="R46" s="7">
        <f t="shared" si="24"/>
        <v>5.365773301450167E-2</v>
      </c>
      <c r="S46" s="3"/>
      <c r="T46" s="8">
        <v>2791.5381874999998</v>
      </c>
      <c r="U46" s="3"/>
      <c r="V46" s="7">
        <f t="shared" si="25"/>
        <v>1.0050433973710454E-2</v>
      </c>
      <c r="W46" s="3"/>
      <c r="X46" s="8">
        <f t="shared" si="26"/>
        <v>2322.3818125000003</v>
      </c>
      <c r="Y46" s="3"/>
      <c r="Z46" s="7">
        <f t="shared" si="27"/>
        <v>0.83193625037952323</v>
      </c>
    </row>
    <row r="47" spans="1:26" s="24" customFormat="1" hidden="1" outlineLevel="2" x14ac:dyDescent="0.3">
      <c r="A47" s="29"/>
      <c r="B47" s="11" t="str">
        <f>CONCATENATE("          ", "6003", " - ", "STAFF HOURLY-9 MONTH")</f>
        <v xml:space="preserve">          6003 - STAFF HOURLY-9 MONTH</v>
      </c>
      <c r="C47" s="11"/>
      <c r="D47" s="8"/>
      <c r="E47" s="3"/>
      <c r="F47" s="7">
        <f t="shared" si="20"/>
        <v>0</v>
      </c>
      <c r="G47" s="3"/>
      <c r="H47" s="8">
        <v>0</v>
      </c>
      <c r="I47" s="3"/>
      <c r="J47" s="7">
        <f t="shared" si="21"/>
        <v>0</v>
      </c>
      <c r="K47" s="3"/>
      <c r="L47" s="8">
        <f t="shared" si="22"/>
        <v>0</v>
      </c>
      <c r="M47" s="3"/>
      <c r="N47" s="7">
        <f t="shared" si="23"/>
        <v>0</v>
      </c>
      <c r="O47" s="11"/>
      <c r="P47" s="8"/>
      <c r="Q47" s="3"/>
      <c r="R47" s="7">
        <f t="shared" si="24"/>
        <v>0</v>
      </c>
      <c r="S47" s="3"/>
      <c r="T47" s="8">
        <v>0</v>
      </c>
      <c r="U47" s="3"/>
      <c r="V47" s="7">
        <f t="shared" si="25"/>
        <v>0</v>
      </c>
      <c r="W47" s="3"/>
      <c r="X47" s="8">
        <f t="shared" si="26"/>
        <v>0</v>
      </c>
      <c r="Y47" s="3"/>
      <c r="Z47" s="7">
        <f t="shared" si="27"/>
        <v>0</v>
      </c>
    </row>
    <row r="48" spans="1:26" s="24" customFormat="1" hidden="1" outlineLevel="2" x14ac:dyDescent="0.3">
      <c r="A48" s="29"/>
      <c r="B48" s="11" t="str">
        <f>CONCATENATE("          ", "6004", " - ", "STAFF HOURLY")</f>
        <v xml:space="preserve">          6004 - STAFF HOURLY</v>
      </c>
      <c r="C48" s="11"/>
      <c r="D48" s="8">
        <v>610.5</v>
      </c>
      <c r="E48" s="3"/>
      <c r="F48" s="7">
        <f t="shared" si="20"/>
        <v>6.4056625847399391E-3</v>
      </c>
      <c r="G48" s="3"/>
      <c r="H48" s="8">
        <v>4305.3999999999996</v>
      </c>
      <c r="I48" s="3"/>
      <c r="J48" s="7">
        <f t="shared" si="21"/>
        <v>1.5500822673382464E-2</v>
      </c>
      <c r="K48" s="3"/>
      <c r="L48" s="8">
        <f t="shared" si="22"/>
        <v>-3694.8999999999996</v>
      </c>
      <c r="M48" s="3"/>
      <c r="N48" s="7">
        <f t="shared" si="23"/>
        <v>-0.85820132856412878</v>
      </c>
      <c r="O48" s="11"/>
      <c r="P48" s="8">
        <v>610.5</v>
      </c>
      <c r="Q48" s="3"/>
      <c r="R48" s="7">
        <f t="shared" si="24"/>
        <v>6.4056625847399391E-3</v>
      </c>
      <c r="S48" s="3"/>
      <c r="T48" s="8">
        <v>4305.3999999999996</v>
      </c>
      <c r="U48" s="3"/>
      <c r="V48" s="7">
        <f t="shared" si="25"/>
        <v>1.5500822673382464E-2</v>
      </c>
      <c r="W48" s="3"/>
      <c r="X48" s="8">
        <f t="shared" si="26"/>
        <v>-3694.8999999999996</v>
      </c>
      <c r="Y48" s="3"/>
      <c r="Z48" s="7">
        <f t="shared" si="27"/>
        <v>-0.85820132856412878</v>
      </c>
    </row>
    <row r="49" spans="1:26" s="24" customFormat="1" hidden="1" outlineLevel="2" x14ac:dyDescent="0.3">
      <c r="A49" s="29"/>
      <c r="B49" s="11" t="str">
        <f>CONCATENATE("          ", "6005", " - ", "TEMPORARY WAGES-HOURLY")</f>
        <v xml:space="preserve">          6005 - TEMPORARY WAGES-HOURLY</v>
      </c>
      <c r="C49" s="11"/>
      <c r="D49" s="8"/>
      <c r="E49" s="3"/>
      <c r="F49" s="7">
        <f t="shared" si="20"/>
        <v>0</v>
      </c>
      <c r="G49" s="3"/>
      <c r="H49" s="8">
        <v>0</v>
      </c>
      <c r="I49" s="3"/>
      <c r="J49" s="7">
        <f t="shared" si="21"/>
        <v>0</v>
      </c>
      <c r="K49" s="3"/>
      <c r="L49" s="8">
        <f t="shared" si="22"/>
        <v>0</v>
      </c>
      <c r="M49" s="3"/>
      <c r="N49" s="7">
        <f t="shared" si="23"/>
        <v>0</v>
      </c>
      <c r="O49" s="11"/>
      <c r="P49" s="8"/>
      <c r="Q49" s="3"/>
      <c r="R49" s="7">
        <f t="shared" si="24"/>
        <v>0</v>
      </c>
      <c r="S49" s="3"/>
      <c r="T49" s="8">
        <v>0</v>
      </c>
      <c r="U49" s="3"/>
      <c r="V49" s="7">
        <f t="shared" si="25"/>
        <v>0</v>
      </c>
      <c r="W49" s="3"/>
      <c r="X49" s="8">
        <f t="shared" si="26"/>
        <v>0</v>
      </c>
      <c r="Y49" s="3"/>
      <c r="Z49" s="7">
        <f t="shared" si="27"/>
        <v>0</v>
      </c>
    </row>
    <row r="50" spans="1:26" s="24" customFormat="1" hidden="1" outlineLevel="2" x14ac:dyDescent="0.3">
      <c r="A50" s="29"/>
      <c r="B50" s="11" t="str">
        <f>CONCATENATE("          ", "6006", " - ", "TEMPORARY PART TIME")</f>
        <v xml:space="preserve">          6006 - TEMPORARY PART TIME</v>
      </c>
      <c r="C50" s="11"/>
      <c r="D50" s="8"/>
      <c r="E50" s="3"/>
      <c r="F50" s="7">
        <f t="shared" si="20"/>
        <v>0</v>
      </c>
      <c r="G50" s="3"/>
      <c r="H50" s="8">
        <v>0</v>
      </c>
      <c r="I50" s="3"/>
      <c r="J50" s="7">
        <f t="shared" si="21"/>
        <v>0</v>
      </c>
      <c r="K50" s="3"/>
      <c r="L50" s="8">
        <f t="shared" si="22"/>
        <v>0</v>
      </c>
      <c r="M50" s="3"/>
      <c r="N50" s="7">
        <f t="shared" si="23"/>
        <v>0</v>
      </c>
      <c r="O50" s="11"/>
      <c r="P50" s="8"/>
      <c r="Q50" s="3"/>
      <c r="R50" s="7">
        <f t="shared" si="24"/>
        <v>0</v>
      </c>
      <c r="S50" s="3"/>
      <c r="T50" s="8">
        <v>0</v>
      </c>
      <c r="U50" s="3"/>
      <c r="V50" s="7">
        <f t="shared" si="25"/>
        <v>0</v>
      </c>
      <c r="W50" s="3"/>
      <c r="X50" s="8">
        <f t="shared" si="26"/>
        <v>0</v>
      </c>
      <c r="Y50" s="3"/>
      <c r="Z50" s="7">
        <f t="shared" si="27"/>
        <v>0</v>
      </c>
    </row>
    <row r="51" spans="1:26" s="24" customFormat="1" hidden="1" outlineLevel="2" x14ac:dyDescent="0.3">
      <c r="A51" s="29"/>
      <c r="B51" s="11" t="str">
        <f>CONCATENATE("          ", "6007", " - ", "STUDENT HOURLY")</f>
        <v xml:space="preserve">          6007 - STUDENT HOURLY</v>
      </c>
      <c r="C51" s="11"/>
      <c r="D51" s="8">
        <v>4786.5</v>
      </c>
      <c r="E51" s="3"/>
      <c r="F51" s="7">
        <f t="shared" si="20"/>
        <v>5.0222283311806254E-2</v>
      </c>
      <c r="G51" s="3"/>
      <c r="H51" s="8">
        <v>4356</v>
      </c>
      <c r="I51" s="3"/>
      <c r="J51" s="7">
        <f t="shared" si="21"/>
        <v>1.5682998923503978E-2</v>
      </c>
      <c r="K51" s="3"/>
      <c r="L51" s="8">
        <f t="shared" si="22"/>
        <v>430.5</v>
      </c>
      <c r="M51" s="3"/>
      <c r="N51" s="7">
        <f t="shared" si="23"/>
        <v>9.8829201101928374E-2</v>
      </c>
      <c r="O51" s="11"/>
      <c r="P51" s="8">
        <v>4786.5</v>
      </c>
      <c r="Q51" s="3"/>
      <c r="R51" s="7">
        <f t="shared" si="24"/>
        <v>5.0222283311806254E-2</v>
      </c>
      <c r="S51" s="3"/>
      <c r="T51" s="8">
        <v>4356</v>
      </c>
      <c r="U51" s="3"/>
      <c r="V51" s="7">
        <f t="shared" si="25"/>
        <v>1.5682998923503978E-2</v>
      </c>
      <c r="W51" s="3"/>
      <c r="X51" s="8">
        <f t="shared" si="26"/>
        <v>430.5</v>
      </c>
      <c r="Y51" s="3"/>
      <c r="Z51" s="7">
        <f t="shared" si="27"/>
        <v>9.8829201101928374E-2</v>
      </c>
    </row>
    <row r="52" spans="1:26" s="24" customFormat="1" hidden="1" outlineLevel="2" x14ac:dyDescent="0.3">
      <c r="A52" s="29"/>
      <c r="B52" s="11" t="str">
        <f>CONCATENATE("          ", "6008", " - ", "STUDENT HOURLY-FICA EXEMPT")</f>
        <v xml:space="preserve">          6008 - STUDENT HOURLY-FICA EXEMPT</v>
      </c>
      <c r="C52" s="11"/>
      <c r="D52" s="8"/>
      <c r="E52" s="3"/>
      <c r="F52" s="7">
        <f t="shared" si="20"/>
        <v>0</v>
      </c>
      <c r="G52" s="3"/>
      <c r="H52" s="8">
        <v>0</v>
      </c>
      <c r="I52" s="3"/>
      <c r="J52" s="7">
        <f t="shared" si="21"/>
        <v>0</v>
      </c>
      <c r="K52" s="3"/>
      <c r="L52" s="8">
        <f t="shared" si="22"/>
        <v>0</v>
      </c>
      <c r="M52" s="3"/>
      <c r="N52" s="7">
        <f t="shared" si="23"/>
        <v>0</v>
      </c>
      <c r="O52" s="11"/>
      <c r="P52" s="8"/>
      <c r="Q52" s="3"/>
      <c r="R52" s="7">
        <f t="shared" si="24"/>
        <v>0</v>
      </c>
      <c r="S52" s="3"/>
      <c r="T52" s="8">
        <v>0</v>
      </c>
      <c r="U52" s="3"/>
      <c r="V52" s="7">
        <f t="shared" si="25"/>
        <v>0</v>
      </c>
      <c r="W52" s="3"/>
      <c r="X52" s="8">
        <f t="shared" si="26"/>
        <v>0</v>
      </c>
      <c r="Y52" s="3"/>
      <c r="Z52" s="7">
        <f t="shared" si="27"/>
        <v>0</v>
      </c>
    </row>
    <row r="53" spans="1:26" s="24" customFormat="1" hidden="1" outlineLevel="2" x14ac:dyDescent="0.3">
      <c r="A53" s="29"/>
      <c r="B53" s="11" t="str">
        <f>CONCATENATE("          ", "6009", " - ", "TEMPORARY-SEASONAL")</f>
        <v xml:space="preserve">          6009 - TEMPORARY-SEASONAL</v>
      </c>
      <c r="C53" s="11"/>
      <c r="D53" s="8"/>
      <c r="E53" s="3"/>
      <c r="F53" s="7">
        <f t="shared" si="20"/>
        <v>0</v>
      </c>
      <c r="G53" s="3"/>
      <c r="H53" s="8">
        <v>0</v>
      </c>
      <c r="I53" s="3"/>
      <c r="J53" s="7">
        <f t="shared" si="21"/>
        <v>0</v>
      </c>
      <c r="K53" s="3"/>
      <c r="L53" s="8">
        <f t="shared" si="22"/>
        <v>0</v>
      </c>
      <c r="M53" s="3"/>
      <c r="N53" s="7">
        <f t="shared" si="23"/>
        <v>0</v>
      </c>
      <c r="O53" s="11"/>
      <c r="P53" s="8"/>
      <c r="Q53" s="3"/>
      <c r="R53" s="7">
        <f t="shared" si="24"/>
        <v>0</v>
      </c>
      <c r="S53" s="3"/>
      <c r="T53" s="8">
        <v>0</v>
      </c>
      <c r="U53" s="3"/>
      <c r="V53" s="7">
        <f t="shared" si="25"/>
        <v>0</v>
      </c>
      <c r="W53" s="3"/>
      <c r="X53" s="8">
        <f t="shared" si="26"/>
        <v>0</v>
      </c>
      <c r="Y53" s="3"/>
      <c r="Z53" s="7">
        <f t="shared" si="27"/>
        <v>0</v>
      </c>
    </row>
    <row r="54" spans="1:26" s="24" customFormat="1" hidden="1" outlineLevel="2" x14ac:dyDescent="0.3">
      <c r="A54" s="29"/>
      <c r="B54" s="11" t="str">
        <f>CONCATENATE("          ", "6010", " - ", "GRATUITY")</f>
        <v xml:space="preserve">          6010 - GRATUITY</v>
      </c>
      <c r="C54" s="11"/>
      <c r="D54" s="8"/>
      <c r="E54" s="3"/>
      <c r="F54" s="7">
        <f t="shared" si="20"/>
        <v>0</v>
      </c>
      <c r="G54" s="3"/>
      <c r="H54" s="8">
        <v>0</v>
      </c>
      <c r="I54" s="3"/>
      <c r="J54" s="7">
        <f t="shared" si="21"/>
        <v>0</v>
      </c>
      <c r="K54" s="3"/>
      <c r="L54" s="8">
        <f t="shared" si="22"/>
        <v>0</v>
      </c>
      <c r="M54" s="3"/>
      <c r="N54" s="7">
        <f t="shared" si="23"/>
        <v>0</v>
      </c>
      <c r="O54" s="11"/>
      <c r="P54" s="8"/>
      <c r="Q54" s="3"/>
      <c r="R54" s="7">
        <f t="shared" si="24"/>
        <v>0</v>
      </c>
      <c r="S54" s="3"/>
      <c r="T54" s="8">
        <v>0</v>
      </c>
      <c r="U54" s="3"/>
      <c r="V54" s="7">
        <f t="shared" si="25"/>
        <v>0</v>
      </c>
      <c r="W54" s="3"/>
      <c r="X54" s="8">
        <f t="shared" si="26"/>
        <v>0</v>
      </c>
      <c r="Y54" s="3"/>
      <c r="Z54" s="7">
        <f t="shared" si="27"/>
        <v>0</v>
      </c>
    </row>
    <row r="55" spans="1:26" s="27" customFormat="1" outlineLevel="1" collapsed="1" x14ac:dyDescent="0.3">
      <c r="A55" s="28"/>
      <c r="B55" s="14" t="str">
        <f>CONCATENATE("     ","Advertising/Promo                                 ")</f>
        <v xml:space="preserve">     Advertising/Promo                                 </v>
      </c>
      <c r="C55" s="14"/>
      <c r="D55" s="1">
        <f>SUM(OSRRefD22_2x_0)</f>
        <v>45.42</v>
      </c>
      <c r="E55" s="1"/>
      <c r="F55" s="5">
        <f t="shared" ref="F55:F69" si="28">IF(D$12=0,0,D55/D$12)</f>
        <v>4.7656870532168395E-4</v>
      </c>
      <c r="G55" s="1"/>
      <c r="H55" s="1">
        <f>SUM(OSRRefH22_2x_0)</f>
        <v>200</v>
      </c>
      <c r="I55" s="1"/>
      <c r="J55" s="5">
        <f t="shared" ref="J55:J69" si="29">IF(H$12=0,0,H55/H$12)</f>
        <v>7.2006422972929187E-4</v>
      </c>
      <c r="K55" s="1"/>
      <c r="L55" s="1">
        <f t="shared" ref="L55:L69" si="30">+D55-H55</f>
        <v>-154.57999999999998</v>
      </c>
      <c r="M55" s="1"/>
      <c r="N55" s="5">
        <f t="shared" ref="N55:N69" si="31">IF(H55=0,0,L55/H55)</f>
        <v>-0.77289999999999992</v>
      </c>
      <c r="O55" s="14"/>
      <c r="P55" s="1">
        <f>SUM(OSRRefP22_2x_0)</f>
        <v>45.42</v>
      </c>
      <c r="Q55" s="1"/>
      <c r="R55" s="5">
        <f t="shared" ref="R55:R69" si="32">IF(P$12=0,0,P55/P$12)</f>
        <v>4.7656870532168395E-4</v>
      </c>
      <c r="S55" s="1"/>
      <c r="T55" s="1">
        <f>SUM(OSRRefT22_2x_0)</f>
        <v>200</v>
      </c>
      <c r="U55" s="1"/>
      <c r="V55" s="5">
        <f t="shared" ref="V55:V69" si="33">IF(T$12=0,0,T55/T$12)</f>
        <v>7.2006422972929187E-4</v>
      </c>
      <c r="W55" s="1"/>
      <c r="X55" s="1">
        <f t="shared" ref="X55:X69" si="34">+P55-T55</f>
        <v>-154.57999999999998</v>
      </c>
      <c r="Y55" s="1"/>
      <c r="Z55" s="5">
        <f t="shared" ref="Z55:Z69" si="35">IF(T55=0,0,X55/T55)</f>
        <v>-0.77289999999999992</v>
      </c>
    </row>
    <row r="56" spans="1:26" s="24" customFormat="1" hidden="1" outlineLevel="2" x14ac:dyDescent="0.3">
      <c r="A56" s="29"/>
      <c r="B56" s="11" t="str">
        <f>CONCATENATE("          ", "6362", " - ", "ADVERTISING EXPENSE")</f>
        <v xml:space="preserve">          6362 - ADVERTISING EXPENSE</v>
      </c>
      <c r="C56" s="11"/>
      <c r="D56" s="8">
        <v>45.42</v>
      </c>
      <c r="E56" s="3"/>
      <c r="F56" s="7">
        <f t="shared" si="28"/>
        <v>4.7656870532168395E-4</v>
      </c>
      <c r="G56" s="3"/>
      <c r="H56" s="8">
        <v>200</v>
      </c>
      <c r="I56" s="3"/>
      <c r="J56" s="7">
        <f t="shared" si="29"/>
        <v>7.2006422972929187E-4</v>
      </c>
      <c r="K56" s="3"/>
      <c r="L56" s="8">
        <f t="shared" si="30"/>
        <v>-154.57999999999998</v>
      </c>
      <c r="M56" s="3"/>
      <c r="N56" s="7">
        <f t="shared" si="31"/>
        <v>-0.77289999999999992</v>
      </c>
      <c r="O56" s="11"/>
      <c r="P56" s="8">
        <v>45.42</v>
      </c>
      <c r="Q56" s="3"/>
      <c r="R56" s="7">
        <f t="shared" si="32"/>
        <v>4.7656870532168395E-4</v>
      </c>
      <c r="S56" s="3"/>
      <c r="T56" s="8">
        <v>200</v>
      </c>
      <c r="U56" s="3"/>
      <c r="V56" s="7">
        <f t="shared" si="33"/>
        <v>7.2006422972929187E-4</v>
      </c>
      <c r="W56" s="3"/>
      <c r="X56" s="8">
        <f t="shared" si="34"/>
        <v>-154.57999999999998</v>
      </c>
      <c r="Y56" s="3"/>
      <c r="Z56" s="7">
        <f t="shared" si="35"/>
        <v>-0.77289999999999992</v>
      </c>
    </row>
    <row r="57" spans="1:26" s="27" customFormat="1" outlineLevel="1" collapsed="1" x14ac:dyDescent="0.3">
      <c r="A57" s="28"/>
      <c r="B57" s="14" t="str">
        <f>CONCATENATE("     ","Depreciation                                      ")</f>
        <v xml:space="preserve">     Depreciation                                      </v>
      </c>
      <c r="C57" s="14"/>
      <c r="D57" s="1">
        <f>SUM(OSRRefD22_3x_0)</f>
        <v>280.44</v>
      </c>
      <c r="E57" s="1"/>
      <c r="F57" s="5">
        <f t="shared" si="28"/>
        <v>2.9425127195159191E-3</v>
      </c>
      <c r="G57" s="1"/>
      <c r="H57" s="1">
        <f>SUM(OSRRefH22_3x_0)</f>
        <v>0</v>
      </c>
      <c r="I57" s="1"/>
      <c r="J57" s="5">
        <f t="shared" si="29"/>
        <v>0</v>
      </c>
      <c r="K57" s="1"/>
      <c r="L57" s="1">
        <f t="shared" si="30"/>
        <v>280.44</v>
      </c>
      <c r="M57" s="1"/>
      <c r="N57" s="5">
        <f t="shared" si="31"/>
        <v>0</v>
      </c>
      <c r="O57" s="14"/>
      <c r="P57" s="1">
        <f>SUM(OSRRefP22_3x_0)</f>
        <v>280.44</v>
      </c>
      <c r="Q57" s="1"/>
      <c r="R57" s="5">
        <f t="shared" si="32"/>
        <v>2.9425127195159191E-3</v>
      </c>
      <c r="S57" s="1"/>
      <c r="T57" s="1">
        <f>SUM(OSRRefT22_3x_0)</f>
        <v>0</v>
      </c>
      <c r="U57" s="1"/>
      <c r="V57" s="5">
        <f t="shared" si="33"/>
        <v>0</v>
      </c>
      <c r="W57" s="1"/>
      <c r="X57" s="1">
        <f t="shared" si="34"/>
        <v>280.44</v>
      </c>
      <c r="Y57" s="1"/>
      <c r="Z57" s="5">
        <f t="shared" si="35"/>
        <v>0</v>
      </c>
    </row>
    <row r="58" spans="1:26" s="24" customFormat="1" hidden="1" outlineLevel="2" x14ac:dyDescent="0.3">
      <c r="A58" s="29"/>
      <c r="B58" s="11" t="str">
        <f>CONCATENATE("          ", "6322", " - ", "EQUIPMENT DEPRECIATION EXPENSE")</f>
        <v xml:space="preserve">          6322 - EQUIPMENT DEPRECIATION EXPENSE</v>
      </c>
      <c r="C58" s="11"/>
      <c r="D58" s="8">
        <v>280.44</v>
      </c>
      <c r="E58" s="3"/>
      <c r="F58" s="7">
        <f t="shared" si="28"/>
        <v>2.9425127195159191E-3</v>
      </c>
      <c r="G58" s="3"/>
      <c r="H58" s="8"/>
      <c r="I58" s="3"/>
      <c r="J58" s="7">
        <f t="shared" si="29"/>
        <v>0</v>
      </c>
      <c r="K58" s="3"/>
      <c r="L58" s="8">
        <f t="shared" si="30"/>
        <v>280.44</v>
      </c>
      <c r="M58" s="3"/>
      <c r="N58" s="7">
        <f t="shared" si="31"/>
        <v>0</v>
      </c>
      <c r="O58" s="11"/>
      <c r="P58" s="8">
        <v>280.44</v>
      </c>
      <c r="Q58" s="3"/>
      <c r="R58" s="7">
        <f t="shared" si="32"/>
        <v>2.9425127195159191E-3</v>
      </c>
      <c r="S58" s="3"/>
      <c r="T58" s="8"/>
      <c r="U58" s="3"/>
      <c r="V58" s="7">
        <f t="shared" si="33"/>
        <v>0</v>
      </c>
      <c r="W58" s="3"/>
      <c r="X58" s="8">
        <f t="shared" si="34"/>
        <v>280.44</v>
      </c>
      <c r="Y58" s="3"/>
      <c r="Z58" s="7">
        <f t="shared" si="35"/>
        <v>0</v>
      </c>
    </row>
    <row r="59" spans="1:26" s="27" customFormat="1" outlineLevel="1" collapsed="1" x14ac:dyDescent="0.3">
      <c r="A59" s="28"/>
      <c r="B59" s="14" t="str">
        <f>CONCATENATE("     ","Employees' Appreciation                           ")</f>
        <v xml:space="preserve">     Employees' Appreciation                           </v>
      </c>
      <c r="C59" s="14"/>
      <c r="D59" s="1">
        <f>SUM(OSRRefD22_4x_0)</f>
        <v>0</v>
      </c>
      <c r="E59" s="1"/>
      <c r="F59" s="5">
        <f t="shared" si="28"/>
        <v>0</v>
      </c>
      <c r="G59" s="1"/>
      <c r="H59" s="1">
        <f>SUM(OSRRefH22_4x_0)</f>
        <v>20</v>
      </c>
      <c r="I59" s="1"/>
      <c r="J59" s="5">
        <f t="shared" si="29"/>
        <v>7.2006422972929185E-5</v>
      </c>
      <c r="K59" s="1"/>
      <c r="L59" s="1">
        <f t="shared" si="30"/>
        <v>-20</v>
      </c>
      <c r="M59" s="1"/>
      <c r="N59" s="5">
        <f t="shared" si="31"/>
        <v>-1</v>
      </c>
      <c r="O59" s="14"/>
      <c r="P59" s="1">
        <f>SUM(OSRRefP22_4x_0)</f>
        <v>0</v>
      </c>
      <c r="Q59" s="1"/>
      <c r="R59" s="5">
        <f t="shared" si="32"/>
        <v>0</v>
      </c>
      <c r="S59" s="1"/>
      <c r="T59" s="1">
        <f>SUM(OSRRefT22_4x_0)</f>
        <v>20</v>
      </c>
      <c r="U59" s="1"/>
      <c r="V59" s="5">
        <f t="shared" si="33"/>
        <v>7.2006422972929185E-5</v>
      </c>
      <c r="W59" s="1"/>
      <c r="X59" s="1">
        <f t="shared" si="34"/>
        <v>-20</v>
      </c>
      <c r="Y59" s="1"/>
      <c r="Z59" s="5">
        <f t="shared" si="35"/>
        <v>-1</v>
      </c>
    </row>
    <row r="60" spans="1:26" s="24" customFormat="1" hidden="1" outlineLevel="2" x14ac:dyDescent="0.3">
      <c r="A60" s="29"/>
      <c r="B60" s="11" t="str">
        <f>CONCATENATE("          ", "6277", " - ", "EMPLOYEE APPRECIATION")</f>
        <v xml:space="preserve">          6277 - EMPLOYEE APPRECIATION</v>
      </c>
      <c r="C60" s="11"/>
      <c r="D60" s="8"/>
      <c r="E60" s="3"/>
      <c r="F60" s="7">
        <f t="shared" si="28"/>
        <v>0</v>
      </c>
      <c r="G60" s="3"/>
      <c r="H60" s="8">
        <v>20</v>
      </c>
      <c r="I60" s="3"/>
      <c r="J60" s="7">
        <f t="shared" si="29"/>
        <v>7.2006422972929185E-5</v>
      </c>
      <c r="K60" s="3"/>
      <c r="L60" s="8">
        <f t="shared" si="30"/>
        <v>-20</v>
      </c>
      <c r="M60" s="3"/>
      <c r="N60" s="7">
        <f t="shared" si="31"/>
        <v>-1</v>
      </c>
      <c r="O60" s="11"/>
      <c r="P60" s="8"/>
      <c r="Q60" s="3"/>
      <c r="R60" s="7">
        <f t="shared" si="32"/>
        <v>0</v>
      </c>
      <c r="S60" s="3"/>
      <c r="T60" s="8">
        <v>20</v>
      </c>
      <c r="U60" s="3"/>
      <c r="V60" s="7">
        <f t="shared" si="33"/>
        <v>7.2006422972929185E-5</v>
      </c>
      <c r="W60" s="3"/>
      <c r="X60" s="8">
        <f t="shared" si="34"/>
        <v>-20</v>
      </c>
      <c r="Y60" s="3"/>
      <c r="Z60" s="7">
        <f t="shared" si="35"/>
        <v>-1</v>
      </c>
    </row>
    <row r="61" spans="1:26" s="27" customFormat="1" outlineLevel="1" collapsed="1" x14ac:dyDescent="0.3">
      <c r="A61" s="28"/>
      <c r="B61" s="14" t="str">
        <f>CONCATENATE("     ","Freight out/Postage                               ")</f>
        <v xml:space="preserve">     Freight out/Postage                               </v>
      </c>
      <c r="C61" s="14"/>
      <c r="D61" s="1">
        <f>SUM(OSRRefD22_5x_0)</f>
        <v>93.19</v>
      </c>
      <c r="E61" s="1"/>
      <c r="F61" s="5">
        <f t="shared" si="28"/>
        <v>9.7779475228814902E-4</v>
      </c>
      <c r="G61" s="1"/>
      <c r="H61" s="1">
        <f>SUM(OSRRefH22_5x_0)</f>
        <v>15</v>
      </c>
      <c r="I61" s="1"/>
      <c r="J61" s="5">
        <f t="shared" si="29"/>
        <v>5.4004817229696892E-5</v>
      </c>
      <c r="K61" s="1"/>
      <c r="L61" s="1">
        <f t="shared" si="30"/>
        <v>78.19</v>
      </c>
      <c r="M61" s="1"/>
      <c r="N61" s="5">
        <f t="shared" si="31"/>
        <v>5.2126666666666663</v>
      </c>
      <c r="O61" s="14"/>
      <c r="P61" s="1">
        <f>SUM(OSRRefP22_5x_0)</f>
        <v>93.19</v>
      </c>
      <c r="Q61" s="1"/>
      <c r="R61" s="5">
        <f t="shared" si="32"/>
        <v>9.7779475228814902E-4</v>
      </c>
      <c r="S61" s="1"/>
      <c r="T61" s="1">
        <f>SUM(OSRRefT22_5x_0)</f>
        <v>15</v>
      </c>
      <c r="U61" s="1"/>
      <c r="V61" s="5">
        <f t="shared" si="33"/>
        <v>5.4004817229696892E-5</v>
      </c>
      <c r="W61" s="1"/>
      <c r="X61" s="1">
        <f t="shared" si="34"/>
        <v>78.19</v>
      </c>
      <c r="Y61" s="1"/>
      <c r="Z61" s="5">
        <f t="shared" si="35"/>
        <v>5.2126666666666663</v>
      </c>
    </row>
    <row r="62" spans="1:26" s="24" customFormat="1" hidden="1" outlineLevel="2" x14ac:dyDescent="0.3">
      <c r="A62" s="29"/>
      <c r="B62" s="11" t="str">
        <f>CONCATENATE("          ", "6305", " - ", "FREIGHT OUT")</f>
        <v xml:space="preserve">          6305 - FREIGHT OUT</v>
      </c>
      <c r="C62" s="11"/>
      <c r="D62" s="8">
        <v>93.19</v>
      </c>
      <c r="E62" s="3"/>
      <c r="F62" s="7">
        <f t="shared" si="28"/>
        <v>9.7779475228814902E-4</v>
      </c>
      <c r="G62" s="3"/>
      <c r="H62" s="8">
        <v>15</v>
      </c>
      <c r="I62" s="3"/>
      <c r="J62" s="7">
        <f t="shared" si="29"/>
        <v>5.4004817229696892E-5</v>
      </c>
      <c r="K62" s="3"/>
      <c r="L62" s="8">
        <f t="shared" si="30"/>
        <v>78.19</v>
      </c>
      <c r="M62" s="3"/>
      <c r="N62" s="7">
        <f t="shared" si="31"/>
        <v>5.2126666666666663</v>
      </c>
      <c r="O62" s="11"/>
      <c r="P62" s="8">
        <v>93.19</v>
      </c>
      <c r="Q62" s="3"/>
      <c r="R62" s="7">
        <f t="shared" si="32"/>
        <v>9.7779475228814902E-4</v>
      </c>
      <c r="S62" s="3"/>
      <c r="T62" s="8">
        <v>15</v>
      </c>
      <c r="U62" s="3"/>
      <c r="V62" s="7">
        <f t="shared" si="33"/>
        <v>5.4004817229696892E-5</v>
      </c>
      <c r="W62" s="3"/>
      <c r="X62" s="8">
        <f t="shared" si="34"/>
        <v>78.19</v>
      </c>
      <c r="Y62" s="3"/>
      <c r="Z62" s="7">
        <f t="shared" si="35"/>
        <v>5.2126666666666663</v>
      </c>
    </row>
    <row r="63" spans="1:26" s="27" customFormat="1" outlineLevel="1" collapsed="1" x14ac:dyDescent="0.3">
      <c r="A63" s="28"/>
      <c r="B63" s="14" t="str">
        <f>CONCATENATE("     ","General                                           ")</f>
        <v xml:space="preserve">     General                                           </v>
      </c>
      <c r="C63" s="14"/>
      <c r="D63" s="1">
        <f>SUM(OSRRefD22_6x_0)</f>
        <v>0</v>
      </c>
      <c r="E63" s="1"/>
      <c r="F63" s="5">
        <f t="shared" si="28"/>
        <v>0</v>
      </c>
      <c r="G63" s="1"/>
      <c r="H63" s="1">
        <f>SUM(OSRRefH22_6x_0)</f>
        <v>30</v>
      </c>
      <c r="I63" s="1"/>
      <c r="J63" s="5">
        <f t="shared" si="29"/>
        <v>1.0800963445939378E-4</v>
      </c>
      <c r="K63" s="1"/>
      <c r="L63" s="1">
        <f t="shared" si="30"/>
        <v>-30</v>
      </c>
      <c r="M63" s="1"/>
      <c r="N63" s="5">
        <f t="shared" si="31"/>
        <v>-1</v>
      </c>
      <c r="O63" s="14"/>
      <c r="P63" s="1">
        <f>SUM(OSRRefP22_6x_0)</f>
        <v>0</v>
      </c>
      <c r="Q63" s="1"/>
      <c r="R63" s="5">
        <f t="shared" si="32"/>
        <v>0</v>
      </c>
      <c r="S63" s="1"/>
      <c r="T63" s="1">
        <f>SUM(OSRRefT22_6x_0)</f>
        <v>30</v>
      </c>
      <c r="U63" s="1"/>
      <c r="V63" s="5">
        <f t="shared" si="33"/>
        <v>1.0800963445939378E-4</v>
      </c>
      <c r="W63" s="1"/>
      <c r="X63" s="1">
        <f t="shared" si="34"/>
        <v>-30</v>
      </c>
      <c r="Y63" s="1"/>
      <c r="Z63" s="5">
        <f t="shared" si="35"/>
        <v>-1</v>
      </c>
    </row>
    <row r="64" spans="1:26" s="24" customFormat="1" hidden="1" outlineLevel="2" x14ac:dyDescent="0.3">
      <c r="A64" s="29"/>
      <c r="B64" s="11" t="str">
        <f>CONCATENATE("          ", "6279", " - ", "GENERAL EXPENSE")</f>
        <v xml:space="preserve">          6279 - GENERAL EXPENSE</v>
      </c>
      <c r="C64" s="11"/>
      <c r="D64" s="8"/>
      <c r="E64" s="3"/>
      <c r="F64" s="7">
        <f t="shared" si="28"/>
        <v>0</v>
      </c>
      <c r="G64" s="3"/>
      <c r="H64" s="8">
        <v>30</v>
      </c>
      <c r="I64" s="3"/>
      <c r="J64" s="7">
        <f t="shared" si="29"/>
        <v>1.0800963445939378E-4</v>
      </c>
      <c r="K64" s="3"/>
      <c r="L64" s="8">
        <f t="shared" si="30"/>
        <v>-30</v>
      </c>
      <c r="M64" s="3"/>
      <c r="N64" s="7">
        <f t="shared" si="31"/>
        <v>-1</v>
      </c>
      <c r="O64" s="11"/>
      <c r="P64" s="8"/>
      <c r="Q64" s="3"/>
      <c r="R64" s="7">
        <f t="shared" si="32"/>
        <v>0</v>
      </c>
      <c r="S64" s="3"/>
      <c r="T64" s="8">
        <v>30</v>
      </c>
      <c r="U64" s="3"/>
      <c r="V64" s="7">
        <f t="shared" si="33"/>
        <v>1.0800963445939378E-4</v>
      </c>
      <c r="W64" s="3"/>
      <c r="X64" s="8">
        <f t="shared" si="34"/>
        <v>-30</v>
      </c>
      <c r="Y64" s="3"/>
      <c r="Z64" s="7">
        <f t="shared" si="35"/>
        <v>-1</v>
      </c>
    </row>
    <row r="65" spans="1:26" s="27" customFormat="1" outlineLevel="1" collapsed="1" x14ac:dyDescent="0.3">
      <c r="A65" s="28"/>
      <c r="B65" s="14" t="str">
        <f>CONCATENATE("     ","Inventory Adjustment                              ")</f>
        <v xml:space="preserve">     Inventory Adjustment                              </v>
      </c>
      <c r="C65" s="14"/>
      <c r="D65" s="1">
        <f>SUM(OSRRefD22_7x_0)</f>
        <v>1470</v>
      </c>
      <c r="E65" s="1"/>
      <c r="F65" s="5">
        <f t="shared" si="28"/>
        <v>1.5423954135246045E-2</v>
      </c>
      <c r="G65" s="1"/>
      <c r="H65" s="1">
        <f>SUM(OSRRefH22_7x_0)</f>
        <v>1470</v>
      </c>
      <c r="I65" s="1"/>
      <c r="J65" s="5">
        <f t="shared" si="29"/>
        <v>5.2924720885102949E-3</v>
      </c>
      <c r="K65" s="1"/>
      <c r="L65" s="1">
        <f t="shared" si="30"/>
        <v>0</v>
      </c>
      <c r="M65" s="1"/>
      <c r="N65" s="5">
        <f t="shared" si="31"/>
        <v>0</v>
      </c>
      <c r="O65" s="14"/>
      <c r="P65" s="1">
        <f>SUM(OSRRefP22_7x_0)</f>
        <v>1470</v>
      </c>
      <c r="Q65" s="1"/>
      <c r="R65" s="5">
        <f t="shared" si="32"/>
        <v>1.5423954135246045E-2</v>
      </c>
      <c r="S65" s="1"/>
      <c r="T65" s="1">
        <f>SUM(OSRRefT22_7x_0)</f>
        <v>1470</v>
      </c>
      <c r="U65" s="1"/>
      <c r="V65" s="5">
        <f t="shared" si="33"/>
        <v>5.2924720885102949E-3</v>
      </c>
      <c r="W65" s="1"/>
      <c r="X65" s="1">
        <f t="shared" si="34"/>
        <v>0</v>
      </c>
      <c r="Y65" s="1"/>
      <c r="Z65" s="5">
        <f t="shared" si="35"/>
        <v>0</v>
      </c>
    </row>
    <row r="66" spans="1:26" s="24" customFormat="1" hidden="1" outlineLevel="2" x14ac:dyDescent="0.3">
      <c r="A66" s="29"/>
      <c r="B66" s="11" t="str">
        <f>CONCATENATE("          ", "6408", " - ", "INVENTORY ADJUSTMENT")</f>
        <v xml:space="preserve">          6408 - INVENTORY ADJUSTMENT</v>
      </c>
      <c r="C66" s="11"/>
      <c r="D66" s="8">
        <v>1470</v>
      </c>
      <c r="E66" s="3"/>
      <c r="F66" s="7">
        <f t="shared" si="28"/>
        <v>1.5423954135246045E-2</v>
      </c>
      <c r="G66" s="3"/>
      <c r="H66" s="8">
        <v>1470</v>
      </c>
      <c r="I66" s="3"/>
      <c r="J66" s="7">
        <f t="shared" si="29"/>
        <v>5.2924720885102949E-3</v>
      </c>
      <c r="K66" s="3"/>
      <c r="L66" s="8">
        <f t="shared" si="30"/>
        <v>0</v>
      </c>
      <c r="M66" s="3"/>
      <c r="N66" s="7">
        <f t="shared" si="31"/>
        <v>0</v>
      </c>
      <c r="O66" s="11"/>
      <c r="P66" s="8">
        <v>1470</v>
      </c>
      <c r="Q66" s="3"/>
      <c r="R66" s="7">
        <f t="shared" si="32"/>
        <v>1.5423954135246045E-2</v>
      </c>
      <c r="S66" s="3"/>
      <c r="T66" s="8">
        <v>1470</v>
      </c>
      <c r="U66" s="3"/>
      <c r="V66" s="7">
        <f t="shared" si="33"/>
        <v>5.2924720885102949E-3</v>
      </c>
      <c r="W66" s="3"/>
      <c r="X66" s="8">
        <f t="shared" si="34"/>
        <v>0</v>
      </c>
      <c r="Y66" s="3"/>
      <c r="Z66" s="7">
        <f t="shared" si="35"/>
        <v>0</v>
      </c>
    </row>
    <row r="67" spans="1:26" s="27" customFormat="1" outlineLevel="1" collapsed="1" x14ac:dyDescent="0.3">
      <c r="A67" s="28"/>
      <c r="B67" s="14" t="str">
        <f>CONCATENATE("     ","Supplies                                          ")</f>
        <v xml:space="preserve">     Supplies                                          </v>
      </c>
      <c r="C67" s="14"/>
      <c r="D67" s="1">
        <f>SUM(OSRRefD22_8x_0)</f>
        <v>2041.8</v>
      </c>
      <c r="E67" s="1"/>
      <c r="F67" s="5">
        <f t="shared" si="28"/>
        <v>2.1423557519282568E-2</v>
      </c>
      <c r="G67" s="1"/>
      <c r="H67" s="1">
        <f>SUM(OSRRefH22_8x_0)</f>
        <v>310</v>
      </c>
      <c r="I67" s="1"/>
      <c r="J67" s="5">
        <f t="shared" si="29"/>
        <v>1.1160995560804024E-3</v>
      </c>
      <c r="K67" s="1"/>
      <c r="L67" s="1">
        <f t="shared" si="30"/>
        <v>1731.8</v>
      </c>
      <c r="M67" s="1"/>
      <c r="N67" s="5">
        <f t="shared" si="31"/>
        <v>5.5864516129032253</v>
      </c>
      <c r="O67" s="14"/>
      <c r="P67" s="1">
        <f>SUM(OSRRefP22_8x_0)</f>
        <v>2041.8</v>
      </c>
      <c r="Q67" s="1"/>
      <c r="R67" s="5">
        <f t="shared" si="32"/>
        <v>2.1423557519282568E-2</v>
      </c>
      <c r="S67" s="1"/>
      <c r="T67" s="1">
        <f>SUM(OSRRefT22_8x_0)</f>
        <v>310</v>
      </c>
      <c r="U67" s="1"/>
      <c r="V67" s="5">
        <f t="shared" si="33"/>
        <v>1.1160995560804024E-3</v>
      </c>
      <c r="W67" s="1"/>
      <c r="X67" s="1">
        <f t="shared" si="34"/>
        <v>1731.8</v>
      </c>
      <c r="Y67" s="1"/>
      <c r="Z67" s="5">
        <f t="shared" si="35"/>
        <v>5.5864516129032253</v>
      </c>
    </row>
    <row r="68" spans="1:26" s="24" customFormat="1" hidden="1" outlineLevel="2" x14ac:dyDescent="0.3">
      <c r="A68" s="29"/>
      <c r="B68" s="11" t="str">
        <f>CONCATENATE("          ", "6241", " - ", "OFFICE EXPENSE")</f>
        <v xml:space="preserve">          6241 - OFFICE EXPENSE</v>
      </c>
      <c r="C68" s="11"/>
      <c r="D68" s="8">
        <v>8.8000000000000007</v>
      </c>
      <c r="E68" s="3"/>
      <c r="F68" s="7">
        <f t="shared" si="28"/>
        <v>9.2333875095350484E-5</v>
      </c>
      <c r="G68" s="3"/>
      <c r="H68" s="8">
        <v>110</v>
      </c>
      <c r="I68" s="3"/>
      <c r="J68" s="7">
        <f t="shared" si="29"/>
        <v>3.9603532635111051E-4</v>
      </c>
      <c r="K68" s="3"/>
      <c r="L68" s="8">
        <f t="shared" si="30"/>
        <v>-101.2</v>
      </c>
      <c r="M68" s="3"/>
      <c r="N68" s="7">
        <f t="shared" si="31"/>
        <v>-0.92</v>
      </c>
      <c r="O68" s="11"/>
      <c r="P68" s="8">
        <v>8.8000000000000007</v>
      </c>
      <c r="Q68" s="3"/>
      <c r="R68" s="7">
        <f t="shared" si="32"/>
        <v>9.2333875095350484E-5</v>
      </c>
      <c r="S68" s="3"/>
      <c r="T68" s="8">
        <v>110</v>
      </c>
      <c r="U68" s="3"/>
      <c r="V68" s="7">
        <f t="shared" si="33"/>
        <v>3.9603532635111051E-4</v>
      </c>
      <c r="W68" s="3"/>
      <c r="X68" s="8">
        <f t="shared" si="34"/>
        <v>-101.2</v>
      </c>
      <c r="Y68" s="3"/>
      <c r="Z68" s="7">
        <f t="shared" si="35"/>
        <v>-0.92</v>
      </c>
    </row>
    <row r="69" spans="1:26" s="24" customFormat="1" hidden="1" outlineLevel="2" x14ac:dyDescent="0.3">
      <c r="A69" s="29"/>
      <c r="B69" s="11" t="str">
        <f>CONCATENATE("          ", "6247", " - ", "STORE SUPPLIES")</f>
        <v xml:space="preserve">          6247 - STORE SUPPLIES</v>
      </c>
      <c r="C69" s="11"/>
      <c r="D69" s="8">
        <v>2033</v>
      </c>
      <c r="E69" s="3"/>
      <c r="F69" s="7">
        <f t="shared" si="28"/>
        <v>2.1331223644187217E-2</v>
      </c>
      <c r="G69" s="3"/>
      <c r="H69" s="8">
        <v>200</v>
      </c>
      <c r="I69" s="3"/>
      <c r="J69" s="7">
        <f t="shared" si="29"/>
        <v>7.2006422972929187E-4</v>
      </c>
      <c r="K69" s="3"/>
      <c r="L69" s="8">
        <f t="shared" si="30"/>
        <v>1833</v>
      </c>
      <c r="M69" s="3"/>
      <c r="N69" s="7">
        <f t="shared" si="31"/>
        <v>9.1649999999999991</v>
      </c>
      <c r="O69" s="11"/>
      <c r="P69" s="8">
        <v>2033</v>
      </c>
      <c r="Q69" s="3"/>
      <c r="R69" s="7">
        <f t="shared" si="32"/>
        <v>2.1331223644187217E-2</v>
      </c>
      <c r="S69" s="3"/>
      <c r="T69" s="8">
        <v>200</v>
      </c>
      <c r="U69" s="3"/>
      <c r="V69" s="7">
        <f t="shared" si="33"/>
        <v>7.2006422972929187E-4</v>
      </c>
      <c r="W69" s="3"/>
      <c r="X69" s="8">
        <f t="shared" si="34"/>
        <v>1833</v>
      </c>
      <c r="Y69" s="3"/>
      <c r="Z69" s="7">
        <f t="shared" si="35"/>
        <v>9.1649999999999991</v>
      </c>
    </row>
    <row r="70" spans="1:26" s="27" customFormat="1" outlineLevel="1" collapsed="1" x14ac:dyDescent="0.3">
      <c r="A70" s="28"/>
      <c r="B70" s="14" t="str">
        <f>CONCATENATE("     ","Telephone/Data Lines                              ")</f>
        <v xml:space="preserve">     Telephone/Data Lines                              </v>
      </c>
      <c r="C70" s="14"/>
      <c r="D70" s="1">
        <f>SUM(OSRRefD22_9x_0)</f>
        <v>283.3</v>
      </c>
      <c r="E70" s="1"/>
      <c r="F70" s="5">
        <f t="shared" ref="F70:F71" si="36">IF(D$12=0,0,D70/D$12)</f>
        <v>2.972521228921908E-3</v>
      </c>
      <c r="G70" s="1"/>
      <c r="H70" s="1">
        <f>SUM(OSRRefH22_9x_0)</f>
        <v>325</v>
      </c>
      <c r="I70" s="1"/>
      <c r="J70" s="5">
        <f t="shared" ref="J70:J71" si="37">IF(H$12=0,0,H70/H$12)</f>
        <v>1.1701043733100993E-3</v>
      </c>
      <c r="K70" s="1"/>
      <c r="L70" s="1">
        <f t="shared" ref="L70:L71" si="38">+D70-H70</f>
        <v>-41.699999999999989</v>
      </c>
      <c r="M70" s="1"/>
      <c r="N70" s="5">
        <f t="shared" ref="N70:N71" si="39">IF(H70=0,0,L70/H70)</f>
        <v>-0.12830769230769226</v>
      </c>
      <c r="O70" s="14"/>
      <c r="P70" s="1">
        <f>SUM(OSRRefP22_9x_0)</f>
        <v>283.3</v>
      </c>
      <c r="Q70" s="1"/>
      <c r="R70" s="5">
        <f t="shared" ref="R70:R71" si="40">IF(P$12=0,0,P70/P$12)</f>
        <v>2.972521228921908E-3</v>
      </c>
      <c r="S70" s="1"/>
      <c r="T70" s="1">
        <f>SUM(OSRRefT22_9x_0)</f>
        <v>325</v>
      </c>
      <c r="U70" s="1"/>
      <c r="V70" s="5">
        <f t="shared" ref="V70:V71" si="41">IF(T$12=0,0,T70/T$12)</f>
        <v>1.1701043733100993E-3</v>
      </c>
      <c r="W70" s="1"/>
      <c r="X70" s="1">
        <f t="shared" ref="X70:X71" si="42">+P70-T70</f>
        <v>-41.699999999999989</v>
      </c>
      <c r="Y70" s="1"/>
      <c r="Z70" s="5">
        <f t="shared" ref="Z70:Z71" si="43">IF(T70=0,0,X70/T70)</f>
        <v>-0.12830769230769226</v>
      </c>
    </row>
    <row r="71" spans="1:26" s="24" customFormat="1" hidden="1" outlineLevel="2" x14ac:dyDescent="0.3">
      <c r="A71" s="29"/>
      <c r="B71" s="11" t="str">
        <f>CONCATENATE("          ", "6309", " - ", "TELEPHONE")</f>
        <v xml:space="preserve">          6309 - TELEPHONE</v>
      </c>
      <c r="C71" s="11"/>
      <c r="D71" s="8">
        <v>283.3</v>
      </c>
      <c r="E71" s="3"/>
      <c r="F71" s="7">
        <f t="shared" si="36"/>
        <v>2.972521228921908E-3</v>
      </c>
      <c r="G71" s="3"/>
      <c r="H71" s="8">
        <v>325</v>
      </c>
      <c r="I71" s="3"/>
      <c r="J71" s="7">
        <f t="shared" si="37"/>
        <v>1.1701043733100993E-3</v>
      </c>
      <c r="K71" s="3"/>
      <c r="L71" s="8">
        <f t="shared" si="38"/>
        <v>-41.699999999999989</v>
      </c>
      <c r="M71" s="3"/>
      <c r="N71" s="7">
        <f t="shared" si="39"/>
        <v>-0.12830769230769226</v>
      </c>
      <c r="O71" s="11"/>
      <c r="P71" s="8">
        <v>283.3</v>
      </c>
      <c r="Q71" s="3"/>
      <c r="R71" s="7">
        <f t="shared" si="40"/>
        <v>2.972521228921908E-3</v>
      </c>
      <c r="S71" s="3"/>
      <c r="T71" s="8">
        <v>325</v>
      </c>
      <c r="U71" s="3"/>
      <c r="V71" s="7">
        <f t="shared" si="41"/>
        <v>1.1701043733100993E-3</v>
      </c>
      <c r="W71" s="3"/>
      <c r="X71" s="8">
        <f t="shared" si="42"/>
        <v>-41.699999999999989</v>
      </c>
      <c r="Y71" s="3"/>
      <c r="Z71" s="7">
        <f t="shared" si="43"/>
        <v>-0.12830769230769226</v>
      </c>
    </row>
    <row r="72" spans="1:26" s="62" customFormat="1" x14ac:dyDescent="0.3">
      <c r="A72" s="36"/>
      <c r="B72" s="36"/>
      <c r="C72" s="36"/>
      <c r="D72" s="1"/>
      <c r="E72" s="1"/>
      <c r="F72" s="5"/>
      <c r="G72" s="1"/>
      <c r="H72" s="1"/>
      <c r="I72" s="1"/>
      <c r="J72" s="5"/>
      <c r="K72" s="1"/>
      <c r="L72" s="1"/>
      <c r="M72" s="1"/>
      <c r="N72" s="5"/>
      <c r="O72" s="36"/>
      <c r="P72" s="1"/>
      <c r="Q72" s="1"/>
      <c r="R72" s="5"/>
      <c r="S72" s="1"/>
      <c r="T72" s="1"/>
      <c r="U72" s="1"/>
      <c r="V72" s="5"/>
      <c r="W72" s="1"/>
      <c r="X72" s="1"/>
      <c r="Y72" s="1"/>
      <c r="Z72" s="5"/>
    </row>
    <row r="73" spans="1:26" s="23" customFormat="1" collapsed="1" x14ac:dyDescent="0.3">
      <c r="A73" s="10"/>
      <c r="B73" s="25" t="s">
        <v>293</v>
      </c>
      <c r="C73" s="10"/>
      <c r="D73" s="4">
        <f>SUM(OSRRefD25x_0)</f>
        <v>193.38</v>
      </c>
      <c r="E73" s="4"/>
      <c r="F73" s="12">
        <f t="shared" ref="F73:F76" si="44">IF(D$12=0,0,D73/D$12)</f>
        <v>2.0290369052203268E-3</v>
      </c>
      <c r="G73" s="4"/>
      <c r="H73" s="4">
        <f>SUM(OSRRefH25x_0)</f>
        <v>2651</v>
      </c>
      <c r="I73" s="4"/>
      <c r="J73" s="12">
        <f t="shared" ref="J73:J76" si="45">IF(H$12=0,0,H73/H$12)</f>
        <v>9.5444513650617627E-3</v>
      </c>
      <c r="K73" s="4"/>
      <c r="L73" s="4">
        <f t="shared" ref="L73:L76" si="46">+D73-H73</f>
        <v>-2457.62</v>
      </c>
      <c r="M73" s="4"/>
      <c r="N73" s="12">
        <f t="shared" ref="N73:N76" si="47">IF(H73=0,0,L73/H73)</f>
        <v>-0.9270539419087136</v>
      </c>
      <c r="O73" s="10"/>
      <c r="P73" s="4">
        <f>SUM(OSRRefP25x_0)</f>
        <v>193.38</v>
      </c>
      <c r="Q73" s="4"/>
      <c r="R73" s="12">
        <f t="shared" ref="R73:R76" si="48">IF(P$12=0,0,P73/P$12)</f>
        <v>2.0290369052203268E-3</v>
      </c>
      <c r="S73" s="4"/>
      <c r="T73" s="4">
        <f>SUM(OSRRefT25x_0)</f>
        <v>2651</v>
      </c>
      <c r="U73" s="4"/>
      <c r="V73" s="12">
        <f t="shared" ref="V73:V76" si="49">IF(T$12=0,0,T73/T$12)</f>
        <v>9.5444513650617627E-3</v>
      </c>
      <c r="W73" s="4"/>
      <c r="X73" s="4">
        <f t="shared" ref="X73:X76" si="50">+P73-T73</f>
        <v>-2457.62</v>
      </c>
      <c r="Y73" s="4"/>
      <c r="Z73" s="12">
        <f t="shared" ref="Z73:Z76" si="51">IF(T73=0,0,X73/T73)</f>
        <v>-0.9270539419087136</v>
      </c>
    </row>
    <row r="74" spans="1:26" s="24" customFormat="1" hidden="1" outlineLevel="1" x14ac:dyDescent="0.3">
      <c r="A74" s="44"/>
      <c r="B74" s="11" t="str">
        <f>CONCATENATE("          ", "4187", " - ", "NON-TAXABLE SALES-COMPUTER REP")</f>
        <v xml:space="preserve">          4187 - NON-TAXABLE SALES-COMPUTER REP</v>
      </c>
      <c r="C74" s="11"/>
      <c r="D74" s="3">
        <f>0</f>
        <v>0</v>
      </c>
      <c r="E74" s="3"/>
      <c r="F74" s="19">
        <f t="shared" si="44"/>
        <v>0</v>
      </c>
      <c r="G74" s="3"/>
      <c r="H74" s="3"/>
      <c r="I74" s="3"/>
      <c r="J74" s="19">
        <f t="shared" si="45"/>
        <v>0</v>
      </c>
      <c r="K74" s="3"/>
      <c r="L74" s="3">
        <f t="shared" si="46"/>
        <v>0</v>
      </c>
      <c r="M74" s="3"/>
      <c r="N74" s="19">
        <f t="shared" si="47"/>
        <v>0</v>
      </c>
      <c r="O74" s="11"/>
      <c r="P74" s="3">
        <f>0</f>
        <v>0</v>
      </c>
      <c r="Q74" s="3"/>
      <c r="R74" s="19">
        <f t="shared" si="48"/>
        <v>0</v>
      </c>
      <c r="S74" s="3"/>
      <c r="T74" s="3"/>
      <c r="U74" s="3"/>
      <c r="V74" s="19">
        <f t="shared" si="49"/>
        <v>0</v>
      </c>
      <c r="W74" s="3"/>
      <c r="X74" s="3">
        <f t="shared" si="50"/>
        <v>0</v>
      </c>
      <c r="Y74" s="3"/>
      <c r="Z74" s="19">
        <f t="shared" si="51"/>
        <v>0</v>
      </c>
    </row>
    <row r="75" spans="1:26" s="24" customFormat="1" hidden="1" outlineLevel="1" x14ac:dyDescent="0.3">
      <c r="A75" s="44"/>
      <c r="B75" s="11" t="str">
        <f>CONCATENATE("          ", "9087", " - ", "")</f>
        <v xml:space="preserve">          9087 - </v>
      </c>
      <c r="C75" s="11"/>
      <c r="D75" s="3">
        <f>--73.47</f>
        <v>73.47</v>
      </c>
      <c r="E75" s="3"/>
      <c r="F75" s="19">
        <f t="shared" si="44"/>
        <v>7.7088293218811356E-4</v>
      </c>
      <c r="G75" s="3"/>
      <c r="H75" s="3"/>
      <c r="I75" s="3"/>
      <c r="J75" s="19">
        <f t="shared" si="45"/>
        <v>0</v>
      </c>
      <c r="K75" s="3"/>
      <c r="L75" s="3">
        <f t="shared" si="46"/>
        <v>73.47</v>
      </c>
      <c r="M75" s="3"/>
      <c r="N75" s="19">
        <f t="shared" si="47"/>
        <v>0</v>
      </c>
      <c r="O75" s="11"/>
      <c r="P75" s="3">
        <f>--73.47</f>
        <v>73.47</v>
      </c>
      <c r="Q75" s="3"/>
      <c r="R75" s="19">
        <f t="shared" si="48"/>
        <v>7.7088293218811356E-4</v>
      </c>
      <c r="S75" s="3"/>
      <c r="T75" s="3"/>
      <c r="U75" s="3"/>
      <c r="V75" s="19">
        <f t="shared" si="49"/>
        <v>0</v>
      </c>
      <c r="W75" s="3"/>
      <c r="X75" s="3">
        <f t="shared" si="50"/>
        <v>73.47</v>
      </c>
      <c r="Y75" s="3"/>
      <c r="Z75" s="19">
        <f t="shared" si="51"/>
        <v>0</v>
      </c>
    </row>
    <row r="76" spans="1:26" s="24" customFormat="1" hidden="1" outlineLevel="1" x14ac:dyDescent="0.3">
      <c r="A76" s="44"/>
      <c r="B76" s="11" t="str">
        <f>CONCATENATE("          ", "9150", " - ", "MISC. INCOME")</f>
        <v xml:space="preserve">          9150 - MISC. INCOME</v>
      </c>
      <c r="C76" s="11"/>
      <c r="D76" s="3">
        <f>--119.91</f>
        <v>119.91</v>
      </c>
      <c r="E76" s="3"/>
      <c r="F76" s="19">
        <f t="shared" si="44"/>
        <v>1.2581539730322131E-3</v>
      </c>
      <c r="G76" s="3"/>
      <c r="H76" s="3">
        <v>2651</v>
      </c>
      <c r="I76" s="3"/>
      <c r="J76" s="19">
        <f t="shared" si="45"/>
        <v>9.5444513650617627E-3</v>
      </c>
      <c r="K76" s="3"/>
      <c r="L76" s="3">
        <f t="shared" si="46"/>
        <v>-2531.09</v>
      </c>
      <c r="M76" s="3"/>
      <c r="N76" s="19">
        <f t="shared" si="47"/>
        <v>-0.95476801207091666</v>
      </c>
      <c r="O76" s="11"/>
      <c r="P76" s="3">
        <f>--119.91</f>
        <v>119.91</v>
      </c>
      <c r="Q76" s="3"/>
      <c r="R76" s="19">
        <f t="shared" si="48"/>
        <v>1.2581539730322131E-3</v>
      </c>
      <c r="S76" s="3"/>
      <c r="T76" s="3">
        <v>2651</v>
      </c>
      <c r="U76" s="3"/>
      <c r="V76" s="19">
        <f t="shared" si="49"/>
        <v>9.5444513650617627E-3</v>
      </c>
      <c r="W76" s="3"/>
      <c r="X76" s="3">
        <f t="shared" si="50"/>
        <v>-2531.09</v>
      </c>
      <c r="Y76" s="3"/>
      <c r="Z76" s="19">
        <f t="shared" si="51"/>
        <v>-0.95476801207091666</v>
      </c>
    </row>
    <row r="77" spans="1:26" x14ac:dyDescent="0.3">
      <c r="A77" s="9"/>
      <c r="B77" s="10"/>
      <c r="C77" s="10"/>
      <c r="D77" s="2"/>
      <c r="E77" s="2"/>
      <c r="F77" s="6"/>
      <c r="G77" s="2"/>
      <c r="H77" s="2"/>
      <c r="I77" s="2"/>
      <c r="J77" s="6"/>
      <c r="K77" s="2"/>
      <c r="L77" s="2"/>
      <c r="M77" s="2"/>
      <c r="N77" s="6"/>
      <c r="O77" s="10"/>
      <c r="P77" s="2"/>
      <c r="Q77" s="2"/>
      <c r="R77" s="6"/>
      <c r="S77" s="2"/>
      <c r="T77" s="2"/>
      <c r="U77" s="2"/>
      <c r="V77" s="6"/>
      <c r="W77" s="2"/>
      <c r="X77" s="2"/>
      <c r="Y77" s="2"/>
      <c r="Z77" s="6"/>
    </row>
    <row r="78" spans="1:26" s="23" customFormat="1" x14ac:dyDescent="0.3">
      <c r="A78" s="10"/>
      <c r="B78" s="26" t="s">
        <v>277</v>
      </c>
      <c r="C78" s="26"/>
      <c r="D78" s="21">
        <f>+D30-D32+D73</f>
        <v>-3756.4600000000146</v>
      </c>
      <c r="E78" s="13"/>
      <c r="F78" s="22">
        <f>IF(D$12=0,0,D78/D$12)</f>
        <v>-3.9414603231895634E-2</v>
      </c>
      <c r="G78" s="13"/>
      <c r="H78" s="21">
        <f>+H30-H32+H73</f>
        <v>14674.2436389125</v>
      </c>
      <c r="I78" s="13"/>
      <c r="J78" s="22">
        <f>IF(H$12=0,0,H78/H$12)</f>
        <v>5.2831989713567451E-2</v>
      </c>
      <c r="K78" s="16"/>
      <c r="L78" s="21">
        <f>+D78-H78</f>
        <v>-18430.703638912513</v>
      </c>
      <c r="M78" s="16"/>
      <c r="N78" s="22">
        <f>IF(H78=0,0,L78/H78)</f>
        <v>-1.2559900252738616</v>
      </c>
      <c r="O78" s="25"/>
      <c r="P78" s="21">
        <f>+P30-P32+P73</f>
        <v>-3756.4600000000146</v>
      </c>
      <c r="Q78" s="13"/>
      <c r="R78" s="22">
        <f>IF(P$12=0,0,P78/P$12)</f>
        <v>-3.9414603231895634E-2</v>
      </c>
      <c r="S78" s="13"/>
      <c r="T78" s="21">
        <f>+T30-T32+T73</f>
        <v>14674.2436389125</v>
      </c>
      <c r="U78" s="13"/>
      <c r="V78" s="22">
        <f>IF(T$12=0,0,T78/T$12)</f>
        <v>5.2831989713567451E-2</v>
      </c>
      <c r="W78" s="16"/>
      <c r="X78" s="21">
        <f>+P78-T78</f>
        <v>-18430.703638912513</v>
      </c>
      <c r="Y78" s="16"/>
      <c r="Z78" s="22">
        <f>IF(T78=0,0,X78/T78)</f>
        <v>-1.2559900252738616</v>
      </c>
    </row>
    <row r="79" spans="1:26" x14ac:dyDescent="0.3">
      <c r="A79" s="9"/>
      <c r="B79" s="10"/>
      <c r="C79" s="9"/>
      <c r="D79" s="2"/>
      <c r="E79" s="2"/>
      <c r="F79" s="6"/>
      <c r="G79" s="2"/>
      <c r="H79" s="2"/>
      <c r="I79" s="2"/>
      <c r="J79" s="6"/>
      <c r="K79" s="2"/>
      <c r="L79" s="2"/>
      <c r="M79" s="2"/>
      <c r="N79" s="6"/>
      <c r="P79" s="2"/>
      <c r="Q79" s="2"/>
      <c r="R79" s="6"/>
      <c r="S79" s="2"/>
      <c r="T79" s="2"/>
      <c r="U79" s="2"/>
      <c r="V79" s="6"/>
      <c r="W79" s="2"/>
      <c r="X79" s="2"/>
      <c r="Y79" s="2"/>
      <c r="Z79" s="6"/>
    </row>
    <row r="80" spans="1:26" s="23" customFormat="1" x14ac:dyDescent="0.3">
      <c r="A80" s="52"/>
      <c r="B80" s="10" t="s">
        <v>128</v>
      </c>
      <c r="C80" s="10"/>
      <c r="D80" s="4">
        <v>44031.12</v>
      </c>
      <c r="E80" s="4"/>
      <c r="F80" s="12">
        <f>IF(D$12=0,0,D80/D$12)</f>
        <v>0.46199590163504417</v>
      </c>
      <c r="G80" s="4"/>
      <c r="H80" s="4">
        <v>100588</v>
      </c>
      <c r="I80" s="4"/>
      <c r="J80" s="12">
        <f>IF(H$12=0,0,H80/H$12)</f>
        <v>0.36214910370005005</v>
      </c>
      <c r="K80" s="4"/>
      <c r="L80" s="4">
        <f>+D80-H80</f>
        <v>-56556.88</v>
      </c>
      <c r="M80" s="4"/>
      <c r="N80" s="12">
        <f>IF(H80=0,0,L80/H80)</f>
        <v>-0.56226269535133411</v>
      </c>
      <c r="O80" s="10"/>
      <c r="P80" s="4">
        <v>44031.12</v>
      </c>
      <c r="Q80" s="4"/>
      <c r="R80" s="12">
        <f>IF(P$12=0,0,P80/P$12)</f>
        <v>0.46199590163504417</v>
      </c>
      <c r="S80" s="4"/>
      <c r="T80" s="4">
        <v>100588</v>
      </c>
      <c r="U80" s="4"/>
      <c r="V80" s="12">
        <f>IF(T$12=0,0,T80/T$12)</f>
        <v>0.36214910370005005</v>
      </c>
      <c r="W80" s="4"/>
      <c r="X80" s="4">
        <f>+P80-T80</f>
        <v>-56556.88</v>
      </c>
      <c r="Y80" s="4"/>
      <c r="Z80" s="12">
        <f>IF(T80=0,0,X80/T80)</f>
        <v>-0.56226269535133411</v>
      </c>
    </row>
    <row r="81" spans="1:26" x14ac:dyDescent="0.3">
      <c r="A81" s="9"/>
      <c r="B81" s="10"/>
      <c r="C81" s="10"/>
      <c r="D81" s="2"/>
      <c r="E81" s="2"/>
      <c r="F81" s="6"/>
      <c r="G81" s="2"/>
      <c r="H81" s="2"/>
      <c r="I81" s="2"/>
      <c r="J81" s="6"/>
      <c r="K81" s="2"/>
      <c r="L81" s="2"/>
      <c r="M81" s="2"/>
      <c r="N81" s="6"/>
      <c r="O81" s="10"/>
      <c r="P81" s="2"/>
      <c r="Q81" s="2"/>
      <c r="R81" s="6"/>
      <c r="S81" s="2"/>
      <c r="T81" s="2"/>
      <c r="U81" s="2"/>
      <c r="V81" s="6"/>
      <c r="W81" s="2"/>
      <c r="X81" s="2"/>
      <c r="Y81" s="2"/>
      <c r="Z81" s="6"/>
    </row>
    <row r="82" spans="1:26" s="23" customFormat="1" ht="15" thickBot="1" x14ac:dyDescent="0.35">
      <c r="A82" s="10"/>
      <c r="B82" s="26" t="s">
        <v>126</v>
      </c>
      <c r="C82" s="26"/>
      <c r="D82" s="35">
        <f>+D78-D80</f>
        <v>-47787.580000000016</v>
      </c>
      <c r="E82" s="13"/>
      <c r="F82" s="30">
        <f>IF(D$12=0,0,D82/D$12)</f>
        <v>-0.50141050486693972</v>
      </c>
      <c r="G82" s="13"/>
      <c r="H82" s="35">
        <f>+H78-H80</f>
        <v>-85913.756361087493</v>
      </c>
      <c r="I82" s="13"/>
      <c r="J82" s="30">
        <f>IF(H$12=0,0,H82/H$12)</f>
        <v>-0.30931711398648259</v>
      </c>
      <c r="K82" s="16"/>
      <c r="L82" s="35">
        <f>D82-H82</f>
        <v>38126.176361087477</v>
      </c>
      <c r="M82" s="16"/>
      <c r="N82" s="30">
        <f>IF(H82=0,0,L82/H82)</f>
        <v>-0.44377266198030868</v>
      </c>
      <c r="O82" s="25"/>
      <c r="P82" s="35">
        <f>+P78-P80</f>
        <v>-47787.580000000016</v>
      </c>
      <c r="Q82" s="13"/>
      <c r="R82" s="30">
        <f>IF(P$12=0,0,P82/P$12)</f>
        <v>-0.50141050486693972</v>
      </c>
      <c r="S82" s="13"/>
      <c r="T82" s="35">
        <f>+T78-T80</f>
        <v>-85913.756361087493</v>
      </c>
      <c r="U82" s="13"/>
      <c r="V82" s="30">
        <f>IF(T$12=0,0,T82/T$12)</f>
        <v>-0.30931711398648259</v>
      </c>
      <c r="W82" s="16"/>
      <c r="X82" s="35">
        <f>P82-T82</f>
        <v>38126.176361087477</v>
      </c>
      <c r="Y82" s="16"/>
      <c r="Z82" s="30">
        <f>IF(T82=0,0,X82/T82)</f>
        <v>-0.44377266198030868</v>
      </c>
    </row>
    <row r="83" spans="1:26" ht="15" thickTop="1" x14ac:dyDescent="0.3">
      <c r="A83" s="9"/>
      <c r="B83" s="9"/>
      <c r="C83" s="9"/>
      <c r="D83" s="2"/>
      <c r="E83" s="2"/>
      <c r="F83" s="6"/>
      <c r="G83" s="2"/>
      <c r="H83" s="2"/>
      <c r="I83" s="2"/>
      <c r="J83" s="6"/>
      <c r="K83" s="2"/>
      <c r="L83" s="2"/>
      <c r="M83" s="2"/>
      <c r="N83" s="6"/>
      <c r="P83" s="2"/>
      <c r="Q83" s="2"/>
      <c r="R83" s="6"/>
      <c r="S83" s="2"/>
      <c r="T83" s="2"/>
      <c r="U83" s="2"/>
      <c r="V83" s="6"/>
      <c r="W83" s="2"/>
      <c r="X83" s="2"/>
      <c r="Y83" s="2"/>
      <c r="Z83" s="6"/>
    </row>
    <row r="84" spans="1:26" x14ac:dyDescent="0.3">
      <c r="A84" s="9"/>
      <c r="B84" s="9"/>
      <c r="C84" s="9"/>
      <c r="D84" s="2"/>
      <c r="E84" s="2"/>
      <c r="F84" s="6"/>
      <c r="G84" s="2"/>
      <c r="H84" s="2"/>
      <c r="I84" s="2"/>
      <c r="J84" s="6"/>
      <c r="K84" s="2"/>
      <c r="L84" s="2"/>
      <c r="M84" s="2"/>
      <c r="N84" s="6"/>
      <c r="P84" s="2"/>
      <c r="Q84" s="2"/>
      <c r="R84" s="6"/>
      <c r="S84" s="2"/>
      <c r="T84" s="2"/>
      <c r="U84" s="2"/>
      <c r="V84" s="6"/>
      <c r="W84" s="2"/>
      <c r="X84" s="2"/>
      <c r="Y84" s="2"/>
      <c r="Z84" s="6"/>
    </row>
    <row r="85" spans="1:26" s="23" customFormat="1" ht="15" thickBot="1" x14ac:dyDescent="0.35">
      <c r="A85" s="10"/>
      <c r="B85" s="26" t="s">
        <v>294</v>
      </c>
      <c r="C85" s="26"/>
      <c r="D85" s="33">
        <f>SUM(D82:D84)</f>
        <v>-47787.580000000016</v>
      </c>
      <c r="E85" s="13"/>
      <c r="F85" s="31">
        <f>IF(D$12=0,0,D85/D$12)</f>
        <v>-0.50141050486693972</v>
      </c>
      <c r="G85" s="13"/>
      <c r="H85" s="33">
        <f>SUM(H82:H84)</f>
        <v>-85913.756361087493</v>
      </c>
      <c r="I85" s="13"/>
      <c r="J85" s="31">
        <f>IF(H$12=0,0,H85/H$12)</f>
        <v>-0.30931711398648259</v>
      </c>
      <c r="K85" s="16"/>
      <c r="L85" s="33">
        <f>+D85-H85</f>
        <v>38126.176361087477</v>
      </c>
      <c r="M85" s="16"/>
      <c r="N85" s="31">
        <f>IF(H85=0,0,L85/H85)</f>
        <v>-0.44377266198030868</v>
      </c>
      <c r="O85" s="25"/>
      <c r="P85" s="33">
        <f>SUM(P82:P84)</f>
        <v>-47787.580000000016</v>
      </c>
      <c r="Q85" s="13"/>
      <c r="R85" s="31">
        <f>IF(P$12=0,0,P85/P$12)</f>
        <v>-0.50141050486693972</v>
      </c>
      <c r="S85" s="13"/>
      <c r="T85" s="33">
        <f>SUM(T82:T84)</f>
        <v>-85913.756361087493</v>
      </c>
      <c r="U85" s="13"/>
      <c r="V85" s="31">
        <f>IF(T$12=0,0,T85/T$12)</f>
        <v>-0.30931711398648259</v>
      </c>
      <c r="W85" s="16"/>
      <c r="X85" s="33">
        <f>+P85-T85</f>
        <v>38126.176361087477</v>
      </c>
      <c r="Y85" s="16"/>
      <c r="Z85" s="31">
        <f>IF(T85=0,0,X85/T85)</f>
        <v>-0.44377266198030868</v>
      </c>
    </row>
    <row r="86" spans="1:26" ht="15" thickTop="1" x14ac:dyDescent="0.3">
      <c r="A86" s="9"/>
      <c r="C86" s="9"/>
      <c r="D86" s="18"/>
      <c r="E86" s="18"/>
      <c r="G86" s="18"/>
      <c r="H86" s="18"/>
      <c r="I86" s="18"/>
      <c r="J86" s="43"/>
      <c r="K86" s="18"/>
      <c r="L86" s="18"/>
      <c r="M86" s="18"/>
      <c r="P86" s="18"/>
      <c r="Q86" s="18"/>
      <c r="R86" s="43"/>
      <c r="S86" s="18"/>
      <c r="T86" s="18"/>
      <c r="U86" s="18"/>
      <c r="V86" s="43"/>
      <c r="W86" s="18"/>
      <c r="X86" s="18"/>
    </row>
    <row r="87" spans="1:26" x14ac:dyDescent="0.3">
      <c r="A87" s="9"/>
      <c r="B87" s="54">
        <v>44462.64548684028</v>
      </c>
      <c r="D87" s="18"/>
      <c r="E87" s="18"/>
      <c r="G87" s="18"/>
      <c r="H87" s="18"/>
      <c r="I87" s="18"/>
      <c r="J87" s="43"/>
      <c r="K87" s="18"/>
      <c r="L87" s="18"/>
      <c r="M87" s="18"/>
      <c r="P87" s="18"/>
      <c r="Q87" s="18"/>
      <c r="R87" s="43"/>
      <c r="S87" s="18"/>
      <c r="T87" s="18"/>
      <c r="U87" s="18"/>
      <c r="V87" s="43"/>
      <c r="W87" s="18"/>
      <c r="X87" s="18"/>
    </row>
    <row r="88" spans="1:26" x14ac:dyDescent="0.3">
      <c r="A88" s="9"/>
      <c r="B88" s="59" t="s">
        <v>56</v>
      </c>
      <c r="D88" s="18"/>
      <c r="E88" s="18"/>
      <c r="G88" s="18"/>
      <c r="H88" s="18"/>
      <c r="I88" s="18"/>
      <c r="J88" s="43"/>
      <c r="K88" s="18"/>
      <c r="L88" s="18"/>
      <c r="M88" s="18"/>
      <c r="P88" s="18"/>
      <c r="Q88" s="18"/>
      <c r="R88" s="43"/>
      <c r="S88" s="18"/>
      <c r="T88" s="18"/>
      <c r="U88" s="18"/>
      <c r="V88" s="43"/>
      <c r="W88" s="18"/>
      <c r="X88" s="18"/>
    </row>
    <row r="89" spans="1:26" x14ac:dyDescent="0.3">
      <c r="A89" s="9"/>
      <c r="B89" s="55"/>
      <c r="D89" s="18"/>
      <c r="E89" s="18"/>
      <c r="G89" s="18"/>
      <c r="H89" s="18"/>
      <c r="I89" s="18"/>
      <c r="J89" s="43"/>
      <c r="K89" s="18"/>
      <c r="L89" s="18"/>
      <c r="M89" s="18"/>
      <c r="P89" s="18"/>
      <c r="Q89" s="18"/>
      <c r="R89" s="43"/>
      <c r="S89" s="18"/>
      <c r="T89" s="18"/>
      <c r="U89" s="18"/>
      <c r="V89" s="43"/>
      <c r="W89" s="18"/>
      <c r="X89" s="18"/>
    </row>
    <row r="90" spans="1:26" x14ac:dyDescent="0.3">
      <c r="D90" s="18"/>
      <c r="E90" s="18"/>
      <c r="G90" s="18"/>
      <c r="H90" s="18"/>
      <c r="I90" s="18"/>
      <c r="J90" s="43"/>
      <c r="K90" s="18"/>
      <c r="L90" s="18"/>
      <c r="M90" s="18"/>
      <c r="P90" s="18"/>
      <c r="Q90" s="18"/>
      <c r="R90" s="43"/>
      <c r="S90" s="18"/>
      <c r="T90" s="18"/>
      <c r="U90" s="18"/>
      <c r="V90" s="43"/>
      <c r="W90" s="18"/>
      <c r="X90" s="18"/>
    </row>
  </sheetData>
  <pageMargins left="0.25" right="0.25" top="0.75" bottom="0.75" header="0.3" footer="0.3"/>
  <pageSetup scale="55" fitToWidth="2" orientation="landscape"/>
  <drawing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FFFF00"/>
    <outlinePr summaryBelow="0" summaryRight="0"/>
  </sheetPr>
  <dimension ref="A2:Z89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50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7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50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7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7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7" customWidth="1" outlineLevel="1"/>
  </cols>
  <sheetData>
    <row r="2" spans="1:26" x14ac:dyDescent="0.3">
      <c r="D2" s="57" t="s">
        <v>23</v>
      </c>
    </row>
    <row r="3" spans="1:26" x14ac:dyDescent="0.3">
      <c r="D3" s="57" t="s">
        <v>237</v>
      </c>
      <c r="E3" s="17"/>
      <c r="F3" s="51"/>
      <c r="G3" s="17"/>
      <c r="H3" s="17"/>
      <c r="I3" s="17"/>
      <c r="J3" s="39"/>
      <c r="K3" s="17"/>
      <c r="L3" s="17"/>
      <c r="M3" s="17"/>
      <c r="N3" s="51"/>
      <c r="O3" s="61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3">
      <c r="D4" s="57" t="str">
        <f>CONCATENATE("Period ",RIGHT(202201,2),", ",2022)</f>
        <v>Period 01, 2022</v>
      </c>
      <c r="E4" s="17"/>
      <c r="F4" s="51"/>
      <c r="G4" s="17"/>
      <c r="H4" s="17"/>
      <c r="I4" s="17"/>
      <c r="J4" s="39"/>
      <c r="K4" s="17"/>
      <c r="L4" s="17"/>
      <c r="M4" s="17"/>
      <c r="N4" s="51"/>
      <c r="O4" s="61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3">
      <c r="A5" s="23"/>
      <c r="D5" s="64">
        <v>44408</v>
      </c>
      <c r="E5" s="17"/>
      <c r="F5" s="51"/>
      <c r="G5" s="17"/>
      <c r="H5" s="17"/>
      <c r="I5" s="17"/>
      <c r="J5" s="39"/>
      <c r="K5" s="17"/>
      <c r="L5" s="17"/>
      <c r="M5" s="17"/>
      <c r="N5" s="51"/>
      <c r="O5" s="61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3">
      <c r="A6" s="23"/>
      <c r="B6" s="47"/>
      <c r="C6" s="47"/>
      <c r="D6" s="23" t="s">
        <v>199</v>
      </c>
      <c r="E6" s="17"/>
      <c r="F6" s="51"/>
      <c r="G6" s="17"/>
      <c r="H6" s="17"/>
      <c r="I6" s="17"/>
      <c r="J6" s="39"/>
      <c r="K6" s="17"/>
      <c r="L6" s="17"/>
      <c r="M6" s="17"/>
      <c r="N6" s="51"/>
      <c r="O6" s="60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3">
      <c r="B7" s="63"/>
    </row>
    <row r="8" spans="1:26" x14ac:dyDescent="0.3">
      <c r="B8" s="63"/>
    </row>
    <row r="9" spans="1:26" x14ac:dyDescent="0.3">
      <c r="B9" s="9"/>
      <c r="C9" s="9"/>
      <c r="D9" s="15" t="s">
        <v>292</v>
      </c>
      <c r="E9" s="15"/>
      <c r="F9" s="38"/>
      <c r="G9" s="15"/>
      <c r="H9" s="15"/>
      <c r="I9" s="15"/>
      <c r="J9" s="49"/>
      <c r="K9" s="15"/>
      <c r="L9" s="15"/>
      <c r="M9" s="15"/>
      <c r="N9" s="38"/>
      <c r="P9" s="15" t="s">
        <v>39</v>
      </c>
      <c r="Q9" s="15"/>
      <c r="R9" s="38"/>
      <c r="S9" s="15"/>
      <c r="T9" s="15"/>
      <c r="U9" s="15"/>
      <c r="V9" s="49"/>
      <c r="W9" s="15"/>
      <c r="X9" s="15"/>
      <c r="Y9" s="15"/>
      <c r="Z9" s="38"/>
    </row>
    <row r="10" spans="1:26" x14ac:dyDescent="0.3">
      <c r="A10" s="10"/>
      <c r="B10" s="53"/>
      <c r="C10" s="10"/>
      <c r="D10" s="42" t="s">
        <v>57</v>
      </c>
      <c r="E10" s="34"/>
      <c r="F10" s="40" t="s">
        <v>40</v>
      </c>
      <c r="G10" s="34"/>
      <c r="H10" s="45" t="s">
        <v>238</v>
      </c>
      <c r="I10" s="34"/>
      <c r="J10" s="48" t="s">
        <v>58</v>
      </c>
      <c r="K10" s="10"/>
      <c r="L10" s="42" t="s">
        <v>127</v>
      </c>
      <c r="M10" s="10"/>
      <c r="N10" s="40" t="s">
        <v>258</v>
      </c>
      <c r="O10" s="10"/>
      <c r="P10" s="56" t="s">
        <v>57</v>
      </c>
      <c r="Q10" s="34"/>
      <c r="R10" s="40" t="s">
        <v>40</v>
      </c>
      <c r="S10" s="34"/>
      <c r="T10" s="45" t="s">
        <v>238</v>
      </c>
      <c r="U10" s="34"/>
      <c r="V10" s="48" t="s">
        <v>58</v>
      </c>
      <c r="W10" s="10"/>
      <c r="X10" s="42" t="s">
        <v>127</v>
      </c>
      <c r="Y10" s="10"/>
      <c r="Z10" s="40" t="s">
        <v>258</v>
      </c>
    </row>
    <row r="11" spans="1:26" ht="15.6" x14ac:dyDescent="0.3">
      <c r="A11" s="9"/>
      <c r="B11" s="58"/>
      <c r="C11" s="9"/>
      <c r="D11" s="9"/>
      <c r="E11" s="9"/>
      <c r="F11" s="6"/>
      <c r="G11" s="9"/>
      <c r="H11" s="9"/>
      <c r="I11" s="9"/>
      <c r="J11" s="46"/>
      <c r="K11" s="9"/>
      <c r="L11" s="9"/>
      <c r="M11" s="9"/>
      <c r="N11" s="6"/>
      <c r="P11" s="9"/>
      <c r="Q11" s="9"/>
      <c r="R11" s="6"/>
      <c r="S11" s="9"/>
      <c r="T11" s="9"/>
      <c r="U11" s="9"/>
      <c r="V11" s="46"/>
      <c r="W11" s="9"/>
      <c r="X11" s="9"/>
      <c r="Y11" s="9"/>
      <c r="Z11" s="6"/>
    </row>
    <row r="12" spans="1:26" s="23" customFormat="1" collapsed="1" x14ac:dyDescent="0.3">
      <c r="A12" s="10"/>
      <c r="B12" s="25" t="s">
        <v>140</v>
      </c>
      <c r="C12" s="10"/>
      <c r="D12" s="4">
        <f>SUM(OSRRefD13x_0)</f>
        <v>0</v>
      </c>
      <c r="E12" s="4"/>
      <c r="F12" s="12"/>
      <c r="G12" s="4"/>
      <c r="H12" s="4">
        <f>SUM(OSRRefH13x_0)</f>
        <v>0</v>
      </c>
      <c r="I12" s="4"/>
      <c r="J12" s="12"/>
      <c r="K12" s="4"/>
      <c r="L12" s="4">
        <f t="shared" ref="L12:L14" si="0">+D12-H12</f>
        <v>0</v>
      </c>
      <c r="M12" s="4"/>
      <c r="N12" s="12">
        <f t="shared" ref="N12:N14" si="1">IF(H12=0,0,L12/H12)</f>
        <v>0</v>
      </c>
      <c r="O12" s="10"/>
      <c r="P12" s="4">
        <f>SUM(OSRRefP13x_0)</f>
        <v>0</v>
      </c>
      <c r="Q12" s="4"/>
      <c r="R12" s="12"/>
      <c r="S12" s="4"/>
      <c r="T12" s="4">
        <f>SUM(OSRRefT13x_0)</f>
        <v>0</v>
      </c>
      <c r="U12" s="4"/>
      <c r="V12" s="12"/>
      <c r="W12" s="4"/>
      <c r="X12" s="4">
        <f t="shared" ref="X12:X14" si="2">+P12-T12</f>
        <v>0</v>
      </c>
      <c r="Y12" s="4"/>
      <c r="Z12" s="12">
        <f t="shared" ref="Z12:Z14" si="3">IF(T12=0,0,X12/T12)</f>
        <v>0</v>
      </c>
    </row>
    <row r="13" spans="1:26" s="24" customFormat="1" hidden="1" outlineLevel="1" x14ac:dyDescent="0.3">
      <c r="A13" s="44"/>
      <c r="B13" s="11" t="str">
        <f>CONCATENATE("          ", "4000", " - ", "TAXABLE SALES")</f>
        <v xml:space="preserve">          4000 - TAXABLE SALES</v>
      </c>
      <c r="C13" s="11"/>
      <c r="D13" s="3">
        <f t="shared" ref="D13:D14" si="4">0</f>
        <v>0</v>
      </c>
      <c r="E13" s="3"/>
      <c r="F13" s="19"/>
      <c r="G13" s="3"/>
      <c r="H13" s="3">
        <v>0</v>
      </c>
      <c r="I13" s="3"/>
      <c r="J13" s="19"/>
      <c r="K13" s="3"/>
      <c r="L13" s="3">
        <f t="shared" si="0"/>
        <v>0</v>
      </c>
      <c r="M13" s="3"/>
      <c r="N13" s="19">
        <f t="shared" si="1"/>
        <v>0</v>
      </c>
      <c r="O13" s="11"/>
      <c r="P13" s="3">
        <f t="shared" ref="P13:P14" si="5">0</f>
        <v>0</v>
      </c>
      <c r="Q13" s="3"/>
      <c r="R13" s="19"/>
      <c r="S13" s="3"/>
      <c r="T13" s="3">
        <v>0</v>
      </c>
      <c r="U13" s="3"/>
      <c r="V13" s="19"/>
      <c r="W13" s="3"/>
      <c r="X13" s="3">
        <f t="shared" si="2"/>
        <v>0</v>
      </c>
      <c r="Y13" s="3"/>
      <c r="Z13" s="19">
        <f t="shared" si="3"/>
        <v>0</v>
      </c>
    </row>
    <row r="14" spans="1:26" s="24" customFormat="1" hidden="1" outlineLevel="1" x14ac:dyDescent="0.3">
      <c r="A14" s="44"/>
      <c r="B14" s="11" t="str">
        <f>CONCATENATE("          ", "4100", " - ", "NON-TAXABLE SALES")</f>
        <v xml:space="preserve">          4100 - NON-TAXABLE SALES</v>
      </c>
      <c r="C14" s="11"/>
      <c r="D14" s="3">
        <f t="shared" si="4"/>
        <v>0</v>
      </c>
      <c r="E14" s="3"/>
      <c r="F14" s="19"/>
      <c r="G14" s="3"/>
      <c r="H14" s="3">
        <v>0</v>
      </c>
      <c r="I14" s="3"/>
      <c r="J14" s="19"/>
      <c r="K14" s="3"/>
      <c r="L14" s="3">
        <f t="shared" si="0"/>
        <v>0</v>
      </c>
      <c r="M14" s="3"/>
      <c r="N14" s="19">
        <f t="shared" si="1"/>
        <v>0</v>
      </c>
      <c r="O14" s="11"/>
      <c r="P14" s="3">
        <f t="shared" si="5"/>
        <v>0</v>
      </c>
      <c r="Q14" s="3"/>
      <c r="R14" s="19"/>
      <c r="S14" s="3"/>
      <c r="T14" s="3">
        <v>0</v>
      </c>
      <c r="U14" s="3"/>
      <c r="V14" s="19"/>
      <c r="W14" s="3"/>
      <c r="X14" s="3">
        <f t="shared" si="2"/>
        <v>0</v>
      </c>
      <c r="Y14" s="3"/>
      <c r="Z14" s="19">
        <f t="shared" si="3"/>
        <v>0</v>
      </c>
    </row>
    <row r="15" spans="1:26" x14ac:dyDescent="0.3">
      <c r="A15" s="9"/>
      <c r="B15" s="10"/>
      <c r="C15" s="9"/>
      <c r="D15" s="2"/>
      <c r="E15" s="2"/>
      <c r="F15" s="6"/>
      <c r="G15" s="2"/>
      <c r="H15" s="2"/>
      <c r="I15" s="2"/>
      <c r="J15" s="6"/>
      <c r="K15" s="2"/>
      <c r="L15" s="2"/>
      <c r="M15" s="2"/>
      <c r="N15" s="6"/>
      <c r="P15" s="2"/>
      <c r="Q15" s="2"/>
      <c r="R15" s="6"/>
      <c r="S15" s="2"/>
      <c r="T15" s="2"/>
      <c r="U15" s="2"/>
      <c r="V15" s="6"/>
      <c r="W15" s="2"/>
      <c r="X15" s="2"/>
      <c r="Y15" s="2"/>
      <c r="Z15" s="6"/>
    </row>
    <row r="16" spans="1:26" s="23" customFormat="1" collapsed="1" x14ac:dyDescent="0.3">
      <c r="A16" s="10"/>
      <c r="B16" s="25" t="s">
        <v>257</v>
      </c>
      <c r="C16" s="10"/>
      <c r="D16" s="4">
        <f>SUM(OSRRefD16x_0)</f>
        <v>0</v>
      </c>
      <c r="E16" s="4"/>
      <c r="F16" s="12">
        <f t="shared" ref="F16:F18" si="6">IF(D$12=0,0,D16/D$12)</f>
        <v>0</v>
      </c>
      <c r="G16" s="4"/>
      <c r="H16" s="4">
        <f>SUM(OSRRefH16x_0)</f>
        <v>0</v>
      </c>
      <c r="I16" s="4"/>
      <c r="J16" s="12">
        <f t="shared" ref="J16:J18" si="7">IF(H$12=0,0,H16/H$12)</f>
        <v>0</v>
      </c>
      <c r="K16" s="4"/>
      <c r="L16" s="4">
        <f t="shared" ref="L16:L18" si="8">+D16-H16</f>
        <v>0</v>
      </c>
      <c r="M16" s="4"/>
      <c r="N16" s="12">
        <f t="shared" ref="N16:N18" si="9">IF(H16=0,0,L16/H16)</f>
        <v>0</v>
      </c>
      <c r="O16" s="10"/>
      <c r="P16" s="4">
        <f>SUM(OSRRefP16x_0)</f>
        <v>0</v>
      </c>
      <c r="Q16" s="4"/>
      <c r="R16" s="12">
        <f t="shared" ref="R16:R18" si="10">IF(P$12=0,0,P16/P$12)</f>
        <v>0</v>
      </c>
      <c r="S16" s="4"/>
      <c r="T16" s="4">
        <f>SUM(OSRRefT16x_0)</f>
        <v>0</v>
      </c>
      <c r="U16" s="4"/>
      <c r="V16" s="12">
        <f t="shared" ref="V16:V18" si="11">IF(T$12=0,0,T16/T$12)</f>
        <v>0</v>
      </c>
      <c r="W16" s="4"/>
      <c r="X16" s="4">
        <f t="shared" ref="X16:X18" si="12">+P16-T16</f>
        <v>0</v>
      </c>
      <c r="Y16" s="4"/>
      <c r="Z16" s="12">
        <f t="shared" ref="Z16:Z18" si="13">IF(T16=0,0,X16/T16)</f>
        <v>0</v>
      </c>
    </row>
    <row r="17" spans="1:26" s="24" customFormat="1" hidden="1" outlineLevel="1" x14ac:dyDescent="0.3">
      <c r="A17" s="44"/>
      <c r="B17" s="11" t="str">
        <f>CONCATENATE("          ", "5000", " - ", "PURCHASES @ COST")</f>
        <v xml:space="preserve">          5000 - PURCHASES @ COST</v>
      </c>
      <c r="C17" s="11"/>
      <c r="D17" s="3"/>
      <c r="E17" s="3"/>
      <c r="F17" s="19">
        <f t="shared" si="6"/>
        <v>0</v>
      </c>
      <c r="G17" s="3"/>
      <c r="H17" s="3">
        <v>0</v>
      </c>
      <c r="I17" s="3"/>
      <c r="J17" s="19">
        <f t="shared" si="7"/>
        <v>0</v>
      </c>
      <c r="K17" s="3"/>
      <c r="L17" s="3">
        <f t="shared" si="8"/>
        <v>0</v>
      </c>
      <c r="M17" s="3"/>
      <c r="N17" s="19">
        <f t="shared" si="9"/>
        <v>0</v>
      </c>
      <c r="O17" s="11"/>
      <c r="P17" s="3"/>
      <c r="Q17" s="3"/>
      <c r="R17" s="19">
        <f t="shared" si="10"/>
        <v>0</v>
      </c>
      <c r="S17" s="3"/>
      <c r="T17" s="3">
        <v>0</v>
      </c>
      <c r="U17" s="3"/>
      <c r="V17" s="19">
        <f t="shared" si="11"/>
        <v>0</v>
      </c>
      <c r="W17" s="3"/>
      <c r="X17" s="3">
        <f t="shared" si="12"/>
        <v>0</v>
      </c>
      <c r="Y17" s="3"/>
      <c r="Z17" s="19">
        <f t="shared" si="13"/>
        <v>0</v>
      </c>
    </row>
    <row r="18" spans="1:26" s="24" customFormat="1" hidden="1" outlineLevel="1" x14ac:dyDescent="0.3">
      <c r="A18" s="44"/>
      <c r="B18" s="11" t="str">
        <f>CONCATENATE("          ", "5053", " - ", "PURCHASES @ COST-FOOD")</f>
        <v xml:space="preserve">          5053 - PURCHASES @ COST-FOOD</v>
      </c>
      <c r="C18" s="11"/>
      <c r="D18" s="3">
        <v>0</v>
      </c>
      <c r="E18" s="3"/>
      <c r="F18" s="19">
        <f t="shared" si="6"/>
        <v>0</v>
      </c>
      <c r="G18" s="3"/>
      <c r="H18" s="3"/>
      <c r="I18" s="3"/>
      <c r="J18" s="19">
        <f t="shared" si="7"/>
        <v>0</v>
      </c>
      <c r="K18" s="3"/>
      <c r="L18" s="3">
        <f t="shared" si="8"/>
        <v>0</v>
      </c>
      <c r="M18" s="3"/>
      <c r="N18" s="19">
        <f t="shared" si="9"/>
        <v>0</v>
      </c>
      <c r="O18" s="11"/>
      <c r="P18" s="3">
        <v>0</v>
      </c>
      <c r="Q18" s="3"/>
      <c r="R18" s="19">
        <f t="shared" si="10"/>
        <v>0</v>
      </c>
      <c r="S18" s="3"/>
      <c r="T18" s="3"/>
      <c r="U18" s="3"/>
      <c r="V18" s="19">
        <f t="shared" si="11"/>
        <v>0</v>
      </c>
      <c r="W18" s="3"/>
      <c r="X18" s="3">
        <f t="shared" si="12"/>
        <v>0</v>
      </c>
      <c r="Y18" s="3"/>
      <c r="Z18" s="19">
        <f t="shared" si="13"/>
        <v>0</v>
      </c>
    </row>
    <row r="19" spans="1:26" x14ac:dyDescent="0.3">
      <c r="A19" s="9"/>
      <c r="B19" s="10"/>
      <c r="C19" s="10"/>
      <c r="D19" s="2"/>
      <c r="E19" s="2"/>
      <c r="F19" s="6"/>
      <c r="G19" s="2"/>
      <c r="H19" s="2"/>
      <c r="I19" s="2"/>
      <c r="J19" s="6"/>
      <c r="K19" s="2"/>
      <c r="L19" s="2"/>
      <c r="M19" s="2"/>
      <c r="N19" s="6"/>
      <c r="O19" s="10"/>
      <c r="P19" s="2"/>
      <c r="Q19" s="2"/>
      <c r="R19" s="6"/>
      <c r="S19" s="2"/>
      <c r="T19" s="2"/>
      <c r="U19" s="2"/>
      <c r="V19" s="6"/>
      <c r="W19" s="2"/>
      <c r="X19" s="2"/>
      <c r="Y19" s="2"/>
      <c r="Z19" s="6"/>
    </row>
    <row r="20" spans="1:26" s="23" customFormat="1" x14ac:dyDescent="0.3">
      <c r="A20" s="10"/>
      <c r="B20" s="26" t="s">
        <v>108</v>
      </c>
      <c r="C20" s="26"/>
      <c r="D20" s="21">
        <f>D12-D16</f>
        <v>0</v>
      </c>
      <c r="E20" s="13"/>
      <c r="F20" s="22">
        <f>IF(D$12=0,0,D20/D$12)</f>
        <v>0</v>
      </c>
      <c r="G20" s="13"/>
      <c r="H20" s="21">
        <f>H12-H16</f>
        <v>0</v>
      </c>
      <c r="I20" s="13"/>
      <c r="J20" s="22">
        <f>IF(H$12=0,0,H20/H$12)</f>
        <v>0</v>
      </c>
      <c r="K20" s="16"/>
      <c r="L20" s="21">
        <f>+D20-H20</f>
        <v>0</v>
      </c>
      <c r="M20" s="16"/>
      <c r="N20" s="22">
        <f>IF(H20=0,0,L20/H20)</f>
        <v>0</v>
      </c>
      <c r="O20" s="25"/>
      <c r="P20" s="21">
        <f>P12-P16</f>
        <v>0</v>
      </c>
      <c r="Q20" s="13"/>
      <c r="R20" s="22">
        <f>IF(P$12=0,0,P20/P$12)</f>
        <v>0</v>
      </c>
      <c r="S20" s="13"/>
      <c r="T20" s="21">
        <f>T12-T16</f>
        <v>0</v>
      </c>
      <c r="U20" s="13"/>
      <c r="V20" s="22">
        <f>IF(T$12=0,0,T20/T$12)</f>
        <v>0</v>
      </c>
      <c r="W20" s="16"/>
      <c r="X20" s="21">
        <f>+P20-T20</f>
        <v>0</v>
      </c>
      <c r="Y20" s="16"/>
      <c r="Z20" s="22">
        <f>IF(T20=0,0,X20/T20)</f>
        <v>0</v>
      </c>
    </row>
    <row r="21" spans="1:26" x14ac:dyDescent="0.3">
      <c r="A21" s="9"/>
      <c r="B21" s="10"/>
      <c r="C21" s="9"/>
      <c r="D21" s="1"/>
      <c r="E21" s="1"/>
      <c r="F21" s="5"/>
      <c r="G21" s="1"/>
      <c r="H21" s="1"/>
      <c r="I21" s="1"/>
      <c r="J21" s="5"/>
      <c r="K21" s="1"/>
      <c r="L21" s="1"/>
      <c r="M21" s="1"/>
      <c r="N21" s="5"/>
      <c r="O21" s="36"/>
      <c r="P21" s="1"/>
      <c r="Q21" s="1"/>
      <c r="R21" s="5"/>
      <c r="S21" s="1"/>
      <c r="T21" s="1"/>
      <c r="U21" s="1"/>
      <c r="V21" s="5"/>
      <c r="W21" s="1"/>
      <c r="X21" s="1"/>
      <c r="Y21" s="1"/>
      <c r="Z21" s="5"/>
    </row>
    <row r="22" spans="1:26" s="23" customFormat="1" x14ac:dyDescent="0.3">
      <c r="A22" s="10"/>
      <c r="B22" s="25" t="s">
        <v>295</v>
      </c>
      <c r="C22" s="10"/>
      <c r="D22" s="20">
        <f>SUM(OSRRefD22x_0)</f>
        <v>11929.9</v>
      </c>
      <c r="E22" s="20"/>
      <c r="F22" s="32">
        <f t="shared" ref="F22:F31" si="14">IF(D$12=0,0,D22/D$12)</f>
        <v>0</v>
      </c>
      <c r="G22" s="20"/>
      <c r="H22" s="20">
        <f>SUM(OSRRefH22x_0)</f>
        <v>22117.248515384617</v>
      </c>
      <c r="I22" s="20"/>
      <c r="J22" s="32">
        <f t="shared" ref="J22:J31" si="15">IF(H$12=0,0,H22/H$12)</f>
        <v>0</v>
      </c>
      <c r="K22" s="4"/>
      <c r="L22" s="20">
        <f t="shared" ref="L22:L31" si="16">+D22-H22</f>
        <v>-10187.348515384618</v>
      </c>
      <c r="M22" s="4"/>
      <c r="N22" s="32">
        <f t="shared" ref="N22:N31" si="17">IF(H22=0,0,L22/H22)</f>
        <v>-0.46060650393733937</v>
      </c>
      <c r="O22" s="10"/>
      <c r="P22" s="20">
        <f>SUM(OSRRefP22x_0)</f>
        <v>11929.9</v>
      </c>
      <c r="Q22" s="20"/>
      <c r="R22" s="32">
        <f t="shared" ref="R22:R31" si="18">IF(P$12=0,0,P22/P$12)</f>
        <v>0</v>
      </c>
      <c r="S22" s="20"/>
      <c r="T22" s="20">
        <f>SUM(OSRRefT22x_0)</f>
        <v>22117.248515384617</v>
      </c>
      <c r="U22" s="20"/>
      <c r="V22" s="32">
        <f t="shared" ref="V22:V31" si="19">IF(T$12=0,0,T22/T$12)</f>
        <v>0</v>
      </c>
      <c r="W22" s="4"/>
      <c r="X22" s="20">
        <f t="shared" ref="X22:X31" si="20">+P22-T22</f>
        <v>-10187.348515384618</v>
      </c>
      <c r="Y22" s="4"/>
      <c r="Z22" s="32">
        <f t="shared" ref="Z22:Z31" si="21">IF(T22=0,0,X22/T22)</f>
        <v>-0.46060650393733937</v>
      </c>
    </row>
    <row r="23" spans="1:26" s="27" customFormat="1" outlineLevel="1" collapsed="1" x14ac:dyDescent="0.3">
      <c r="A23" s="28"/>
      <c r="B23" s="14" t="str">
        <f>CONCATENATE("     ","*Benefits                                         ")</f>
        <v xml:space="preserve">     *Benefits                                         </v>
      </c>
      <c r="C23" s="14"/>
      <c r="D23" s="1">
        <f>SUM(OSRRefD22_0x_0)</f>
        <v>0</v>
      </c>
      <c r="E23" s="1"/>
      <c r="F23" s="5">
        <f t="shared" si="14"/>
        <v>0</v>
      </c>
      <c r="G23" s="1"/>
      <c r="H23" s="1">
        <f>SUM(OSRRefH22_0x_0)</f>
        <v>3726.7869769230774</v>
      </c>
      <c r="I23" s="1"/>
      <c r="J23" s="5">
        <f t="shared" si="15"/>
        <v>0</v>
      </c>
      <c r="K23" s="1"/>
      <c r="L23" s="1">
        <f t="shared" si="16"/>
        <v>-3726.7869769230774</v>
      </c>
      <c r="M23" s="1"/>
      <c r="N23" s="5">
        <f t="shared" si="17"/>
        <v>-1</v>
      </c>
      <c r="O23" s="14"/>
      <c r="P23" s="1">
        <f>SUM(OSRRefP22_0x_0)</f>
        <v>0</v>
      </c>
      <c r="Q23" s="1"/>
      <c r="R23" s="5">
        <f t="shared" si="18"/>
        <v>0</v>
      </c>
      <c r="S23" s="1"/>
      <c r="T23" s="1">
        <f>SUM(OSRRefT22_0x_0)</f>
        <v>3726.7869769230774</v>
      </c>
      <c r="U23" s="1"/>
      <c r="V23" s="5">
        <f t="shared" si="19"/>
        <v>0</v>
      </c>
      <c r="W23" s="1"/>
      <c r="X23" s="1">
        <f t="shared" si="20"/>
        <v>-3726.7869769230774</v>
      </c>
      <c r="Y23" s="1"/>
      <c r="Z23" s="5">
        <f t="shared" si="21"/>
        <v>-1</v>
      </c>
    </row>
    <row r="24" spans="1:26" s="24" customFormat="1" hidden="1" outlineLevel="2" x14ac:dyDescent="0.3">
      <c r="A24" s="29"/>
      <c r="B24" s="11" t="str">
        <f>CONCATENATE("          ", "6111", " - ", "F.I.C.A.")</f>
        <v xml:space="preserve">          6111 - F.I.C.A.</v>
      </c>
      <c r="C24" s="11"/>
      <c r="D24" s="8"/>
      <c r="E24" s="3"/>
      <c r="F24" s="7">
        <f t="shared" si="14"/>
        <v>0</v>
      </c>
      <c r="G24" s="3"/>
      <c r="H24" s="8">
        <v>442.63774615384602</v>
      </c>
      <c r="I24" s="3"/>
      <c r="J24" s="7">
        <f t="shared" si="15"/>
        <v>0</v>
      </c>
      <c r="K24" s="3"/>
      <c r="L24" s="8">
        <f t="shared" si="16"/>
        <v>-442.63774615384602</v>
      </c>
      <c r="M24" s="3"/>
      <c r="N24" s="7">
        <f t="shared" si="17"/>
        <v>-1</v>
      </c>
      <c r="O24" s="11"/>
      <c r="P24" s="8"/>
      <c r="Q24" s="3"/>
      <c r="R24" s="7">
        <f t="shared" si="18"/>
        <v>0</v>
      </c>
      <c r="S24" s="3"/>
      <c r="T24" s="8">
        <v>442.63774615384602</v>
      </c>
      <c r="U24" s="3"/>
      <c r="V24" s="7">
        <f t="shared" si="19"/>
        <v>0</v>
      </c>
      <c r="W24" s="3"/>
      <c r="X24" s="8">
        <f t="shared" si="20"/>
        <v>-442.63774615384602</v>
      </c>
      <c r="Y24" s="3"/>
      <c r="Z24" s="7">
        <f t="shared" si="21"/>
        <v>-1</v>
      </c>
    </row>
    <row r="25" spans="1:26" s="24" customFormat="1" hidden="1" outlineLevel="2" x14ac:dyDescent="0.3">
      <c r="A25" s="29"/>
      <c r="B25" s="11" t="str">
        <f>CONCATENATE("          ", "6112", " - ", "COMPENSATION INSURANCE")</f>
        <v xml:space="preserve">          6112 - COMPENSATION INSURANCE</v>
      </c>
      <c r="C25" s="11"/>
      <c r="D25" s="8"/>
      <c r="E25" s="3"/>
      <c r="F25" s="7">
        <f t="shared" si="14"/>
        <v>0</v>
      </c>
      <c r="G25" s="3"/>
      <c r="H25" s="8">
        <v>219.207769230769</v>
      </c>
      <c r="I25" s="3"/>
      <c r="J25" s="7">
        <f t="shared" si="15"/>
        <v>0</v>
      </c>
      <c r="K25" s="3"/>
      <c r="L25" s="8">
        <f t="shared" si="16"/>
        <v>-219.207769230769</v>
      </c>
      <c r="M25" s="3"/>
      <c r="N25" s="7">
        <f t="shared" si="17"/>
        <v>-1</v>
      </c>
      <c r="O25" s="11"/>
      <c r="P25" s="8"/>
      <c r="Q25" s="3"/>
      <c r="R25" s="7">
        <f t="shared" si="18"/>
        <v>0</v>
      </c>
      <c r="S25" s="3"/>
      <c r="T25" s="8">
        <v>219.207769230769</v>
      </c>
      <c r="U25" s="3"/>
      <c r="V25" s="7">
        <f t="shared" si="19"/>
        <v>0</v>
      </c>
      <c r="W25" s="3"/>
      <c r="X25" s="8">
        <f t="shared" si="20"/>
        <v>-219.207769230769</v>
      </c>
      <c r="Y25" s="3"/>
      <c r="Z25" s="7">
        <f t="shared" si="21"/>
        <v>-1</v>
      </c>
    </row>
    <row r="26" spans="1:26" s="24" customFormat="1" hidden="1" outlineLevel="2" x14ac:dyDescent="0.3">
      <c r="A26" s="29"/>
      <c r="B26" s="11" t="str">
        <f>CONCATENATE("          ", "6113", " - ", "GROUP INSURANCE")</f>
        <v xml:space="preserve">          6113 - GROUP INSURANCE</v>
      </c>
      <c r="C26" s="11"/>
      <c r="D26" s="8"/>
      <c r="E26" s="3"/>
      <c r="F26" s="7">
        <f t="shared" si="14"/>
        <v>0</v>
      </c>
      <c r="G26" s="3"/>
      <c r="H26" s="8">
        <v>1977</v>
      </c>
      <c r="I26" s="3"/>
      <c r="J26" s="7">
        <f t="shared" si="15"/>
        <v>0</v>
      </c>
      <c r="K26" s="3"/>
      <c r="L26" s="8">
        <f t="shared" si="16"/>
        <v>-1977</v>
      </c>
      <c r="M26" s="3"/>
      <c r="N26" s="7">
        <f t="shared" si="17"/>
        <v>-1</v>
      </c>
      <c r="O26" s="11"/>
      <c r="P26" s="8"/>
      <c r="Q26" s="3"/>
      <c r="R26" s="7">
        <f t="shared" si="18"/>
        <v>0</v>
      </c>
      <c r="S26" s="3"/>
      <c r="T26" s="8">
        <v>1977</v>
      </c>
      <c r="U26" s="3"/>
      <c r="V26" s="7">
        <f t="shared" si="19"/>
        <v>0</v>
      </c>
      <c r="W26" s="3"/>
      <c r="X26" s="8">
        <f t="shared" si="20"/>
        <v>-1977</v>
      </c>
      <c r="Y26" s="3"/>
      <c r="Z26" s="7">
        <f t="shared" si="21"/>
        <v>-1</v>
      </c>
    </row>
    <row r="27" spans="1:26" s="24" customFormat="1" hidden="1" outlineLevel="2" x14ac:dyDescent="0.3">
      <c r="A27" s="29"/>
      <c r="B27" s="11" t="str">
        <f>CONCATENATE("          ", "6114", " - ", "STATE UNEMPLOYMENT INSURANCE")</f>
        <v xml:space="preserve">          6114 - STATE UNEMPLOYMENT INSURANCE</v>
      </c>
      <c r="C27" s="11"/>
      <c r="D27" s="8"/>
      <c r="E27" s="3"/>
      <c r="F27" s="7">
        <f t="shared" si="14"/>
        <v>0</v>
      </c>
      <c r="G27" s="3"/>
      <c r="H27" s="8">
        <v>12.146076923076899</v>
      </c>
      <c r="I27" s="3"/>
      <c r="J27" s="7">
        <f t="shared" si="15"/>
        <v>0</v>
      </c>
      <c r="K27" s="3"/>
      <c r="L27" s="8">
        <f t="shared" si="16"/>
        <v>-12.146076923076899</v>
      </c>
      <c r="M27" s="3"/>
      <c r="N27" s="7">
        <f t="shared" si="17"/>
        <v>-1</v>
      </c>
      <c r="O27" s="11"/>
      <c r="P27" s="8"/>
      <c r="Q27" s="3"/>
      <c r="R27" s="7">
        <f t="shared" si="18"/>
        <v>0</v>
      </c>
      <c r="S27" s="3"/>
      <c r="T27" s="8">
        <v>12.146076923076899</v>
      </c>
      <c r="U27" s="3"/>
      <c r="V27" s="7">
        <f t="shared" si="19"/>
        <v>0</v>
      </c>
      <c r="W27" s="3"/>
      <c r="X27" s="8">
        <f t="shared" si="20"/>
        <v>-12.146076923076899</v>
      </c>
      <c r="Y27" s="3"/>
      <c r="Z27" s="7">
        <f t="shared" si="21"/>
        <v>-1</v>
      </c>
    </row>
    <row r="28" spans="1:26" s="24" customFormat="1" hidden="1" outlineLevel="2" x14ac:dyDescent="0.3">
      <c r="A28" s="29"/>
      <c r="B28" s="11" t="str">
        <f>CONCATENATE("          ", "6115", " - ", "P.E.R.S.")</f>
        <v xml:space="preserve">          6115 - P.E.R.S.</v>
      </c>
      <c r="C28" s="11"/>
      <c r="D28" s="8"/>
      <c r="E28" s="3"/>
      <c r="F28" s="7">
        <f t="shared" si="14"/>
        <v>0</v>
      </c>
      <c r="G28" s="3"/>
      <c r="H28" s="8">
        <v>497.41076923076901</v>
      </c>
      <c r="I28" s="3"/>
      <c r="J28" s="7">
        <f t="shared" si="15"/>
        <v>0</v>
      </c>
      <c r="K28" s="3"/>
      <c r="L28" s="8">
        <f t="shared" si="16"/>
        <v>-497.41076923076901</v>
      </c>
      <c r="M28" s="3"/>
      <c r="N28" s="7">
        <f t="shared" si="17"/>
        <v>-1</v>
      </c>
      <c r="O28" s="11"/>
      <c r="P28" s="8"/>
      <c r="Q28" s="3"/>
      <c r="R28" s="7">
        <f t="shared" si="18"/>
        <v>0</v>
      </c>
      <c r="S28" s="3"/>
      <c r="T28" s="8">
        <v>497.41076923076901</v>
      </c>
      <c r="U28" s="3"/>
      <c r="V28" s="7">
        <f t="shared" si="19"/>
        <v>0</v>
      </c>
      <c r="W28" s="3"/>
      <c r="X28" s="8">
        <f t="shared" si="20"/>
        <v>-497.41076923076901</v>
      </c>
      <c r="Y28" s="3"/>
      <c r="Z28" s="7">
        <f t="shared" si="21"/>
        <v>-1</v>
      </c>
    </row>
    <row r="29" spans="1:26" s="24" customFormat="1" hidden="1" outlineLevel="2" x14ac:dyDescent="0.3">
      <c r="A29" s="29"/>
      <c r="B29" s="11" t="str">
        <f>CONCATENATE("          ", "6116", " - ", "EDUCATIONAL BENEFITS")</f>
        <v xml:space="preserve">          6116 - EDUCATIONAL BENEFITS</v>
      </c>
      <c r="C29" s="11"/>
      <c r="D29" s="8"/>
      <c r="E29" s="3"/>
      <c r="F29" s="7">
        <f t="shared" si="14"/>
        <v>0</v>
      </c>
      <c r="G29" s="3"/>
      <c r="H29" s="8">
        <v>0</v>
      </c>
      <c r="I29" s="3"/>
      <c r="J29" s="7">
        <f t="shared" si="15"/>
        <v>0</v>
      </c>
      <c r="K29" s="3"/>
      <c r="L29" s="8">
        <f t="shared" si="16"/>
        <v>0</v>
      </c>
      <c r="M29" s="3"/>
      <c r="N29" s="7">
        <f t="shared" si="17"/>
        <v>0</v>
      </c>
      <c r="O29" s="11"/>
      <c r="P29" s="8"/>
      <c r="Q29" s="3"/>
      <c r="R29" s="7">
        <f t="shared" si="18"/>
        <v>0</v>
      </c>
      <c r="S29" s="3"/>
      <c r="T29" s="8">
        <v>0</v>
      </c>
      <c r="U29" s="3"/>
      <c r="V29" s="7">
        <f t="shared" si="19"/>
        <v>0</v>
      </c>
      <c r="W29" s="3"/>
      <c r="X29" s="8">
        <f t="shared" si="20"/>
        <v>0</v>
      </c>
      <c r="Y29" s="3"/>
      <c r="Z29" s="7">
        <f t="shared" si="21"/>
        <v>0</v>
      </c>
    </row>
    <row r="30" spans="1:26" s="24" customFormat="1" hidden="1" outlineLevel="2" x14ac:dyDescent="0.3">
      <c r="A30" s="29"/>
      <c r="B30" s="11" t="str">
        <f>CONCATENATE("          ", "6118", " - ", "VACATION")</f>
        <v xml:space="preserve">          6118 - VACATION</v>
      </c>
      <c r="C30" s="11"/>
      <c r="D30" s="8"/>
      <c r="E30" s="3"/>
      <c r="F30" s="7">
        <f t="shared" si="14"/>
        <v>0</v>
      </c>
      <c r="G30" s="3"/>
      <c r="H30" s="8">
        <v>289.19230769230802</v>
      </c>
      <c r="I30" s="3"/>
      <c r="J30" s="7">
        <f t="shared" si="15"/>
        <v>0</v>
      </c>
      <c r="K30" s="3"/>
      <c r="L30" s="8">
        <f t="shared" si="16"/>
        <v>-289.19230769230802</v>
      </c>
      <c r="M30" s="3"/>
      <c r="N30" s="7">
        <f t="shared" si="17"/>
        <v>-1</v>
      </c>
      <c r="O30" s="11"/>
      <c r="P30" s="8"/>
      <c r="Q30" s="3"/>
      <c r="R30" s="7">
        <f t="shared" si="18"/>
        <v>0</v>
      </c>
      <c r="S30" s="3"/>
      <c r="T30" s="8">
        <v>289.19230769230802</v>
      </c>
      <c r="U30" s="3"/>
      <c r="V30" s="7">
        <f t="shared" si="19"/>
        <v>0</v>
      </c>
      <c r="W30" s="3"/>
      <c r="X30" s="8">
        <f t="shared" si="20"/>
        <v>-289.19230769230802</v>
      </c>
      <c r="Y30" s="3"/>
      <c r="Z30" s="7">
        <f t="shared" si="21"/>
        <v>-1</v>
      </c>
    </row>
    <row r="31" spans="1:26" s="24" customFormat="1" hidden="1" outlineLevel="2" x14ac:dyDescent="0.3">
      <c r="A31" s="29"/>
      <c r="B31" s="11" t="str">
        <f>CONCATENATE("          ", "6119", " - ", "SICK LEAVE")</f>
        <v xml:space="preserve">          6119 - SICK LEAVE</v>
      </c>
      <c r="C31" s="11"/>
      <c r="D31" s="8"/>
      <c r="E31" s="3"/>
      <c r="F31" s="7">
        <f t="shared" si="14"/>
        <v>0</v>
      </c>
      <c r="G31" s="3"/>
      <c r="H31" s="8">
        <v>289.19230769230802</v>
      </c>
      <c r="I31" s="3"/>
      <c r="J31" s="7">
        <f t="shared" si="15"/>
        <v>0</v>
      </c>
      <c r="K31" s="3"/>
      <c r="L31" s="8">
        <f t="shared" si="16"/>
        <v>-289.19230769230802</v>
      </c>
      <c r="M31" s="3"/>
      <c r="N31" s="7">
        <f t="shared" si="17"/>
        <v>-1</v>
      </c>
      <c r="O31" s="11"/>
      <c r="P31" s="8"/>
      <c r="Q31" s="3"/>
      <c r="R31" s="7">
        <f t="shared" si="18"/>
        <v>0</v>
      </c>
      <c r="S31" s="3"/>
      <c r="T31" s="8">
        <v>289.19230769230802</v>
      </c>
      <c r="U31" s="3"/>
      <c r="V31" s="7">
        <f t="shared" si="19"/>
        <v>0</v>
      </c>
      <c r="W31" s="3"/>
      <c r="X31" s="8">
        <f t="shared" si="20"/>
        <v>-289.19230769230802</v>
      </c>
      <c r="Y31" s="3"/>
      <c r="Z31" s="7">
        <f t="shared" si="21"/>
        <v>-1</v>
      </c>
    </row>
    <row r="32" spans="1:26" s="27" customFormat="1" outlineLevel="1" collapsed="1" x14ac:dyDescent="0.3">
      <c r="A32" s="28"/>
      <c r="B32" s="14" t="str">
        <f>CONCATENATE("     ","*Payroll                                          ")</f>
        <v xml:space="preserve">     *Payroll                                          </v>
      </c>
      <c r="C32" s="14"/>
      <c r="D32" s="1">
        <f>SUM(OSRRefD22_1x_0)</f>
        <v>0</v>
      </c>
      <c r="E32" s="1"/>
      <c r="F32" s="5">
        <f t="shared" ref="F32:F42" si="22">IF(D$12=0,0,D32/D$12)</f>
        <v>0</v>
      </c>
      <c r="G32" s="1"/>
      <c r="H32" s="1">
        <f>SUM(OSRRefH22_1x_0)</f>
        <v>5205.4615384615399</v>
      </c>
      <c r="I32" s="1"/>
      <c r="J32" s="5">
        <f t="shared" ref="J32:J42" si="23">IF(H$12=0,0,H32/H$12)</f>
        <v>0</v>
      </c>
      <c r="K32" s="1"/>
      <c r="L32" s="1">
        <f t="shared" ref="L32:L42" si="24">+D32-H32</f>
        <v>-5205.4615384615399</v>
      </c>
      <c r="M32" s="1"/>
      <c r="N32" s="5">
        <f t="shared" ref="N32:N42" si="25">IF(H32=0,0,L32/H32)</f>
        <v>-1</v>
      </c>
      <c r="O32" s="14"/>
      <c r="P32" s="1">
        <f>SUM(OSRRefP22_1x_0)</f>
        <v>0</v>
      </c>
      <c r="Q32" s="1"/>
      <c r="R32" s="5">
        <f t="shared" ref="R32:R42" si="26">IF(P$12=0,0,P32/P$12)</f>
        <v>0</v>
      </c>
      <c r="S32" s="1"/>
      <c r="T32" s="1">
        <f>SUM(OSRRefT22_1x_0)</f>
        <v>5205.4615384615399</v>
      </c>
      <c r="U32" s="1"/>
      <c r="V32" s="5">
        <f t="shared" ref="V32:V42" si="27">IF(T$12=0,0,T32/T$12)</f>
        <v>0</v>
      </c>
      <c r="W32" s="1"/>
      <c r="X32" s="1">
        <f t="shared" ref="X32:X42" si="28">+P32-T32</f>
        <v>-5205.4615384615399</v>
      </c>
      <c r="Y32" s="1"/>
      <c r="Z32" s="5">
        <f t="shared" ref="Z32:Z42" si="29">IF(T32=0,0,X32/T32)</f>
        <v>-1</v>
      </c>
    </row>
    <row r="33" spans="1:26" s="24" customFormat="1" hidden="1" outlineLevel="2" x14ac:dyDescent="0.3">
      <c r="A33" s="29"/>
      <c r="B33" s="11" t="str">
        <f>CONCATENATE("          ", "6001", " - ", "ADMINISTRATIVE SALARIES")</f>
        <v xml:space="preserve">          6001 - ADMINISTRATIVE SALARIES</v>
      </c>
      <c r="C33" s="11"/>
      <c r="D33" s="8"/>
      <c r="E33" s="3"/>
      <c r="F33" s="7">
        <f t="shared" si="22"/>
        <v>0</v>
      </c>
      <c r="G33" s="3"/>
      <c r="H33" s="8">
        <v>0</v>
      </c>
      <c r="I33" s="3"/>
      <c r="J33" s="7">
        <f t="shared" si="23"/>
        <v>0</v>
      </c>
      <c r="K33" s="3"/>
      <c r="L33" s="8">
        <f t="shared" si="24"/>
        <v>0</v>
      </c>
      <c r="M33" s="3"/>
      <c r="N33" s="7">
        <f t="shared" si="25"/>
        <v>0</v>
      </c>
      <c r="O33" s="11"/>
      <c r="P33" s="8"/>
      <c r="Q33" s="3"/>
      <c r="R33" s="7">
        <f t="shared" si="26"/>
        <v>0</v>
      </c>
      <c r="S33" s="3"/>
      <c r="T33" s="8">
        <v>0</v>
      </c>
      <c r="U33" s="3"/>
      <c r="V33" s="7">
        <f t="shared" si="27"/>
        <v>0</v>
      </c>
      <c r="W33" s="3"/>
      <c r="X33" s="8">
        <f t="shared" si="28"/>
        <v>0</v>
      </c>
      <c r="Y33" s="3"/>
      <c r="Z33" s="7">
        <f t="shared" si="29"/>
        <v>0</v>
      </c>
    </row>
    <row r="34" spans="1:26" s="24" customFormat="1" hidden="1" outlineLevel="2" x14ac:dyDescent="0.3">
      <c r="A34" s="29"/>
      <c r="B34" s="11" t="str">
        <f>CONCATENATE("          ", "6002", " - ", "STAFF SALARIES")</f>
        <v xml:space="preserve">          6002 - STAFF SALARIES</v>
      </c>
      <c r="C34" s="11"/>
      <c r="D34" s="8"/>
      <c r="E34" s="3"/>
      <c r="F34" s="7">
        <f t="shared" si="22"/>
        <v>0</v>
      </c>
      <c r="G34" s="3"/>
      <c r="H34" s="8">
        <v>5205.4615384615399</v>
      </c>
      <c r="I34" s="3"/>
      <c r="J34" s="7">
        <f t="shared" si="23"/>
        <v>0</v>
      </c>
      <c r="K34" s="3"/>
      <c r="L34" s="8">
        <f t="shared" si="24"/>
        <v>-5205.4615384615399</v>
      </c>
      <c r="M34" s="3"/>
      <c r="N34" s="7">
        <f t="shared" si="25"/>
        <v>-1</v>
      </c>
      <c r="O34" s="11"/>
      <c r="P34" s="8"/>
      <c r="Q34" s="3"/>
      <c r="R34" s="7">
        <f t="shared" si="26"/>
        <v>0</v>
      </c>
      <c r="S34" s="3"/>
      <c r="T34" s="8">
        <v>5205.4615384615399</v>
      </c>
      <c r="U34" s="3"/>
      <c r="V34" s="7">
        <f t="shared" si="27"/>
        <v>0</v>
      </c>
      <c r="W34" s="3"/>
      <c r="X34" s="8">
        <f t="shared" si="28"/>
        <v>-5205.4615384615399</v>
      </c>
      <c r="Y34" s="3"/>
      <c r="Z34" s="7">
        <f t="shared" si="29"/>
        <v>-1</v>
      </c>
    </row>
    <row r="35" spans="1:26" s="24" customFormat="1" hidden="1" outlineLevel="2" x14ac:dyDescent="0.3">
      <c r="A35" s="29"/>
      <c r="B35" s="11" t="str">
        <f>CONCATENATE("          ", "6003", " - ", "STAFF HOURLY-9 MONTH")</f>
        <v xml:space="preserve">          6003 - STAFF HOURLY-9 MONTH</v>
      </c>
      <c r="C35" s="11"/>
      <c r="D35" s="8"/>
      <c r="E35" s="3"/>
      <c r="F35" s="7">
        <f t="shared" si="22"/>
        <v>0</v>
      </c>
      <c r="G35" s="3"/>
      <c r="H35" s="8">
        <v>0</v>
      </c>
      <c r="I35" s="3"/>
      <c r="J35" s="7">
        <f t="shared" si="23"/>
        <v>0</v>
      </c>
      <c r="K35" s="3"/>
      <c r="L35" s="8">
        <f t="shared" si="24"/>
        <v>0</v>
      </c>
      <c r="M35" s="3"/>
      <c r="N35" s="7">
        <f t="shared" si="25"/>
        <v>0</v>
      </c>
      <c r="O35" s="11"/>
      <c r="P35" s="8"/>
      <c r="Q35" s="3"/>
      <c r="R35" s="7">
        <f t="shared" si="26"/>
        <v>0</v>
      </c>
      <c r="S35" s="3"/>
      <c r="T35" s="8">
        <v>0</v>
      </c>
      <c r="U35" s="3"/>
      <c r="V35" s="7">
        <f t="shared" si="27"/>
        <v>0</v>
      </c>
      <c r="W35" s="3"/>
      <c r="X35" s="8">
        <f t="shared" si="28"/>
        <v>0</v>
      </c>
      <c r="Y35" s="3"/>
      <c r="Z35" s="7">
        <f t="shared" si="29"/>
        <v>0</v>
      </c>
    </row>
    <row r="36" spans="1:26" s="24" customFormat="1" hidden="1" outlineLevel="2" x14ac:dyDescent="0.3">
      <c r="A36" s="29"/>
      <c r="B36" s="11" t="str">
        <f>CONCATENATE("          ", "6004", " - ", "STAFF HOURLY")</f>
        <v xml:space="preserve">          6004 - STAFF HOURLY</v>
      </c>
      <c r="C36" s="11"/>
      <c r="D36" s="8"/>
      <c r="E36" s="3"/>
      <c r="F36" s="7">
        <f t="shared" si="22"/>
        <v>0</v>
      </c>
      <c r="G36" s="3"/>
      <c r="H36" s="8">
        <v>0</v>
      </c>
      <c r="I36" s="3"/>
      <c r="J36" s="7">
        <f t="shared" si="23"/>
        <v>0</v>
      </c>
      <c r="K36" s="3"/>
      <c r="L36" s="8">
        <f t="shared" si="24"/>
        <v>0</v>
      </c>
      <c r="M36" s="3"/>
      <c r="N36" s="7">
        <f t="shared" si="25"/>
        <v>0</v>
      </c>
      <c r="O36" s="11"/>
      <c r="P36" s="8"/>
      <c r="Q36" s="3"/>
      <c r="R36" s="7">
        <f t="shared" si="26"/>
        <v>0</v>
      </c>
      <c r="S36" s="3"/>
      <c r="T36" s="8">
        <v>0</v>
      </c>
      <c r="U36" s="3"/>
      <c r="V36" s="7">
        <f t="shared" si="27"/>
        <v>0</v>
      </c>
      <c r="W36" s="3"/>
      <c r="X36" s="8">
        <f t="shared" si="28"/>
        <v>0</v>
      </c>
      <c r="Y36" s="3"/>
      <c r="Z36" s="7">
        <f t="shared" si="29"/>
        <v>0</v>
      </c>
    </row>
    <row r="37" spans="1:26" s="24" customFormat="1" hidden="1" outlineLevel="2" x14ac:dyDescent="0.3">
      <c r="A37" s="29"/>
      <c r="B37" s="11" t="str">
        <f>CONCATENATE("          ", "6005", " - ", "TEMPORARY WAGES-HOURLY")</f>
        <v xml:space="preserve">          6005 - TEMPORARY WAGES-HOURLY</v>
      </c>
      <c r="C37" s="11"/>
      <c r="D37" s="8"/>
      <c r="E37" s="3"/>
      <c r="F37" s="7">
        <f t="shared" si="22"/>
        <v>0</v>
      </c>
      <c r="G37" s="3"/>
      <c r="H37" s="8">
        <v>0</v>
      </c>
      <c r="I37" s="3"/>
      <c r="J37" s="7">
        <f t="shared" si="23"/>
        <v>0</v>
      </c>
      <c r="K37" s="3"/>
      <c r="L37" s="8">
        <f t="shared" si="24"/>
        <v>0</v>
      </c>
      <c r="M37" s="3"/>
      <c r="N37" s="7">
        <f t="shared" si="25"/>
        <v>0</v>
      </c>
      <c r="O37" s="11"/>
      <c r="P37" s="8"/>
      <c r="Q37" s="3"/>
      <c r="R37" s="7">
        <f t="shared" si="26"/>
        <v>0</v>
      </c>
      <c r="S37" s="3"/>
      <c r="T37" s="8">
        <v>0</v>
      </c>
      <c r="U37" s="3"/>
      <c r="V37" s="7">
        <f t="shared" si="27"/>
        <v>0</v>
      </c>
      <c r="W37" s="3"/>
      <c r="X37" s="8">
        <f t="shared" si="28"/>
        <v>0</v>
      </c>
      <c r="Y37" s="3"/>
      <c r="Z37" s="7">
        <f t="shared" si="29"/>
        <v>0</v>
      </c>
    </row>
    <row r="38" spans="1:26" s="24" customFormat="1" hidden="1" outlineLevel="2" x14ac:dyDescent="0.3">
      <c r="A38" s="29"/>
      <c r="B38" s="11" t="str">
        <f>CONCATENATE("          ", "6006", " - ", "TEMPORARY PART TIME")</f>
        <v xml:space="preserve">          6006 - TEMPORARY PART TIME</v>
      </c>
      <c r="C38" s="11"/>
      <c r="D38" s="8"/>
      <c r="E38" s="3"/>
      <c r="F38" s="7">
        <f t="shared" si="22"/>
        <v>0</v>
      </c>
      <c r="G38" s="3"/>
      <c r="H38" s="8">
        <v>0</v>
      </c>
      <c r="I38" s="3"/>
      <c r="J38" s="7">
        <f t="shared" si="23"/>
        <v>0</v>
      </c>
      <c r="K38" s="3"/>
      <c r="L38" s="8">
        <f t="shared" si="24"/>
        <v>0</v>
      </c>
      <c r="M38" s="3"/>
      <c r="N38" s="7">
        <f t="shared" si="25"/>
        <v>0</v>
      </c>
      <c r="O38" s="11"/>
      <c r="P38" s="8"/>
      <c r="Q38" s="3"/>
      <c r="R38" s="7">
        <f t="shared" si="26"/>
        <v>0</v>
      </c>
      <c r="S38" s="3"/>
      <c r="T38" s="8">
        <v>0</v>
      </c>
      <c r="U38" s="3"/>
      <c r="V38" s="7">
        <f t="shared" si="27"/>
        <v>0</v>
      </c>
      <c r="W38" s="3"/>
      <c r="X38" s="8">
        <f t="shared" si="28"/>
        <v>0</v>
      </c>
      <c r="Y38" s="3"/>
      <c r="Z38" s="7">
        <f t="shared" si="29"/>
        <v>0</v>
      </c>
    </row>
    <row r="39" spans="1:26" s="24" customFormat="1" hidden="1" outlineLevel="2" x14ac:dyDescent="0.3">
      <c r="A39" s="29"/>
      <c r="B39" s="11" t="str">
        <f>CONCATENATE("          ", "6007", " - ", "STUDENT HOURLY")</f>
        <v xml:space="preserve">          6007 - STUDENT HOURLY</v>
      </c>
      <c r="C39" s="11"/>
      <c r="D39" s="8"/>
      <c r="E39" s="3"/>
      <c r="F39" s="7">
        <f t="shared" si="22"/>
        <v>0</v>
      </c>
      <c r="G39" s="3"/>
      <c r="H39" s="8">
        <v>0</v>
      </c>
      <c r="I39" s="3"/>
      <c r="J39" s="7">
        <f t="shared" si="23"/>
        <v>0</v>
      </c>
      <c r="K39" s="3"/>
      <c r="L39" s="8">
        <f t="shared" si="24"/>
        <v>0</v>
      </c>
      <c r="M39" s="3"/>
      <c r="N39" s="7">
        <f t="shared" si="25"/>
        <v>0</v>
      </c>
      <c r="O39" s="11"/>
      <c r="P39" s="8"/>
      <c r="Q39" s="3"/>
      <c r="R39" s="7">
        <f t="shared" si="26"/>
        <v>0</v>
      </c>
      <c r="S39" s="3"/>
      <c r="T39" s="8">
        <v>0</v>
      </c>
      <c r="U39" s="3"/>
      <c r="V39" s="7">
        <f t="shared" si="27"/>
        <v>0</v>
      </c>
      <c r="W39" s="3"/>
      <c r="X39" s="8">
        <f t="shared" si="28"/>
        <v>0</v>
      </c>
      <c r="Y39" s="3"/>
      <c r="Z39" s="7">
        <f t="shared" si="29"/>
        <v>0</v>
      </c>
    </row>
    <row r="40" spans="1:26" s="24" customFormat="1" hidden="1" outlineLevel="2" x14ac:dyDescent="0.3">
      <c r="A40" s="29"/>
      <c r="B40" s="11" t="str">
        <f>CONCATENATE("          ", "6008", " - ", "STUDENT HOURLY-FICA EXEMPT")</f>
        <v xml:space="preserve">          6008 - STUDENT HOURLY-FICA EXEMPT</v>
      </c>
      <c r="C40" s="11"/>
      <c r="D40" s="8"/>
      <c r="E40" s="3"/>
      <c r="F40" s="7">
        <f t="shared" si="22"/>
        <v>0</v>
      </c>
      <c r="G40" s="3"/>
      <c r="H40" s="8">
        <v>0</v>
      </c>
      <c r="I40" s="3"/>
      <c r="J40" s="7">
        <f t="shared" si="23"/>
        <v>0</v>
      </c>
      <c r="K40" s="3"/>
      <c r="L40" s="8">
        <f t="shared" si="24"/>
        <v>0</v>
      </c>
      <c r="M40" s="3"/>
      <c r="N40" s="7">
        <f t="shared" si="25"/>
        <v>0</v>
      </c>
      <c r="O40" s="11"/>
      <c r="P40" s="8"/>
      <c r="Q40" s="3"/>
      <c r="R40" s="7">
        <f t="shared" si="26"/>
        <v>0</v>
      </c>
      <c r="S40" s="3"/>
      <c r="T40" s="8">
        <v>0</v>
      </c>
      <c r="U40" s="3"/>
      <c r="V40" s="7">
        <f t="shared" si="27"/>
        <v>0</v>
      </c>
      <c r="W40" s="3"/>
      <c r="X40" s="8">
        <f t="shared" si="28"/>
        <v>0</v>
      </c>
      <c r="Y40" s="3"/>
      <c r="Z40" s="7">
        <f t="shared" si="29"/>
        <v>0</v>
      </c>
    </row>
    <row r="41" spans="1:26" s="24" customFormat="1" hidden="1" outlineLevel="2" x14ac:dyDescent="0.3">
      <c r="A41" s="29"/>
      <c r="B41" s="11" t="str">
        <f>CONCATENATE("          ", "6009", " - ", "TEMPORARY-SEASONAL")</f>
        <v xml:space="preserve">          6009 - TEMPORARY-SEASONAL</v>
      </c>
      <c r="C41" s="11"/>
      <c r="D41" s="8"/>
      <c r="E41" s="3"/>
      <c r="F41" s="7">
        <f t="shared" si="22"/>
        <v>0</v>
      </c>
      <c r="G41" s="3"/>
      <c r="H41" s="8">
        <v>0</v>
      </c>
      <c r="I41" s="3"/>
      <c r="J41" s="7">
        <f t="shared" si="23"/>
        <v>0</v>
      </c>
      <c r="K41" s="3"/>
      <c r="L41" s="8">
        <f t="shared" si="24"/>
        <v>0</v>
      </c>
      <c r="M41" s="3"/>
      <c r="N41" s="7">
        <f t="shared" si="25"/>
        <v>0</v>
      </c>
      <c r="O41" s="11"/>
      <c r="P41" s="8"/>
      <c r="Q41" s="3"/>
      <c r="R41" s="7">
        <f t="shared" si="26"/>
        <v>0</v>
      </c>
      <c r="S41" s="3"/>
      <c r="T41" s="8">
        <v>0</v>
      </c>
      <c r="U41" s="3"/>
      <c r="V41" s="7">
        <f t="shared" si="27"/>
        <v>0</v>
      </c>
      <c r="W41" s="3"/>
      <c r="X41" s="8">
        <f t="shared" si="28"/>
        <v>0</v>
      </c>
      <c r="Y41" s="3"/>
      <c r="Z41" s="7">
        <f t="shared" si="29"/>
        <v>0</v>
      </c>
    </row>
    <row r="42" spans="1:26" s="24" customFormat="1" hidden="1" outlineLevel="2" x14ac:dyDescent="0.3">
      <c r="A42" s="29"/>
      <c r="B42" s="11" t="str">
        <f>CONCATENATE("          ", "6010", " - ", "GRATUITY")</f>
        <v xml:space="preserve">          6010 - GRATUITY</v>
      </c>
      <c r="C42" s="11"/>
      <c r="D42" s="8"/>
      <c r="E42" s="3"/>
      <c r="F42" s="7">
        <f t="shared" si="22"/>
        <v>0</v>
      </c>
      <c r="G42" s="3"/>
      <c r="H42" s="8">
        <v>0</v>
      </c>
      <c r="I42" s="3"/>
      <c r="J42" s="7">
        <f t="shared" si="23"/>
        <v>0</v>
      </c>
      <c r="K42" s="3"/>
      <c r="L42" s="8">
        <f t="shared" si="24"/>
        <v>0</v>
      </c>
      <c r="M42" s="3"/>
      <c r="N42" s="7">
        <f t="shared" si="25"/>
        <v>0</v>
      </c>
      <c r="O42" s="11"/>
      <c r="P42" s="8"/>
      <c r="Q42" s="3"/>
      <c r="R42" s="7">
        <f t="shared" si="26"/>
        <v>0</v>
      </c>
      <c r="S42" s="3"/>
      <c r="T42" s="8">
        <v>0</v>
      </c>
      <c r="U42" s="3"/>
      <c r="V42" s="7">
        <f t="shared" si="27"/>
        <v>0</v>
      </c>
      <c r="W42" s="3"/>
      <c r="X42" s="8">
        <f t="shared" si="28"/>
        <v>0</v>
      </c>
      <c r="Y42" s="3"/>
      <c r="Z42" s="7">
        <f t="shared" si="29"/>
        <v>0</v>
      </c>
    </row>
    <row r="43" spans="1:26" s="27" customFormat="1" outlineLevel="1" collapsed="1" x14ac:dyDescent="0.3">
      <c r="A43" s="28"/>
      <c r="B43" s="14" t="str">
        <f>CONCATENATE("     ","Bad Debts/Over/Short                              ")</f>
        <v xml:space="preserve">     Bad Debts/Over/Short                              </v>
      </c>
      <c r="C43" s="14"/>
      <c r="D43" s="1">
        <f>SUM(OSRRefD22_2x_0)</f>
        <v>0</v>
      </c>
      <c r="E43" s="1"/>
      <c r="F43" s="5">
        <f t="shared" ref="F43:F49" si="30">IF(D$12=0,0,D43/D$12)</f>
        <v>0</v>
      </c>
      <c r="G43" s="1"/>
      <c r="H43" s="1">
        <f>SUM(OSRRefH22_2x_0)</f>
        <v>0</v>
      </c>
      <c r="I43" s="1"/>
      <c r="J43" s="5">
        <f t="shared" ref="J43:J49" si="31">IF(H$12=0,0,H43/H$12)</f>
        <v>0</v>
      </c>
      <c r="K43" s="1"/>
      <c r="L43" s="1">
        <f t="shared" ref="L43:L49" si="32">+D43-H43</f>
        <v>0</v>
      </c>
      <c r="M43" s="1"/>
      <c r="N43" s="5">
        <f t="shared" ref="N43:N49" si="33">IF(H43=0,0,L43/H43)</f>
        <v>0</v>
      </c>
      <c r="O43" s="14"/>
      <c r="P43" s="1">
        <f>SUM(OSRRefP22_2x_0)</f>
        <v>0</v>
      </c>
      <c r="Q43" s="1"/>
      <c r="R43" s="5">
        <f t="shared" ref="R43:R49" si="34">IF(P$12=0,0,P43/P$12)</f>
        <v>0</v>
      </c>
      <c r="S43" s="1"/>
      <c r="T43" s="1">
        <f>SUM(OSRRefT22_2x_0)</f>
        <v>0</v>
      </c>
      <c r="U43" s="1"/>
      <c r="V43" s="5">
        <f t="shared" ref="V43:V49" si="35">IF(T$12=0,0,T43/T$12)</f>
        <v>0</v>
      </c>
      <c r="W43" s="1"/>
      <c r="X43" s="1">
        <f t="shared" ref="X43:X49" si="36">+P43-T43</f>
        <v>0</v>
      </c>
      <c r="Y43" s="1"/>
      <c r="Z43" s="5">
        <f t="shared" ref="Z43:Z49" si="37">IF(T43=0,0,X43/T43)</f>
        <v>0</v>
      </c>
    </row>
    <row r="44" spans="1:26" s="24" customFormat="1" hidden="1" outlineLevel="2" x14ac:dyDescent="0.3">
      <c r="A44" s="29"/>
      <c r="B44" s="11" t="str">
        <f>CONCATENATE("          ", "6272", " - ", "CASH (OVER/SHORT)")</f>
        <v xml:space="preserve">          6272 - CASH (OVER/SHORT)</v>
      </c>
      <c r="C44" s="11"/>
      <c r="D44" s="8"/>
      <c r="E44" s="3"/>
      <c r="F44" s="7">
        <f t="shared" si="30"/>
        <v>0</v>
      </c>
      <c r="G44" s="3"/>
      <c r="H44" s="8">
        <v>0</v>
      </c>
      <c r="I44" s="3"/>
      <c r="J44" s="7">
        <f t="shared" si="31"/>
        <v>0</v>
      </c>
      <c r="K44" s="3"/>
      <c r="L44" s="8">
        <f t="shared" si="32"/>
        <v>0</v>
      </c>
      <c r="M44" s="3"/>
      <c r="N44" s="7">
        <f t="shared" si="33"/>
        <v>0</v>
      </c>
      <c r="O44" s="11"/>
      <c r="P44" s="8"/>
      <c r="Q44" s="3"/>
      <c r="R44" s="7">
        <f t="shared" si="34"/>
        <v>0</v>
      </c>
      <c r="S44" s="3"/>
      <c r="T44" s="8">
        <v>0</v>
      </c>
      <c r="U44" s="3"/>
      <c r="V44" s="7">
        <f t="shared" si="35"/>
        <v>0</v>
      </c>
      <c r="W44" s="3"/>
      <c r="X44" s="8">
        <f t="shared" si="36"/>
        <v>0</v>
      </c>
      <c r="Y44" s="3"/>
      <c r="Z44" s="7">
        <f t="shared" si="37"/>
        <v>0</v>
      </c>
    </row>
    <row r="45" spans="1:26" s="27" customFormat="1" outlineLevel="1" collapsed="1" x14ac:dyDescent="0.3">
      <c r="A45" s="28"/>
      <c r="B45" s="14" t="str">
        <f>CONCATENATE("     ","Bank/card Fees                                    ")</f>
        <v xml:space="preserve">     Bank/card Fees                                    </v>
      </c>
      <c r="C45" s="14"/>
      <c r="D45" s="1">
        <f>SUM(OSRRefD22_3x_0)</f>
        <v>75.459999999999994</v>
      </c>
      <c r="E45" s="1"/>
      <c r="F45" s="5">
        <f t="shared" si="30"/>
        <v>0</v>
      </c>
      <c r="G45" s="1"/>
      <c r="H45" s="1">
        <f>SUM(OSRRefH22_3x_0)</f>
        <v>0</v>
      </c>
      <c r="I45" s="1"/>
      <c r="J45" s="5">
        <f t="shared" si="31"/>
        <v>0</v>
      </c>
      <c r="K45" s="1"/>
      <c r="L45" s="1">
        <f t="shared" si="32"/>
        <v>75.459999999999994</v>
      </c>
      <c r="M45" s="1"/>
      <c r="N45" s="5">
        <f t="shared" si="33"/>
        <v>0</v>
      </c>
      <c r="O45" s="14"/>
      <c r="P45" s="1">
        <f>SUM(OSRRefP22_3x_0)</f>
        <v>75.459999999999994</v>
      </c>
      <c r="Q45" s="1"/>
      <c r="R45" s="5">
        <f t="shared" si="34"/>
        <v>0</v>
      </c>
      <c r="S45" s="1"/>
      <c r="T45" s="1">
        <f>SUM(OSRRefT22_3x_0)</f>
        <v>0</v>
      </c>
      <c r="U45" s="1"/>
      <c r="V45" s="5">
        <f t="shared" si="35"/>
        <v>0</v>
      </c>
      <c r="W45" s="1"/>
      <c r="X45" s="1">
        <f t="shared" si="36"/>
        <v>75.459999999999994</v>
      </c>
      <c r="Y45" s="1"/>
      <c r="Z45" s="5">
        <f t="shared" si="37"/>
        <v>0</v>
      </c>
    </row>
    <row r="46" spans="1:26" s="24" customFormat="1" hidden="1" outlineLevel="2" x14ac:dyDescent="0.3">
      <c r="A46" s="29"/>
      <c r="B46" s="11" t="str">
        <f>CONCATENATE("          ", "6381", " - ", "BANK/CREDIT CARD FEES")</f>
        <v xml:space="preserve">          6381 - BANK/CREDIT CARD FEES</v>
      </c>
      <c r="C46" s="11"/>
      <c r="D46" s="8">
        <v>75.459999999999994</v>
      </c>
      <c r="E46" s="3"/>
      <c r="F46" s="7">
        <f t="shared" si="30"/>
        <v>0</v>
      </c>
      <c r="G46" s="3"/>
      <c r="H46" s="8">
        <v>0</v>
      </c>
      <c r="I46" s="3"/>
      <c r="J46" s="7">
        <f t="shared" si="31"/>
        <v>0</v>
      </c>
      <c r="K46" s="3"/>
      <c r="L46" s="8">
        <f t="shared" si="32"/>
        <v>75.459999999999994</v>
      </c>
      <c r="M46" s="3"/>
      <c r="N46" s="7">
        <f t="shared" si="33"/>
        <v>0</v>
      </c>
      <c r="O46" s="11"/>
      <c r="P46" s="8">
        <v>75.459999999999994</v>
      </c>
      <c r="Q46" s="3"/>
      <c r="R46" s="7">
        <f t="shared" si="34"/>
        <v>0</v>
      </c>
      <c r="S46" s="3"/>
      <c r="T46" s="8">
        <v>0</v>
      </c>
      <c r="U46" s="3"/>
      <c r="V46" s="7">
        <f t="shared" si="35"/>
        <v>0</v>
      </c>
      <c r="W46" s="3"/>
      <c r="X46" s="8">
        <f t="shared" si="36"/>
        <v>75.459999999999994</v>
      </c>
      <c r="Y46" s="3"/>
      <c r="Z46" s="7">
        <f t="shared" si="37"/>
        <v>0</v>
      </c>
    </row>
    <row r="47" spans="1:26" s="27" customFormat="1" outlineLevel="1" collapsed="1" x14ac:dyDescent="0.3">
      <c r="A47" s="28"/>
      <c r="B47" s="14" t="str">
        <f>CONCATENATE("     ","Depreciation                                      ")</f>
        <v xml:space="preserve">     Depreciation                                      </v>
      </c>
      <c r="C47" s="14"/>
      <c r="D47" s="1">
        <f>SUM(OSRRefD22_4x_0)</f>
        <v>7135.5400000000009</v>
      </c>
      <c r="E47" s="1"/>
      <c r="F47" s="5">
        <f t="shared" si="30"/>
        <v>0</v>
      </c>
      <c r="G47" s="1"/>
      <c r="H47" s="1">
        <f>SUM(OSRRefH22_4x_0)</f>
        <v>7134</v>
      </c>
      <c r="I47" s="1"/>
      <c r="J47" s="5">
        <f t="shared" si="31"/>
        <v>0</v>
      </c>
      <c r="K47" s="1"/>
      <c r="L47" s="1">
        <f t="shared" si="32"/>
        <v>1.5400000000008731</v>
      </c>
      <c r="M47" s="1"/>
      <c r="N47" s="5">
        <f t="shared" si="33"/>
        <v>2.1586767591826088E-4</v>
      </c>
      <c r="O47" s="14"/>
      <c r="P47" s="1">
        <f>SUM(OSRRefP22_4x_0)</f>
        <v>7135.5400000000009</v>
      </c>
      <c r="Q47" s="1"/>
      <c r="R47" s="5">
        <f t="shared" si="34"/>
        <v>0</v>
      </c>
      <c r="S47" s="1"/>
      <c r="T47" s="1">
        <f>SUM(OSRRefT22_4x_0)</f>
        <v>7134</v>
      </c>
      <c r="U47" s="1"/>
      <c r="V47" s="5">
        <f t="shared" si="35"/>
        <v>0</v>
      </c>
      <c r="W47" s="1"/>
      <c r="X47" s="1">
        <f t="shared" si="36"/>
        <v>1.5400000000008731</v>
      </c>
      <c r="Y47" s="1"/>
      <c r="Z47" s="5">
        <f t="shared" si="37"/>
        <v>2.1586767591826088E-4</v>
      </c>
    </row>
    <row r="48" spans="1:26" s="24" customFormat="1" hidden="1" outlineLevel="2" x14ac:dyDescent="0.3">
      <c r="A48" s="29"/>
      <c r="B48" s="11" t="str">
        <f>CONCATENATE("          ", "6321", " - ", "BUILDING DEPRECIATION")</f>
        <v xml:space="preserve">          6321 - BUILDING DEPRECIATION</v>
      </c>
      <c r="C48" s="11"/>
      <c r="D48" s="8">
        <v>5080.51</v>
      </c>
      <c r="E48" s="3"/>
      <c r="F48" s="7">
        <f t="shared" si="30"/>
        <v>0</v>
      </c>
      <c r="G48" s="3"/>
      <c r="H48" s="8"/>
      <c r="I48" s="3"/>
      <c r="J48" s="7">
        <f t="shared" si="31"/>
        <v>0</v>
      </c>
      <c r="K48" s="3"/>
      <c r="L48" s="8">
        <f t="shared" si="32"/>
        <v>5080.51</v>
      </c>
      <c r="M48" s="3"/>
      <c r="N48" s="7">
        <f t="shared" si="33"/>
        <v>0</v>
      </c>
      <c r="O48" s="11"/>
      <c r="P48" s="8">
        <v>5080.51</v>
      </c>
      <c r="Q48" s="3"/>
      <c r="R48" s="7">
        <f t="shared" si="34"/>
        <v>0</v>
      </c>
      <c r="S48" s="3"/>
      <c r="T48" s="8"/>
      <c r="U48" s="3"/>
      <c r="V48" s="7">
        <f t="shared" si="35"/>
        <v>0</v>
      </c>
      <c r="W48" s="3"/>
      <c r="X48" s="8">
        <f t="shared" si="36"/>
        <v>5080.51</v>
      </c>
      <c r="Y48" s="3"/>
      <c r="Z48" s="7">
        <f t="shared" si="37"/>
        <v>0</v>
      </c>
    </row>
    <row r="49" spans="1:26" s="24" customFormat="1" hidden="1" outlineLevel="2" x14ac:dyDescent="0.3">
      <c r="A49" s="29"/>
      <c r="B49" s="11" t="str">
        <f>CONCATENATE("          ", "6322", " - ", "EQUIPMENT DEPRECIATION EXPENSE")</f>
        <v xml:space="preserve">          6322 - EQUIPMENT DEPRECIATION EXPENSE</v>
      </c>
      <c r="C49" s="11"/>
      <c r="D49" s="8">
        <v>2055.0300000000002</v>
      </c>
      <c r="E49" s="3"/>
      <c r="F49" s="7">
        <f t="shared" si="30"/>
        <v>0</v>
      </c>
      <c r="G49" s="3"/>
      <c r="H49" s="8">
        <v>7134</v>
      </c>
      <c r="I49" s="3"/>
      <c r="J49" s="7">
        <f t="shared" si="31"/>
        <v>0</v>
      </c>
      <c r="K49" s="3"/>
      <c r="L49" s="8">
        <f t="shared" si="32"/>
        <v>-5078.9699999999993</v>
      </c>
      <c r="M49" s="3"/>
      <c r="N49" s="7">
        <f t="shared" si="33"/>
        <v>-0.71193860386879726</v>
      </c>
      <c r="O49" s="11"/>
      <c r="P49" s="8">
        <v>2055.0300000000002</v>
      </c>
      <c r="Q49" s="3"/>
      <c r="R49" s="7">
        <f t="shared" si="34"/>
        <v>0</v>
      </c>
      <c r="S49" s="3"/>
      <c r="T49" s="8">
        <v>7134</v>
      </c>
      <c r="U49" s="3"/>
      <c r="V49" s="7">
        <f t="shared" si="35"/>
        <v>0</v>
      </c>
      <c r="W49" s="3"/>
      <c r="X49" s="8">
        <f t="shared" si="36"/>
        <v>-5078.9699999999993</v>
      </c>
      <c r="Y49" s="3"/>
      <c r="Z49" s="7">
        <f t="shared" si="37"/>
        <v>-0.71193860386879726</v>
      </c>
    </row>
    <row r="50" spans="1:26" s="27" customFormat="1" outlineLevel="1" collapsed="1" x14ac:dyDescent="0.3">
      <c r="A50" s="28"/>
      <c r="B50" s="14" t="str">
        <f>CONCATENATE("     ","Equipment Rental                                  ")</f>
        <v xml:space="preserve">     Equipment Rental                                  </v>
      </c>
      <c r="C50" s="14"/>
      <c r="D50" s="1">
        <f>SUM(OSRRefD22_5x_0)</f>
        <v>0</v>
      </c>
      <c r="E50" s="1"/>
      <c r="F50" s="5">
        <f t="shared" ref="F50:F58" si="38">IF(D$12=0,0,D50/D$12)</f>
        <v>0</v>
      </c>
      <c r="G50" s="1"/>
      <c r="H50" s="1">
        <f>SUM(OSRRefH22_5x_0)</f>
        <v>176</v>
      </c>
      <c r="I50" s="1"/>
      <c r="J50" s="5">
        <f t="shared" ref="J50:J58" si="39">IF(H$12=0,0,H50/H$12)</f>
        <v>0</v>
      </c>
      <c r="K50" s="1"/>
      <c r="L50" s="1">
        <f t="shared" ref="L50:L58" si="40">+D50-H50</f>
        <v>-176</v>
      </c>
      <c r="M50" s="1"/>
      <c r="N50" s="5">
        <f t="shared" ref="N50:N58" si="41">IF(H50=0,0,L50/H50)</f>
        <v>-1</v>
      </c>
      <c r="O50" s="14"/>
      <c r="P50" s="1">
        <f>SUM(OSRRefP22_5x_0)</f>
        <v>0</v>
      </c>
      <c r="Q50" s="1"/>
      <c r="R50" s="5">
        <f t="shared" ref="R50:R58" si="42">IF(P$12=0,0,P50/P$12)</f>
        <v>0</v>
      </c>
      <c r="S50" s="1"/>
      <c r="T50" s="1">
        <f>SUM(OSRRefT22_5x_0)</f>
        <v>176</v>
      </c>
      <c r="U50" s="1"/>
      <c r="V50" s="5">
        <f t="shared" ref="V50:V58" si="43">IF(T$12=0,0,T50/T$12)</f>
        <v>0</v>
      </c>
      <c r="W50" s="1"/>
      <c r="X50" s="1">
        <f t="shared" ref="X50:X58" si="44">+P50-T50</f>
        <v>-176</v>
      </c>
      <c r="Y50" s="1"/>
      <c r="Z50" s="5">
        <f t="shared" ref="Z50:Z58" si="45">IF(T50=0,0,X50/T50)</f>
        <v>-1</v>
      </c>
    </row>
    <row r="51" spans="1:26" s="24" customFormat="1" hidden="1" outlineLevel="2" x14ac:dyDescent="0.3">
      <c r="A51" s="29"/>
      <c r="B51" s="11" t="str">
        <f>CONCATENATE("          ", "6351", " - ", "EQUIPMENT RENTAL")</f>
        <v xml:space="preserve">          6351 - EQUIPMENT RENTAL</v>
      </c>
      <c r="C51" s="11"/>
      <c r="D51" s="8"/>
      <c r="E51" s="3"/>
      <c r="F51" s="7">
        <f t="shared" si="38"/>
        <v>0</v>
      </c>
      <c r="G51" s="3"/>
      <c r="H51" s="8">
        <v>176</v>
      </c>
      <c r="I51" s="3"/>
      <c r="J51" s="7">
        <f t="shared" si="39"/>
        <v>0</v>
      </c>
      <c r="K51" s="3"/>
      <c r="L51" s="8">
        <f t="shared" si="40"/>
        <v>-176</v>
      </c>
      <c r="M51" s="3"/>
      <c r="N51" s="7">
        <f t="shared" si="41"/>
        <v>-1</v>
      </c>
      <c r="O51" s="11"/>
      <c r="P51" s="8"/>
      <c r="Q51" s="3"/>
      <c r="R51" s="7">
        <f t="shared" si="42"/>
        <v>0</v>
      </c>
      <c r="S51" s="3"/>
      <c r="T51" s="8">
        <v>176</v>
      </c>
      <c r="U51" s="3"/>
      <c r="V51" s="7">
        <f t="shared" si="43"/>
        <v>0</v>
      </c>
      <c r="W51" s="3"/>
      <c r="X51" s="8">
        <f t="shared" si="44"/>
        <v>-176</v>
      </c>
      <c r="Y51" s="3"/>
      <c r="Z51" s="7">
        <f t="shared" si="45"/>
        <v>-1</v>
      </c>
    </row>
    <row r="52" spans="1:26" s="27" customFormat="1" outlineLevel="1" collapsed="1" x14ac:dyDescent="0.3">
      <c r="A52" s="28"/>
      <c r="B52" s="14" t="str">
        <f>CONCATENATE("     ","Insurance                                         ")</f>
        <v xml:space="preserve">     Insurance                                         </v>
      </c>
      <c r="C52" s="14"/>
      <c r="D52" s="1">
        <f>SUM(OSRRefD22_6x_0)</f>
        <v>331.01</v>
      </c>
      <c r="E52" s="1"/>
      <c r="F52" s="5">
        <f t="shared" si="38"/>
        <v>0</v>
      </c>
      <c r="G52" s="1"/>
      <c r="H52" s="1">
        <f>SUM(OSRRefH22_6x_0)</f>
        <v>330</v>
      </c>
      <c r="I52" s="1"/>
      <c r="J52" s="5">
        <f t="shared" si="39"/>
        <v>0</v>
      </c>
      <c r="K52" s="1"/>
      <c r="L52" s="1">
        <f t="shared" si="40"/>
        <v>1.0099999999999909</v>
      </c>
      <c r="M52" s="1"/>
      <c r="N52" s="5">
        <f t="shared" si="41"/>
        <v>3.0606060606060332E-3</v>
      </c>
      <c r="O52" s="14"/>
      <c r="P52" s="1">
        <f>SUM(OSRRefP22_6x_0)</f>
        <v>331.01</v>
      </c>
      <c r="Q52" s="1"/>
      <c r="R52" s="5">
        <f t="shared" si="42"/>
        <v>0</v>
      </c>
      <c r="S52" s="1"/>
      <c r="T52" s="1">
        <f>SUM(OSRRefT22_6x_0)</f>
        <v>330</v>
      </c>
      <c r="U52" s="1"/>
      <c r="V52" s="5">
        <f t="shared" si="43"/>
        <v>0</v>
      </c>
      <c r="W52" s="1"/>
      <c r="X52" s="1">
        <f t="shared" si="44"/>
        <v>1.0099999999999909</v>
      </c>
      <c r="Y52" s="1"/>
      <c r="Z52" s="5">
        <f t="shared" si="45"/>
        <v>3.0606060606060332E-3</v>
      </c>
    </row>
    <row r="53" spans="1:26" s="24" customFormat="1" hidden="1" outlineLevel="2" x14ac:dyDescent="0.3">
      <c r="A53" s="29"/>
      <c r="B53" s="11" t="str">
        <f>CONCATENATE("          ", "6314", " - ", "LIABILITY INSURANCE")</f>
        <v xml:space="preserve">          6314 - LIABILITY INSURANCE</v>
      </c>
      <c r="C53" s="11"/>
      <c r="D53" s="8">
        <v>331.01</v>
      </c>
      <c r="E53" s="3"/>
      <c r="F53" s="7">
        <f t="shared" si="38"/>
        <v>0</v>
      </c>
      <c r="G53" s="3"/>
      <c r="H53" s="8">
        <v>330</v>
      </c>
      <c r="I53" s="3"/>
      <c r="J53" s="7">
        <f t="shared" si="39"/>
        <v>0</v>
      </c>
      <c r="K53" s="3"/>
      <c r="L53" s="8">
        <f t="shared" si="40"/>
        <v>1.0099999999999909</v>
      </c>
      <c r="M53" s="3"/>
      <c r="N53" s="7">
        <f t="shared" si="41"/>
        <v>3.0606060606060332E-3</v>
      </c>
      <c r="O53" s="11"/>
      <c r="P53" s="8">
        <v>331.01</v>
      </c>
      <c r="Q53" s="3"/>
      <c r="R53" s="7">
        <f t="shared" si="42"/>
        <v>0</v>
      </c>
      <c r="S53" s="3"/>
      <c r="T53" s="8">
        <v>330</v>
      </c>
      <c r="U53" s="3"/>
      <c r="V53" s="7">
        <f t="shared" si="43"/>
        <v>0</v>
      </c>
      <c r="W53" s="3"/>
      <c r="X53" s="8">
        <f t="shared" si="44"/>
        <v>1.0099999999999909</v>
      </c>
      <c r="Y53" s="3"/>
      <c r="Z53" s="7">
        <f t="shared" si="45"/>
        <v>3.0606060606060332E-3</v>
      </c>
    </row>
    <row r="54" spans="1:26" s="27" customFormat="1" outlineLevel="1" collapsed="1" x14ac:dyDescent="0.3">
      <c r="A54" s="28"/>
      <c r="B54" s="14" t="str">
        <f>CONCATENATE("     ","Interest                                          ")</f>
        <v xml:space="preserve">     Interest                                          </v>
      </c>
      <c r="C54" s="14"/>
      <c r="D54" s="1">
        <f>SUM(OSRRefD22_7x_0)</f>
        <v>3905</v>
      </c>
      <c r="E54" s="1"/>
      <c r="F54" s="5">
        <f t="shared" si="38"/>
        <v>0</v>
      </c>
      <c r="G54" s="1"/>
      <c r="H54" s="1">
        <f>SUM(OSRRefH22_7x_0)</f>
        <v>3905</v>
      </c>
      <c r="I54" s="1"/>
      <c r="J54" s="5">
        <f t="shared" si="39"/>
        <v>0</v>
      </c>
      <c r="K54" s="1"/>
      <c r="L54" s="1">
        <f t="shared" si="40"/>
        <v>0</v>
      </c>
      <c r="M54" s="1"/>
      <c r="N54" s="5">
        <f t="shared" si="41"/>
        <v>0</v>
      </c>
      <c r="O54" s="14"/>
      <c r="P54" s="1">
        <f>SUM(OSRRefP22_7x_0)</f>
        <v>3905</v>
      </c>
      <c r="Q54" s="1"/>
      <c r="R54" s="5">
        <f t="shared" si="42"/>
        <v>0</v>
      </c>
      <c r="S54" s="1"/>
      <c r="T54" s="1">
        <f>SUM(OSRRefT22_7x_0)</f>
        <v>3905</v>
      </c>
      <c r="U54" s="1"/>
      <c r="V54" s="5">
        <f t="shared" si="43"/>
        <v>0</v>
      </c>
      <c r="W54" s="1"/>
      <c r="X54" s="1">
        <f t="shared" si="44"/>
        <v>0</v>
      </c>
      <c r="Y54" s="1"/>
      <c r="Z54" s="5">
        <f t="shared" si="45"/>
        <v>0</v>
      </c>
    </row>
    <row r="55" spans="1:26" s="24" customFormat="1" hidden="1" outlineLevel="2" x14ac:dyDescent="0.3">
      <c r="A55" s="29"/>
      <c r="B55" s="11" t="str">
        <f>CONCATENATE("          ", "6401", " - ", "INTEREST EXPENSE")</f>
        <v xml:space="preserve">          6401 - INTEREST EXPENSE</v>
      </c>
      <c r="C55" s="11"/>
      <c r="D55" s="8">
        <v>3905</v>
      </c>
      <c r="E55" s="3"/>
      <c r="F55" s="7">
        <f t="shared" si="38"/>
        <v>0</v>
      </c>
      <c r="G55" s="3"/>
      <c r="H55" s="8">
        <v>3905</v>
      </c>
      <c r="I55" s="3"/>
      <c r="J55" s="7">
        <f t="shared" si="39"/>
        <v>0</v>
      </c>
      <c r="K55" s="3"/>
      <c r="L55" s="8">
        <f t="shared" si="40"/>
        <v>0</v>
      </c>
      <c r="M55" s="3"/>
      <c r="N55" s="7">
        <f t="shared" si="41"/>
        <v>0</v>
      </c>
      <c r="O55" s="11"/>
      <c r="P55" s="8">
        <v>3905</v>
      </c>
      <c r="Q55" s="3"/>
      <c r="R55" s="7">
        <f t="shared" si="42"/>
        <v>0</v>
      </c>
      <c r="S55" s="3"/>
      <c r="T55" s="8">
        <v>3905</v>
      </c>
      <c r="U55" s="3"/>
      <c r="V55" s="7">
        <f t="shared" si="43"/>
        <v>0</v>
      </c>
      <c r="W55" s="3"/>
      <c r="X55" s="8">
        <f t="shared" si="44"/>
        <v>0</v>
      </c>
      <c r="Y55" s="3"/>
      <c r="Z55" s="7">
        <f t="shared" si="45"/>
        <v>0</v>
      </c>
    </row>
    <row r="56" spans="1:26" s="27" customFormat="1" outlineLevel="1" collapsed="1" x14ac:dyDescent="0.3">
      <c r="A56" s="28"/>
      <c r="B56" s="14" t="str">
        <f>CONCATENATE("     ","Repair and Maintenance                            ")</f>
        <v xml:space="preserve">     Repair and Maintenance                            </v>
      </c>
      <c r="C56" s="14"/>
      <c r="D56" s="1">
        <f>SUM(OSRRefD22_8x_0)</f>
        <v>0</v>
      </c>
      <c r="E56" s="1"/>
      <c r="F56" s="5">
        <f t="shared" si="38"/>
        <v>0</v>
      </c>
      <c r="G56" s="1"/>
      <c r="H56" s="1">
        <f>SUM(OSRRefH22_8x_0)</f>
        <v>1462</v>
      </c>
      <c r="I56" s="1"/>
      <c r="J56" s="5">
        <f t="shared" si="39"/>
        <v>0</v>
      </c>
      <c r="K56" s="1"/>
      <c r="L56" s="1">
        <f t="shared" si="40"/>
        <v>-1462</v>
      </c>
      <c r="M56" s="1"/>
      <c r="N56" s="5">
        <f t="shared" si="41"/>
        <v>-1</v>
      </c>
      <c r="O56" s="14"/>
      <c r="P56" s="1">
        <f>SUM(OSRRefP22_8x_0)</f>
        <v>0</v>
      </c>
      <c r="Q56" s="1"/>
      <c r="R56" s="5">
        <f t="shared" si="42"/>
        <v>0</v>
      </c>
      <c r="S56" s="1"/>
      <c r="T56" s="1">
        <f>SUM(OSRRefT22_8x_0)</f>
        <v>1462</v>
      </c>
      <c r="U56" s="1"/>
      <c r="V56" s="5">
        <f t="shared" si="43"/>
        <v>0</v>
      </c>
      <c r="W56" s="1"/>
      <c r="X56" s="1">
        <f t="shared" si="44"/>
        <v>-1462</v>
      </c>
      <c r="Y56" s="1"/>
      <c r="Z56" s="5">
        <f t="shared" si="45"/>
        <v>-1</v>
      </c>
    </row>
    <row r="57" spans="1:26" s="24" customFormat="1" hidden="1" outlineLevel="2" x14ac:dyDescent="0.3">
      <c r="A57" s="29"/>
      <c r="B57" s="11" t="str">
        <f>CONCATENATE("          ", "6373", " - ", "MAINTENANCE CONTRACTS")</f>
        <v xml:space="preserve">          6373 - MAINTENANCE CONTRACTS</v>
      </c>
      <c r="C57" s="11"/>
      <c r="D57" s="8"/>
      <c r="E57" s="3"/>
      <c r="F57" s="7">
        <f t="shared" si="38"/>
        <v>0</v>
      </c>
      <c r="G57" s="3"/>
      <c r="H57" s="8">
        <v>410</v>
      </c>
      <c r="I57" s="3"/>
      <c r="J57" s="7">
        <f t="shared" si="39"/>
        <v>0</v>
      </c>
      <c r="K57" s="3"/>
      <c r="L57" s="8">
        <f t="shared" si="40"/>
        <v>-410</v>
      </c>
      <c r="M57" s="3"/>
      <c r="N57" s="7">
        <f t="shared" si="41"/>
        <v>-1</v>
      </c>
      <c r="O57" s="11"/>
      <c r="P57" s="8"/>
      <c r="Q57" s="3"/>
      <c r="R57" s="7">
        <f t="shared" si="42"/>
        <v>0</v>
      </c>
      <c r="S57" s="3"/>
      <c r="T57" s="8">
        <v>410</v>
      </c>
      <c r="U57" s="3"/>
      <c r="V57" s="7">
        <f t="shared" si="43"/>
        <v>0</v>
      </c>
      <c r="W57" s="3"/>
      <c r="X57" s="8">
        <f t="shared" si="44"/>
        <v>-410</v>
      </c>
      <c r="Y57" s="3"/>
      <c r="Z57" s="7">
        <f t="shared" si="45"/>
        <v>-1</v>
      </c>
    </row>
    <row r="58" spans="1:26" s="24" customFormat="1" hidden="1" outlineLevel="2" x14ac:dyDescent="0.3">
      <c r="A58" s="29"/>
      <c r="B58" s="11" t="str">
        <f>CONCATENATE("          ", "6375", " - ", "OUTSIDE REPAIRS &amp; MAINTENANCE")</f>
        <v xml:space="preserve">          6375 - OUTSIDE REPAIRS &amp; MAINTENANCE</v>
      </c>
      <c r="C58" s="11"/>
      <c r="D58" s="8"/>
      <c r="E58" s="3"/>
      <c r="F58" s="7">
        <f t="shared" si="38"/>
        <v>0</v>
      </c>
      <c r="G58" s="3"/>
      <c r="H58" s="8">
        <v>1052</v>
      </c>
      <c r="I58" s="3"/>
      <c r="J58" s="7">
        <f t="shared" si="39"/>
        <v>0</v>
      </c>
      <c r="K58" s="3"/>
      <c r="L58" s="8">
        <f t="shared" si="40"/>
        <v>-1052</v>
      </c>
      <c r="M58" s="3"/>
      <c r="N58" s="7">
        <f t="shared" si="41"/>
        <v>-1</v>
      </c>
      <c r="O58" s="11"/>
      <c r="P58" s="8"/>
      <c r="Q58" s="3"/>
      <c r="R58" s="7">
        <f t="shared" si="42"/>
        <v>0</v>
      </c>
      <c r="S58" s="3"/>
      <c r="T58" s="8">
        <v>1052</v>
      </c>
      <c r="U58" s="3"/>
      <c r="V58" s="7">
        <f t="shared" si="43"/>
        <v>0</v>
      </c>
      <c r="W58" s="3"/>
      <c r="X58" s="8">
        <f t="shared" si="44"/>
        <v>-1052</v>
      </c>
      <c r="Y58" s="3"/>
      <c r="Z58" s="7">
        <f t="shared" si="45"/>
        <v>-1</v>
      </c>
    </row>
    <row r="59" spans="1:26" s="27" customFormat="1" outlineLevel="1" collapsed="1" x14ac:dyDescent="0.3">
      <c r="A59" s="28"/>
      <c r="B59" s="14" t="str">
        <f>CONCATENATE("     ","Royalty &amp; Commissions                             ")</f>
        <v xml:space="preserve">     Royalty &amp; Commissions                             </v>
      </c>
      <c r="C59" s="14"/>
      <c r="D59" s="1">
        <f>SUM(OSRRefD22_9x_0)</f>
        <v>0</v>
      </c>
      <c r="E59" s="1"/>
      <c r="F59" s="5">
        <f t="shared" ref="F59:F68" si="46">IF(D$12=0,0,D59/D$12)</f>
        <v>0</v>
      </c>
      <c r="G59" s="1"/>
      <c r="H59" s="1">
        <f>SUM(OSRRefH22_9x_0)</f>
        <v>0</v>
      </c>
      <c r="I59" s="1"/>
      <c r="J59" s="5">
        <f t="shared" ref="J59:J68" si="47">IF(H$12=0,0,H59/H$12)</f>
        <v>0</v>
      </c>
      <c r="K59" s="1"/>
      <c r="L59" s="1">
        <f t="shared" ref="L59:L68" si="48">+D59-H59</f>
        <v>0</v>
      </c>
      <c r="M59" s="1"/>
      <c r="N59" s="5">
        <f t="shared" ref="N59:N68" si="49">IF(H59=0,0,L59/H59)</f>
        <v>0</v>
      </c>
      <c r="O59" s="14"/>
      <c r="P59" s="1">
        <f>SUM(OSRRefP22_9x_0)</f>
        <v>0</v>
      </c>
      <c r="Q59" s="1"/>
      <c r="R59" s="5">
        <f t="shared" ref="R59:R68" si="50">IF(P$12=0,0,P59/P$12)</f>
        <v>0</v>
      </c>
      <c r="S59" s="1"/>
      <c r="T59" s="1">
        <f>SUM(OSRRefT22_9x_0)</f>
        <v>0</v>
      </c>
      <c r="U59" s="1"/>
      <c r="V59" s="5">
        <f t="shared" ref="V59:V68" si="51">IF(T$12=0,0,T59/T$12)</f>
        <v>0</v>
      </c>
      <c r="W59" s="1"/>
      <c r="X59" s="1">
        <f t="shared" ref="X59:X68" si="52">+P59-T59</f>
        <v>0</v>
      </c>
      <c r="Y59" s="1"/>
      <c r="Z59" s="5">
        <f t="shared" ref="Z59:Z68" si="53">IF(T59=0,0,X59/T59)</f>
        <v>0</v>
      </c>
    </row>
    <row r="60" spans="1:26" s="24" customFormat="1" hidden="1" outlineLevel="2" x14ac:dyDescent="0.3">
      <c r="A60" s="29"/>
      <c r="B60" s="11" t="str">
        <f>CONCATENATE("          ", "6259", " - ", "ROYALTY &amp; COMMISSIONS")</f>
        <v xml:space="preserve">          6259 - ROYALTY &amp; COMMISSIONS</v>
      </c>
      <c r="C60" s="11"/>
      <c r="D60" s="8"/>
      <c r="E60" s="3"/>
      <c r="F60" s="7">
        <f t="shared" si="46"/>
        <v>0</v>
      </c>
      <c r="G60" s="3"/>
      <c r="H60" s="8">
        <v>0</v>
      </c>
      <c r="I60" s="3"/>
      <c r="J60" s="7">
        <f t="shared" si="47"/>
        <v>0</v>
      </c>
      <c r="K60" s="3"/>
      <c r="L60" s="8">
        <f t="shared" si="48"/>
        <v>0</v>
      </c>
      <c r="M60" s="3"/>
      <c r="N60" s="7">
        <f t="shared" si="49"/>
        <v>0</v>
      </c>
      <c r="O60" s="11"/>
      <c r="P60" s="8"/>
      <c r="Q60" s="3"/>
      <c r="R60" s="7">
        <f t="shared" si="50"/>
        <v>0</v>
      </c>
      <c r="S60" s="3"/>
      <c r="T60" s="8">
        <v>0</v>
      </c>
      <c r="U60" s="3"/>
      <c r="V60" s="7">
        <f t="shared" si="51"/>
        <v>0</v>
      </c>
      <c r="W60" s="3"/>
      <c r="X60" s="8">
        <f t="shared" si="52"/>
        <v>0</v>
      </c>
      <c r="Y60" s="3"/>
      <c r="Z60" s="7">
        <f t="shared" si="53"/>
        <v>0</v>
      </c>
    </row>
    <row r="61" spans="1:26" s="27" customFormat="1" outlineLevel="1" collapsed="1" x14ac:dyDescent="0.3">
      <c r="A61" s="28"/>
      <c r="B61" s="14" t="str">
        <f>CONCATENATE("     ","Services                                          ")</f>
        <v xml:space="preserve">     Services                                          </v>
      </c>
      <c r="C61" s="14"/>
      <c r="D61" s="1">
        <f>SUM(OSRRefD22_10x_0)</f>
        <v>151.85</v>
      </c>
      <c r="E61" s="1"/>
      <c r="F61" s="5">
        <f t="shared" si="46"/>
        <v>0</v>
      </c>
      <c r="G61" s="1"/>
      <c r="H61" s="1">
        <f>SUM(OSRRefH22_10x_0)</f>
        <v>0</v>
      </c>
      <c r="I61" s="1"/>
      <c r="J61" s="5">
        <f t="shared" si="47"/>
        <v>0</v>
      </c>
      <c r="K61" s="1"/>
      <c r="L61" s="1">
        <f t="shared" si="48"/>
        <v>151.85</v>
      </c>
      <c r="M61" s="1"/>
      <c r="N61" s="5">
        <f t="shared" si="49"/>
        <v>0</v>
      </c>
      <c r="O61" s="14"/>
      <c r="P61" s="1">
        <f>SUM(OSRRefP22_10x_0)</f>
        <v>151.85</v>
      </c>
      <c r="Q61" s="1"/>
      <c r="R61" s="5">
        <f t="shared" si="50"/>
        <v>0</v>
      </c>
      <c r="S61" s="1"/>
      <c r="T61" s="1">
        <f>SUM(OSRRefT22_10x_0)</f>
        <v>0</v>
      </c>
      <c r="U61" s="1"/>
      <c r="V61" s="5">
        <f t="shared" si="51"/>
        <v>0</v>
      </c>
      <c r="W61" s="1"/>
      <c r="X61" s="1">
        <f t="shared" si="52"/>
        <v>151.85</v>
      </c>
      <c r="Y61" s="1"/>
      <c r="Z61" s="5">
        <f t="shared" si="53"/>
        <v>0</v>
      </c>
    </row>
    <row r="62" spans="1:26" s="24" customFormat="1" hidden="1" outlineLevel="2" x14ac:dyDescent="0.3">
      <c r="A62" s="29"/>
      <c r="B62" s="11" t="str">
        <f>CONCATENATE("          ", "6282", " - ", "JANITORIAL/EXTERMINATOR EXPENS")</f>
        <v xml:space="preserve">          6282 - JANITORIAL/EXTERMINATOR EXPENS</v>
      </c>
      <c r="C62" s="11"/>
      <c r="D62" s="8">
        <v>151.85</v>
      </c>
      <c r="E62" s="3"/>
      <c r="F62" s="7">
        <f t="shared" si="46"/>
        <v>0</v>
      </c>
      <c r="G62" s="3"/>
      <c r="H62" s="8"/>
      <c r="I62" s="3"/>
      <c r="J62" s="7">
        <f t="shared" si="47"/>
        <v>0</v>
      </c>
      <c r="K62" s="3"/>
      <c r="L62" s="8">
        <f t="shared" si="48"/>
        <v>151.85</v>
      </c>
      <c r="M62" s="3"/>
      <c r="N62" s="7">
        <f t="shared" si="49"/>
        <v>0</v>
      </c>
      <c r="O62" s="11"/>
      <c r="P62" s="8">
        <v>151.85</v>
      </c>
      <c r="Q62" s="3"/>
      <c r="R62" s="7">
        <f t="shared" si="50"/>
        <v>0</v>
      </c>
      <c r="S62" s="3"/>
      <c r="T62" s="8"/>
      <c r="U62" s="3"/>
      <c r="V62" s="7">
        <f t="shared" si="51"/>
        <v>0</v>
      </c>
      <c r="W62" s="3"/>
      <c r="X62" s="8">
        <f t="shared" si="52"/>
        <v>151.85</v>
      </c>
      <c r="Y62" s="3"/>
      <c r="Z62" s="7">
        <f t="shared" si="53"/>
        <v>0</v>
      </c>
    </row>
    <row r="63" spans="1:26" s="27" customFormat="1" outlineLevel="1" collapsed="1" x14ac:dyDescent="0.3">
      <c r="A63" s="28"/>
      <c r="B63" s="14" t="str">
        <f>CONCATENATE("     ","Supplies                                          ")</f>
        <v xml:space="preserve">     Supplies                                          </v>
      </c>
      <c r="C63" s="14"/>
      <c r="D63" s="1">
        <f>SUM(OSRRefD22_11x_0)</f>
        <v>112.24</v>
      </c>
      <c r="E63" s="1"/>
      <c r="F63" s="5">
        <f t="shared" si="46"/>
        <v>0</v>
      </c>
      <c r="G63" s="1"/>
      <c r="H63" s="1">
        <f>SUM(OSRRefH22_11x_0)</f>
        <v>0</v>
      </c>
      <c r="I63" s="1"/>
      <c r="J63" s="5">
        <f t="shared" si="47"/>
        <v>0</v>
      </c>
      <c r="K63" s="1"/>
      <c r="L63" s="1">
        <f t="shared" si="48"/>
        <v>112.24</v>
      </c>
      <c r="M63" s="1"/>
      <c r="N63" s="5">
        <f t="shared" si="49"/>
        <v>0</v>
      </c>
      <c r="O63" s="14"/>
      <c r="P63" s="1">
        <f>SUM(OSRRefP22_11x_0)</f>
        <v>112.24</v>
      </c>
      <c r="Q63" s="1"/>
      <c r="R63" s="5">
        <f t="shared" si="50"/>
        <v>0</v>
      </c>
      <c r="S63" s="1"/>
      <c r="T63" s="1">
        <f>SUM(OSRRefT22_11x_0)</f>
        <v>0</v>
      </c>
      <c r="U63" s="1"/>
      <c r="V63" s="5">
        <f t="shared" si="51"/>
        <v>0</v>
      </c>
      <c r="W63" s="1"/>
      <c r="X63" s="1">
        <f t="shared" si="52"/>
        <v>112.24</v>
      </c>
      <c r="Y63" s="1"/>
      <c r="Z63" s="5">
        <f t="shared" si="53"/>
        <v>0</v>
      </c>
    </row>
    <row r="64" spans="1:26" s="24" customFormat="1" hidden="1" outlineLevel="2" x14ac:dyDescent="0.3">
      <c r="A64" s="29"/>
      <c r="B64" s="11" t="str">
        <f>CONCATENATE("          ", "6234", " - ", "EXPENDABLE SUPPLIES &amp; EQUIPMEN")</f>
        <v xml:space="preserve">          6234 - EXPENDABLE SUPPLIES &amp; EQUIPMEN</v>
      </c>
      <c r="C64" s="11"/>
      <c r="D64" s="8"/>
      <c r="E64" s="3"/>
      <c r="F64" s="7">
        <f t="shared" si="46"/>
        <v>0</v>
      </c>
      <c r="G64" s="3"/>
      <c r="H64" s="8">
        <v>0</v>
      </c>
      <c r="I64" s="3"/>
      <c r="J64" s="7">
        <f t="shared" si="47"/>
        <v>0</v>
      </c>
      <c r="K64" s="3"/>
      <c r="L64" s="8">
        <f t="shared" si="48"/>
        <v>0</v>
      </c>
      <c r="M64" s="3"/>
      <c r="N64" s="7">
        <f t="shared" si="49"/>
        <v>0</v>
      </c>
      <c r="O64" s="11"/>
      <c r="P64" s="8"/>
      <c r="Q64" s="3"/>
      <c r="R64" s="7">
        <f t="shared" si="50"/>
        <v>0</v>
      </c>
      <c r="S64" s="3"/>
      <c r="T64" s="8">
        <v>0</v>
      </c>
      <c r="U64" s="3"/>
      <c r="V64" s="7">
        <f t="shared" si="51"/>
        <v>0</v>
      </c>
      <c r="W64" s="3"/>
      <c r="X64" s="8">
        <f t="shared" si="52"/>
        <v>0</v>
      </c>
      <c r="Y64" s="3"/>
      <c r="Z64" s="7">
        <f t="shared" si="53"/>
        <v>0</v>
      </c>
    </row>
    <row r="65" spans="1:26" s="24" customFormat="1" hidden="1" outlineLevel="2" x14ac:dyDescent="0.3">
      <c r="A65" s="29"/>
      <c r="B65" s="11" t="str">
        <f>CONCATENATE("          ", "6237", " - ", "JANITORIAL SUPPLIES")</f>
        <v xml:space="preserve">          6237 - JANITORIAL SUPPLIES</v>
      </c>
      <c r="C65" s="11"/>
      <c r="D65" s="8"/>
      <c r="E65" s="3"/>
      <c r="F65" s="7">
        <f t="shared" si="46"/>
        <v>0</v>
      </c>
      <c r="G65" s="3"/>
      <c r="H65" s="8">
        <v>0</v>
      </c>
      <c r="I65" s="3"/>
      <c r="J65" s="7">
        <f t="shared" si="47"/>
        <v>0</v>
      </c>
      <c r="K65" s="3"/>
      <c r="L65" s="8">
        <f t="shared" si="48"/>
        <v>0</v>
      </c>
      <c r="M65" s="3"/>
      <c r="N65" s="7">
        <f t="shared" si="49"/>
        <v>0</v>
      </c>
      <c r="O65" s="11"/>
      <c r="P65" s="8"/>
      <c r="Q65" s="3"/>
      <c r="R65" s="7">
        <f t="shared" si="50"/>
        <v>0</v>
      </c>
      <c r="S65" s="3"/>
      <c r="T65" s="8">
        <v>0</v>
      </c>
      <c r="U65" s="3"/>
      <c r="V65" s="7">
        <f t="shared" si="51"/>
        <v>0</v>
      </c>
      <c r="W65" s="3"/>
      <c r="X65" s="8">
        <f t="shared" si="52"/>
        <v>0</v>
      </c>
      <c r="Y65" s="3"/>
      <c r="Z65" s="7">
        <f t="shared" si="53"/>
        <v>0</v>
      </c>
    </row>
    <row r="66" spans="1:26" s="24" customFormat="1" hidden="1" outlineLevel="2" x14ac:dyDescent="0.3">
      <c r="A66" s="29"/>
      <c r="B66" s="11" t="str">
        <f>CONCATENATE("          ", "6241", " - ", "OFFICE EXPENSE")</f>
        <v xml:space="preserve">          6241 - OFFICE EXPENSE</v>
      </c>
      <c r="C66" s="11"/>
      <c r="D66" s="8">
        <v>112.24</v>
      </c>
      <c r="E66" s="3"/>
      <c r="F66" s="7">
        <f t="shared" si="46"/>
        <v>0</v>
      </c>
      <c r="G66" s="3"/>
      <c r="H66" s="8"/>
      <c r="I66" s="3"/>
      <c r="J66" s="7">
        <f t="shared" si="47"/>
        <v>0</v>
      </c>
      <c r="K66" s="3"/>
      <c r="L66" s="8">
        <f t="shared" si="48"/>
        <v>112.24</v>
      </c>
      <c r="M66" s="3"/>
      <c r="N66" s="7">
        <f t="shared" si="49"/>
        <v>0</v>
      </c>
      <c r="O66" s="11"/>
      <c r="P66" s="8">
        <v>112.24</v>
      </c>
      <c r="Q66" s="3"/>
      <c r="R66" s="7">
        <f t="shared" si="50"/>
        <v>0</v>
      </c>
      <c r="S66" s="3"/>
      <c r="T66" s="8"/>
      <c r="U66" s="3"/>
      <c r="V66" s="7">
        <f t="shared" si="51"/>
        <v>0</v>
      </c>
      <c r="W66" s="3"/>
      <c r="X66" s="8">
        <f t="shared" si="52"/>
        <v>112.24</v>
      </c>
      <c r="Y66" s="3"/>
      <c r="Z66" s="7">
        <f t="shared" si="53"/>
        <v>0</v>
      </c>
    </row>
    <row r="67" spans="1:26" s="24" customFormat="1" hidden="1" outlineLevel="2" x14ac:dyDescent="0.3">
      <c r="A67" s="29"/>
      <c r="B67" s="11" t="str">
        <f>CONCATENATE("          ", "6243", " - ", "PAPER SUPPLIES")</f>
        <v xml:space="preserve">          6243 - PAPER SUPPLIES</v>
      </c>
      <c r="C67" s="11"/>
      <c r="D67" s="8"/>
      <c r="E67" s="3"/>
      <c r="F67" s="7">
        <f t="shared" si="46"/>
        <v>0</v>
      </c>
      <c r="G67" s="3"/>
      <c r="H67" s="8">
        <v>0</v>
      </c>
      <c r="I67" s="3"/>
      <c r="J67" s="7">
        <f t="shared" si="47"/>
        <v>0</v>
      </c>
      <c r="K67" s="3"/>
      <c r="L67" s="8">
        <f t="shared" si="48"/>
        <v>0</v>
      </c>
      <c r="M67" s="3"/>
      <c r="N67" s="7">
        <f t="shared" si="49"/>
        <v>0</v>
      </c>
      <c r="O67" s="11"/>
      <c r="P67" s="8"/>
      <c r="Q67" s="3"/>
      <c r="R67" s="7">
        <f t="shared" si="50"/>
        <v>0</v>
      </c>
      <c r="S67" s="3"/>
      <c r="T67" s="8">
        <v>0</v>
      </c>
      <c r="U67" s="3"/>
      <c r="V67" s="7">
        <f t="shared" si="51"/>
        <v>0</v>
      </c>
      <c r="W67" s="3"/>
      <c r="X67" s="8">
        <f t="shared" si="52"/>
        <v>0</v>
      </c>
      <c r="Y67" s="3"/>
      <c r="Z67" s="7">
        <f t="shared" si="53"/>
        <v>0</v>
      </c>
    </row>
    <row r="68" spans="1:26" s="24" customFormat="1" hidden="1" outlineLevel="2" x14ac:dyDescent="0.3">
      <c r="A68" s="29"/>
      <c r="B68" s="11" t="str">
        <f>CONCATENATE("          ", "6247", " - ", "STORE SUPPLIES")</f>
        <v xml:space="preserve">          6247 - STORE SUPPLIES</v>
      </c>
      <c r="C68" s="11"/>
      <c r="D68" s="8"/>
      <c r="E68" s="3"/>
      <c r="F68" s="7">
        <f t="shared" si="46"/>
        <v>0</v>
      </c>
      <c r="G68" s="3"/>
      <c r="H68" s="8">
        <v>0</v>
      </c>
      <c r="I68" s="3"/>
      <c r="J68" s="7">
        <f t="shared" si="47"/>
        <v>0</v>
      </c>
      <c r="K68" s="3"/>
      <c r="L68" s="8">
        <f t="shared" si="48"/>
        <v>0</v>
      </c>
      <c r="M68" s="3"/>
      <c r="N68" s="7">
        <f t="shared" si="49"/>
        <v>0</v>
      </c>
      <c r="O68" s="11"/>
      <c r="P68" s="8"/>
      <c r="Q68" s="3"/>
      <c r="R68" s="7">
        <f t="shared" si="50"/>
        <v>0</v>
      </c>
      <c r="S68" s="3"/>
      <c r="T68" s="8">
        <v>0</v>
      </c>
      <c r="U68" s="3"/>
      <c r="V68" s="7">
        <f t="shared" si="51"/>
        <v>0</v>
      </c>
      <c r="W68" s="3"/>
      <c r="X68" s="8">
        <f t="shared" si="52"/>
        <v>0</v>
      </c>
      <c r="Y68" s="3"/>
      <c r="Z68" s="7">
        <f t="shared" si="53"/>
        <v>0</v>
      </c>
    </row>
    <row r="69" spans="1:26" s="27" customFormat="1" outlineLevel="1" collapsed="1" x14ac:dyDescent="0.3">
      <c r="A69" s="28"/>
      <c r="B69" s="14" t="str">
        <f>CONCATENATE("     ","Telephone/Data Lines                              ")</f>
        <v xml:space="preserve">     Telephone/Data Lines                              </v>
      </c>
      <c r="C69" s="14"/>
      <c r="D69" s="1">
        <f>SUM(OSRRefD22_12x_0)</f>
        <v>118.8</v>
      </c>
      <c r="E69" s="1"/>
      <c r="F69" s="5">
        <f t="shared" ref="F69:F71" si="54">IF(D$12=0,0,D69/D$12)</f>
        <v>0</v>
      </c>
      <c r="G69" s="1"/>
      <c r="H69" s="1">
        <f>SUM(OSRRefH22_12x_0)</f>
        <v>178</v>
      </c>
      <c r="I69" s="1"/>
      <c r="J69" s="5">
        <f t="shared" ref="J69:J71" si="55">IF(H$12=0,0,H69/H$12)</f>
        <v>0</v>
      </c>
      <c r="K69" s="1"/>
      <c r="L69" s="1">
        <f t="shared" ref="L69:L71" si="56">+D69-H69</f>
        <v>-59.2</v>
      </c>
      <c r="M69" s="1"/>
      <c r="N69" s="5">
        <f t="shared" ref="N69:N71" si="57">IF(H69=0,0,L69/H69)</f>
        <v>-0.33258426966292137</v>
      </c>
      <c r="O69" s="14"/>
      <c r="P69" s="1">
        <f>SUM(OSRRefP22_12x_0)</f>
        <v>118.8</v>
      </c>
      <c r="Q69" s="1"/>
      <c r="R69" s="5">
        <f t="shared" ref="R69:R71" si="58">IF(P$12=0,0,P69/P$12)</f>
        <v>0</v>
      </c>
      <c r="S69" s="1"/>
      <c r="T69" s="1">
        <f>SUM(OSRRefT22_12x_0)</f>
        <v>178</v>
      </c>
      <c r="U69" s="1"/>
      <c r="V69" s="5">
        <f t="shared" ref="V69:V71" si="59">IF(T$12=0,0,T69/T$12)</f>
        <v>0</v>
      </c>
      <c r="W69" s="1"/>
      <c r="X69" s="1">
        <f t="shared" ref="X69:X71" si="60">+P69-T69</f>
        <v>-59.2</v>
      </c>
      <c r="Y69" s="1"/>
      <c r="Z69" s="5">
        <f t="shared" ref="Z69:Z71" si="61">IF(T69=0,0,X69/T69)</f>
        <v>-0.33258426966292137</v>
      </c>
    </row>
    <row r="70" spans="1:26" s="24" customFormat="1" hidden="1" outlineLevel="2" x14ac:dyDescent="0.3">
      <c r="A70" s="29"/>
      <c r="B70" s="11" t="str">
        <f>CONCATENATE("          ", "6303", " - ", "DATA PHONE LINES")</f>
        <v xml:space="preserve">          6303 - DATA PHONE LINES</v>
      </c>
      <c r="C70" s="11"/>
      <c r="D70" s="8"/>
      <c r="E70" s="3"/>
      <c r="F70" s="7">
        <f t="shared" si="54"/>
        <v>0</v>
      </c>
      <c r="G70" s="3"/>
      <c r="H70" s="8">
        <v>50</v>
      </c>
      <c r="I70" s="3"/>
      <c r="J70" s="7">
        <f t="shared" si="55"/>
        <v>0</v>
      </c>
      <c r="K70" s="3"/>
      <c r="L70" s="8">
        <f t="shared" si="56"/>
        <v>-50</v>
      </c>
      <c r="M70" s="3"/>
      <c r="N70" s="7">
        <f t="shared" si="57"/>
        <v>-1</v>
      </c>
      <c r="O70" s="11"/>
      <c r="P70" s="8"/>
      <c r="Q70" s="3"/>
      <c r="R70" s="7">
        <f t="shared" si="58"/>
        <v>0</v>
      </c>
      <c r="S70" s="3"/>
      <c r="T70" s="8">
        <v>50</v>
      </c>
      <c r="U70" s="3"/>
      <c r="V70" s="7">
        <f t="shared" si="59"/>
        <v>0</v>
      </c>
      <c r="W70" s="3"/>
      <c r="X70" s="8">
        <f t="shared" si="60"/>
        <v>-50</v>
      </c>
      <c r="Y70" s="3"/>
      <c r="Z70" s="7">
        <f t="shared" si="61"/>
        <v>-1</v>
      </c>
    </row>
    <row r="71" spans="1:26" s="24" customFormat="1" hidden="1" outlineLevel="2" x14ac:dyDescent="0.3">
      <c r="A71" s="29"/>
      <c r="B71" s="11" t="str">
        <f>CONCATENATE("          ", "6309", " - ", "TELEPHONE")</f>
        <v xml:space="preserve">          6309 - TELEPHONE</v>
      </c>
      <c r="C71" s="11"/>
      <c r="D71" s="8">
        <v>118.8</v>
      </c>
      <c r="E71" s="3"/>
      <c r="F71" s="7">
        <f t="shared" si="54"/>
        <v>0</v>
      </c>
      <c r="G71" s="3"/>
      <c r="H71" s="8">
        <v>128</v>
      </c>
      <c r="I71" s="3"/>
      <c r="J71" s="7">
        <f t="shared" si="55"/>
        <v>0</v>
      </c>
      <c r="K71" s="3"/>
      <c r="L71" s="8">
        <f t="shared" si="56"/>
        <v>-9.2000000000000028</v>
      </c>
      <c r="M71" s="3"/>
      <c r="N71" s="7">
        <f t="shared" si="57"/>
        <v>-7.1875000000000022E-2</v>
      </c>
      <c r="O71" s="11"/>
      <c r="P71" s="8">
        <v>118.8</v>
      </c>
      <c r="Q71" s="3"/>
      <c r="R71" s="7">
        <f t="shared" si="58"/>
        <v>0</v>
      </c>
      <c r="S71" s="3"/>
      <c r="T71" s="8">
        <v>128</v>
      </c>
      <c r="U71" s="3"/>
      <c r="V71" s="7">
        <f t="shared" si="59"/>
        <v>0</v>
      </c>
      <c r="W71" s="3"/>
      <c r="X71" s="8">
        <f t="shared" si="60"/>
        <v>-9.2000000000000028</v>
      </c>
      <c r="Y71" s="3"/>
      <c r="Z71" s="7">
        <f t="shared" si="61"/>
        <v>-7.1875000000000022E-2</v>
      </c>
    </row>
    <row r="72" spans="1:26" s="27" customFormat="1" outlineLevel="1" collapsed="1" x14ac:dyDescent="0.3">
      <c r="A72" s="28"/>
      <c r="B72" s="14" t="str">
        <f>CONCATENATE("     ","Utilities                                         ")</f>
        <v xml:space="preserve">     Utilities                                         </v>
      </c>
      <c r="C72" s="14"/>
      <c r="D72" s="1">
        <f>SUM(OSRRefD22_13x_0)</f>
        <v>100</v>
      </c>
      <c r="E72" s="1"/>
      <c r="F72" s="5">
        <f t="shared" ref="F72:F73" si="62">IF(D$12=0,0,D72/D$12)</f>
        <v>0</v>
      </c>
      <c r="G72" s="1"/>
      <c r="H72" s="1">
        <f>SUM(OSRRefH22_13x_0)</f>
        <v>0</v>
      </c>
      <c r="I72" s="1"/>
      <c r="J72" s="5">
        <f t="shared" ref="J72:J73" si="63">IF(H$12=0,0,H72/H$12)</f>
        <v>0</v>
      </c>
      <c r="K72" s="1"/>
      <c r="L72" s="1">
        <f t="shared" ref="L72:L73" si="64">+D72-H72</f>
        <v>100</v>
      </c>
      <c r="M72" s="1"/>
      <c r="N72" s="5">
        <f t="shared" ref="N72:N73" si="65">IF(H72=0,0,L72/H72)</f>
        <v>0</v>
      </c>
      <c r="O72" s="14"/>
      <c r="P72" s="1">
        <f>SUM(OSRRefP22_13x_0)</f>
        <v>100</v>
      </c>
      <c r="Q72" s="1"/>
      <c r="R72" s="5">
        <f t="shared" ref="R72:R73" si="66">IF(P$12=0,0,P72/P$12)</f>
        <v>0</v>
      </c>
      <c r="S72" s="1"/>
      <c r="T72" s="1">
        <f>SUM(OSRRefT22_13x_0)</f>
        <v>0</v>
      </c>
      <c r="U72" s="1"/>
      <c r="V72" s="5">
        <f t="shared" ref="V72:V73" si="67">IF(T$12=0,0,T72/T$12)</f>
        <v>0</v>
      </c>
      <c r="W72" s="1"/>
      <c r="X72" s="1">
        <f t="shared" ref="X72:X73" si="68">+P72-T72</f>
        <v>100</v>
      </c>
      <c r="Y72" s="1"/>
      <c r="Z72" s="5">
        <f t="shared" ref="Z72:Z73" si="69">IF(T72=0,0,X72/T72)</f>
        <v>0</v>
      </c>
    </row>
    <row r="73" spans="1:26" s="24" customFormat="1" hidden="1" outlineLevel="2" x14ac:dyDescent="0.3">
      <c r="A73" s="29"/>
      <c r="B73" s="11" t="str">
        <f>CONCATENATE("          ", "6274", " - ", "UTILITIES")</f>
        <v xml:space="preserve">          6274 - UTILITIES</v>
      </c>
      <c r="C73" s="11"/>
      <c r="D73" s="8">
        <v>100</v>
      </c>
      <c r="E73" s="3"/>
      <c r="F73" s="7">
        <f t="shared" si="62"/>
        <v>0</v>
      </c>
      <c r="G73" s="3"/>
      <c r="H73" s="8">
        <v>0</v>
      </c>
      <c r="I73" s="3"/>
      <c r="J73" s="7">
        <f t="shared" si="63"/>
        <v>0</v>
      </c>
      <c r="K73" s="3"/>
      <c r="L73" s="8">
        <f t="shared" si="64"/>
        <v>100</v>
      </c>
      <c r="M73" s="3"/>
      <c r="N73" s="7">
        <f t="shared" si="65"/>
        <v>0</v>
      </c>
      <c r="O73" s="11"/>
      <c r="P73" s="8">
        <v>100</v>
      </c>
      <c r="Q73" s="3"/>
      <c r="R73" s="7">
        <f t="shared" si="66"/>
        <v>0</v>
      </c>
      <c r="S73" s="3"/>
      <c r="T73" s="8">
        <v>0</v>
      </c>
      <c r="U73" s="3"/>
      <c r="V73" s="7">
        <f t="shared" si="67"/>
        <v>0</v>
      </c>
      <c r="W73" s="3"/>
      <c r="X73" s="8">
        <f t="shared" si="68"/>
        <v>100</v>
      </c>
      <c r="Y73" s="3"/>
      <c r="Z73" s="7">
        <f t="shared" si="69"/>
        <v>0</v>
      </c>
    </row>
    <row r="74" spans="1:26" s="62" customFormat="1" x14ac:dyDescent="0.3">
      <c r="A74" s="36"/>
      <c r="B74" s="36"/>
      <c r="C74" s="36"/>
      <c r="D74" s="1"/>
      <c r="E74" s="1"/>
      <c r="F74" s="5"/>
      <c r="G74" s="1"/>
      <c r="H74" s="1"/>
      <c r="I74" s="1"/>
      <c r="J74" s="5"/>
      <c r="K74" s="1"/>
      <c r="L74" s="1"/>
      <c r="M74" s="1"/>
      <c r="N74" s="5"/>
      <c r="O74" s="36"/>
      <c r="P74" s="1"/>
      <c r="Q74" s="1"/>
      <c r="R74" s="5"/>
      <c r="S74" s="1"/>
      <c r="T74" s="1"/>
      <c r="U74" s="1"/>
      <c r="V74" s="5"/>
      <c r="W74" s="1"/>
      <c r="X74" s="1"/>
      <c r="Y74" s="1"/>
      <c r="Z74" s="5"/>
    </row>
    <row r="75" spans="1:26" s="23" customFormat="1" x14ac:dyDescent="0.3">
      <c r="A75" s="10"/>
      <c r="B75" s="25" t="s">
        <v>293</v>
      </c>
      <c r="C75" s="10"/>
      <c r="D75" s="4">
        <f>SUM(0)</f>
        <v>0</v>
      </c>
      <c r="E75" s="4"/>
      <c r="F75" s="12">
        <f>IF(D$12=0,0,D75/D$12)</f>
        <v>0</v>
      </c>
      <c r="G75" s="4"/>
      <c r="H75" s="4">
        <f>SUM(0)</f>
        <v>0</v>
      </c>
      <c r="I75" s="4"/>
      <c r="J75" s="12">
        <f>IF(H$12=0,0,H75/H$12)</f>
        <v>0</v>
      </c>
      <c r="K75" s="4"/>
      <c r="L75" s="4">
        <f>+D75-H75</f>
        <v>0</v>
      </c>
      <c r="M75" s="4"/>
      <c r="N75" s="12">
        <f>IF(H75=0,0,L75/H75)</f>
        <v>0</v>
      </c>
      <c r="O75" s="10"/>
      <c r="P75" s="4">
        <f>SUM(0)</f>
        <v>0</v>
      </c>
      <c r="Q75" s="4"/>
      <c r="R75" s="12">
        <f>IF(P$12=0,0,P75/P$12)</f>
        <v>0</v>
      </c>
      <c r="S75" s="4"/>
      <c r="T75" s="4">
        <f>SUM(0)</f>
        <v>0</v>
      </c>
      <c r="U75" s="4"/>
      <c r="V75" s="12">
        <f>IF(T$12=0,0,T75/T$12)</f>
        <v>0</v>
      </c>
      <c r="W75" s="4"/>
      <c r="X75" s="4">
        <f>+P75-T75</f>
        <v>0</v>
      </c>
      <c r="Y75" s="4"/>
      <c r="Z75" s="12">
        <f>IF(T75=0,0,X75/T75)</f>
        <v>0</v>
      </c>
    </row>
    <row r="76" spans="1:26" x14ac:dyDescent="0.3">
      <c r="A76" s="9"/>
      <c r="B76" s="10"/>
      <c r="C76" s="10"/>
      <c r="D76" s="2"/>
      <c r="E76" s="2"/>
      <c r="F76" s="6"/>
      <c r="G76" s="2"/>
      <c r="H76" s="2"/>
      <c r="I76" s="2"/>
      <c r="J76" s="6"/>
      <c r="K76" s="2"/>
      <c r="L76" s="2"/>
      <c r="M76" s="2"/>
      <c r="N76" s="6"/>
      <c r="O76" s="10"/>
      <c r="P76" s="2"/>
      <c r="Q76" s="2"/>
      <c r="R76" s="6"/>
      <c r="S76" s="2"/>
      <c r="T76" s="2"/>
      <c r="U76" s="2"/>
      <c r="V76" s="6"/>
      <c r="W76" s="2"/>
      <c r="X76" s="2"/>
      <c r="Y76" s="2"/>
      <c r="Z76" s="6"/>
    </row>
    <row r="77" spans="1:26" s="23" customFormat="1" x14ac:dyDescent="0.3">
      <c r="A77" s="10"/>
      <c r="B77" s="26" t="s">
        <v>277</v>
      </c>
      <c r="C77" s="26"/>
      <c r="D77" s="21">
        <f>+D20-D22+D75</f>
        <v>-11929.9</v>
      </c>
      <c r="E77" s="13"/>
      <c r="F77" s="22">
        <f>IF(D$12=0,0,D77/D$12)</f>
        <v>0</v>
      </c>
      <c r="G77" s="13"/>
      <c r="H77" s="21">
        <f>+H20-H22+H75</f>
        <v>-22117.248515384617</v>
      </c>
      <c r="I77" s="13"/>
      <c r="J77" s="22">
        <f>IF(H$12=0,0,H77/H$12)</f>
        <v>0</v>
      </c>
      <c r="K77" s="16"/>
      <c r="L77" s="21">
        <f>+D77-H77</f>
        <v>10187.348515384618</v>
      </c>
      <c r="M77" s="16"/>
      <c r="N77" s="22">
        <f>IF(H77=0,0,L77/H77)</f>
        <v>-0.46060650393733937</v>
      </c>
      <c r="O77" s="25"/>
      <c r="P77" s="21">
        <f>+P20-P22+P75</f>
        <v>-11929.9</v>
      </c>
      <c r="Q77" s="13"/>
      <c r="R77" s="22">
        <f>IF(P$12=0,0,P77/P$12)</f>
        <v>0</v>
      </c>
      <c r="S77" s="13"/>
      <c r="T77" s="21">
        <f>+T20-T22+T75</f>
        <v>-22117.248515384617</v>
      </c>
      <c r="U77" s="13"/>
      <c r="V77" s="22">
        <f>IF(T$12=0,0,T77/T$12)</f>
        <v>0</v>
      </c>
      <c r="W77" s="16"/>
      <c r="X77" s="21">
        <f>+P77-T77</f>
        <v>10187.348515384618</v>
      </c>
      <c r="Y77" s="16"/>
      <c r="Z77" s="22">
        <f>IF(T77=0,0,X77/T77)</f>
        <v>-0.46060650393733937</v>
      </c>
    </row>
    <row r="78" spans="1:26" x14ac:dyDescent="0.3">
      <c r="A78" s="9"/>
      <c r="B78" s="10"/>
      <c r="C78" s="9"/>
      <c r="D78" s="2"/>
      <c r="E78" s="2"/>
      <c r="F78" s="6"/>
      <c r="G78" s="2"/>
      <c r="H78" s="2"/>
      <c r="I78" s="2"/>
      <c r="J78" s="6"/>
      <c r="K78" s="2"/>
      <c r="L78" s="2"/>
      <c r="M78" s="2"/>
      <c r="N78" s="6"/>
      <c r="P78" s="2"/>
      <c r="Q78" s="2"/>
      <c r="R78" s="6"/>
      <c r="S78" s="2"/>
      <c r="T78" s="2"/>
      <c r="U78" s="2"/>
      <c r="V78" s="6"/>
      <c r="W78" s="2"/>
      <c r="X78" s="2"/>
      <c r="Y78" s="2"/>
      <c r="Z78" s="6"/>
    </row>
    <row r="79" spans="1:26" s="23" customFormat="1" x14ac:dyDescent="0.3">
      <c r="A79" s="52"/>
      <c r="B79" s="10" t="s">
        <v>128</v>
      </c>
      <c r="C79" s="10"/>
      <c r="D79" s="4"/>
      <c r="E79" s="4"/>
      <c r="F79" s="12">
        <f>IF(D$12=0,0,D79/D$12)</f>
        <v>0</v>
      </c>
      <c r="G79" s="4"/>
      <c r="H79" s="4">
        <v>0</v>
      </c>
      <c r="I79" s="4"/>
      <c r="J79" s="12">
        <f>IF(H$12=0,0,H79/H$12)</f>
        <v>0</v>
      </c>
      <c r="K79" s="4"/>
      <c r="L79" s="4">
        <f>+D79-H79</f>
        <v>0</v>
      </c>
      <c r="M79" s="4"/>
      <c r="N79" s="12">
        <f>IF(H79=0,0,L79/H79)</f>
        <v>0</v>
      </c>
      <c r="O79" s="10"/>
      <c r="P79" s="4"/>
      <c r="Q79" s="4"/>
      <c r="R79" s="12">
        <f>IF(P$12=0,0,P79/P$12)</f>
        <v>0</v>
      </c>
      <c r="S79" s="4"/>
      <c r="T79" s="4">
        <v>0</v>
      </c>
      <c r="U79" s="4"/>
      <c r="V79" s="12">
        <f>IF(T$12=0,0,T79/T$12)</f>
        <v>0</v>
      </c>
      <c r="W79" s="4"/>
      <c r="X79" s="4">
        <f>+P79-T79</f>
        <v>0</v>
      </c>
      <c r="Y79" s="4"/>
      <c r="Z79" s="12">
        <f>IF(T79=0,0,X79/T79)</f>
        <v>0</v>
      </c>
    </row>
    <row r="80" spans="1:26" x14ac:dyDescent="0.3">
      <c r="A80" s="9"/>
      <c r="B80" s="10"/>
      <c r="C80" s="10"/>
      <c r="D80" s="2"/>
      <c r="E80" s="2"/>
      <c r="F80" s="6"/>
      <c r="G80" s="2"/>
      <c r="H80" s="2"/>
      <c r="I80" s="2"/>
      <c r="J80" s="6"/>
      <c r="K80" s="2"/>
      <c r="L80" s="2"/>
      <c r="M80" s="2"/>
      <c r="N80" s="6"/>
      <c r="O80" s="10"/>
      <c r="P80" s="2"/>
      <c r="Q80" s="2"/>
      <c r="R80" s="6"/>
      <c r="S80" s="2"/>
      <c r="T80" s="2"/>
      <c r="U80" s="2"/>
      <c r="V80" s="6"/>
      <c r="W80" s="2"/>
      <c r="X80" s="2"/>
      <c r="Y80" s="2"/>
      <c r="Z80" s="6"/>
    </row>
    <row r="81" spans="1:26" s="23" customFormat="1" ht="15" thickBot="1" x14ac:dyDescent="0.35">
      <c r="A81" s="10"/>
      <c r="B81" s="26" t="s">
        <v>126</v>
      </c>
      <c r="C81" s="26"/>
      <c r="D81" s="35">
        <f>+D77-D79</f>
        <v>-11929.9</v>
      </c>
      <c r="E81" s="13"/>
      <c r="F81" s="30">
        <f>IF(D$12=0,0,D81/D$12)</f>
        <v>0</v>
      </c>
      <c r="G81" s="13"/>
      <c r="H81" s="35">
        <f>+H77-H79</f>
        <v>-22117.248515384617</v>
      </c>
      <c r="I81" s="13"/>
      <c r="J81" s="30">
        <f>IF(H$12=0,0,H81/H$12)</f>
        <v>0</v>
      </c>
      <c r="K81" s="16"/>
      <c r="L81" s="35">
        <f>D81-H81</f>
        <v>10187.348515384618</v>
      </c>
      <c r="M81" s="16"/>
      <c r="N81" s="30">
        <f>IF(H81=0,0,L81/H81)</f>
        <v>-0.46060650393733937</v>
      </c>
      <c r="O81" s="25"/>
      <c r="P81" s="35">
        <f>+P77-P79</f>
        <v>-11929.9</v>
      </c>
      <c r="Q81" s="13"/>
      <c r="R81" s="30">
        <f>IF(P$12=0,0,P81/P$12)</f>
        <v>0</v>
      </c>
      <c r="S81" s="13"/>
      <c r="T81" s="35">
        <f>+T77-T79</f>
        <v>-22117.248515384617</v>
      </c>
      <c r="U81" s="13"/>
      <c r="V81" s="30">
        <f>IF(T$12=0,0,T81/T$12)</f>
        <v>0</v>
      </c>
      <c r="W81" s="16"/>
      <c r="X81" s="35">
        <f>P81-T81</f>
        <v>10187.348515384618</v>
      </c>
      <c r="Y81" s="16"/>
      <c r="Z81" s="30">
        <f>IF(T81=0,0,X81/T81)</f>
        <v>-0.46060650393733937</v>
      </c>
    </row>
    <row r="82" spans="1:26" ht="15" thickTop="1" x14ac:dyDescent="0.3">
      <c r="A82" s="9"/>
      <c r="B82" s="9"/>
      <c r="C82" s="9"/>
      <c r="D82" s="2"/>
      <c r="E82" s="2"/>
      <c r="F82" s="6"/>
      <c r="G82" s="2"/>
      <c r="H82" s="2"/>
      <c r="I82" s="2"/>
      <c r="J82" s="6"/>
      <c r="K82" s="2"/>
      <c r="L82" s="2"/>
      <c r="M82" s="2"/>
      <c r="N82" s="6"/>
      <c r="P82" s="2"/>
      <c r="Q82" s="2"/>
      <c r="R82" s="6"/>
      <c r="S82" s="2"/>
      <c r="T82" s="2"/>
      <c r="U82" s="2"/>
      <c r="V82" s="6"/>
      <c r="W82" s="2"/>
      <c r="X82" s="2"/>
      <c r="Y82" s="2"/>
      <c r="Z82" s="6"/>
    </row>
    <row r="83" spans="1:26" x14ac:dyDescent="0.3">
      <c r="A83" s="9"/>
      <c r="B83" s="9"/>
      <c r="C83" s="9"/>
      <c r="D83" s="2"/>
      <c r="E83" s="2"/>
      <c r="F83" s="6"/>
      <c r="G83" s="2"/>
      <c r="H83" s="2"/>
      <c r="I83" s="2"/>
      <c r="J83" s="6"/>
      <c r="K83" s="2"/>
      <c r="L83" s="2"/>
      <c r="M83" s="2"/>
      <c r="N83" s="6"/>
      <c r="P83" s="2"/>
      <c r="Q83" s="2"/>
      <c r="R83" s="6"/>
      <c r="S83" s="2"/>
      <c r="T83" s="2"/>
      <c r="U83" s="2"/>
      <c r="V83" s="6"/>
      <c r="W83" s="2"/>
      <c r="X83" s="2"/>
      <c r="Y83" s="2"/>
      <c r="Z83" s="6"/>
    </row>
    <row r="84" spans="1:26" s="23" customFormat="1" ht="15" thickBot="1" x14ac:dyDescent="0.35">
      <c r="A84" s="10"/>
      <c r="B84" s="26" t="s">
        <v>294</v>
      </c>
      <c r="C84" s="26"/>
      <c r="D84" s="33">
        <f>SUM(D81:D83)</f>
        <v>-11929.9</v>
      </c>
      <c r="E84" s="13"/>
      <c r="F84" s="31">
        <f>IF(D$12=0,0,D84/D$12)</f>
        <v>0</v>
      </c>
      <c r="G84" s="13"/>
      <c r="H84" s="33">
        <f>SUM(H81:H83)</f>
        <v>-22117.248515384617</v>
      </c>
      <c r="I84" s="13"/>
      <c r="J84" s="31">
        <f>IF(H$12=0,0,H84/H$12)</f>
        <v>0</v>
      </c>
      <c r="K84" s="16"/>
      <c r="L84" s="33">
        <f>+D84-H84</f>
        <v>10187.348515384618</v>
      </c>
      <c r="M84" s="16"/>
      <c r="N84" s="31">
        <f>IF(H84=0,0,L84/H84)</f>
        <v>-0.46060650393733937</v>
      </c>
      <c r="O84" s="25"/>
      <c r="P84" s="33">
        <f>SUM(P81:P83)</f>
        <v>-11929.9</v>
      </c>
      <c r="Q84" s="13"/>
      <c r="R84" s="31">
        <f>IF(P$12=0,0,P84/P$12)</f>
        <v>0</v>
      </c>
      <c r="S84" s="13"/>
      <c r="T84" s="33">
        <f>SUM(T81:T83)</f>
        <v>-22117.248515384617</v>
      </c>
      <c r="U84" s="13"/>
      <c r="V84" s="31">
        <f>IF(T$12=0,0,T84/T$12)</f>
        <v>0</v>
      </c>
      <c r="W84" s="16"/>
      <c r="X84" s="33">
        <f>+P84-T84</f>
        <v>10187.348515384618</v>
      </c>
      <c r="Y84" s="16"/>
      <c r="Z84" s="31">
        <f>IF(T84=0,0,X84/T84)</f>
        <v>-0.46060650393733937</v>
      </c>
    </row>
    <row r="85" spans="1:26" ht="15" thickTop="1" x14ac:dyDescent="0.3">
      <c r="A85" s="9"/>
      <c r="C85" s="9"/>
      <c r="D85" s="18"/>
      <c r="E85" s="18"/>
      <c r="G85" s="18"/>
      <c r="H85" s="18"/>
      <c r="I85" s="18"/>
      <c r="J85" s="43"/>
      <c r="K85" s="18"/>
      <c r="L85" s="18"/>
      <c r="M85" s="18"/>
      <c r="P85" s="18"/>
      <c r="Q85" s="18"/>
      <c r="R85" s="43"/>
      <c r="S85" s="18"/>
      <c r="T85" s="18"/>
      <c r="U85" s="18"/>
      <c r="V85" s="43"/>
      <c r="W85" s="18"/>
      <c r="X85" s="18"/>
    </row>
    <row r="86" spans="1:26" x14ac:dyDescent="0.3">
      <c r="A86" s="9"/>
      <c r="B86" s="54">
        <v>44462.645460532411</v>
      </c>
      <c r="D86" s="18"/>
      <c r="E86" s="18"/>
      <c r="G86" s="18"/>
      <c r="H86" s="18"/>
      <c r="I86" s="18"/>
      <c r="J86" s="43"/>
      <c r="K86" s="18"/>
      <c r="L86" s="18"/>
      <c r="M86" s="18"/>
      <c r="P86" s="18"/>
      <c r="Q86" s="18"/>
      <c r="R86" s="43"/>
      <c r="S86" s="18"/>
      <c r="T86" s="18"/>
      <c r="U86" s="18"/>
      <c r="V86" s="43"/>
      <c r="W86" s="18"/>
      <c r="X86" s="18"/>
    </row>
    <row r="87" spans="1:26" x14ac:dyDescent="0.3">
      <c r="A87" s="9"/>
      <c r="B87" s="59" t="s">
        <v>56</v>
      </c>
      <c r="D87" s="18"/>
      <c r="E87" s="18"/>
      <c r="G87" s="18"/>
      <c r="H87" s="18"/>
      <c r="I87" s="18"/>
      <c r="J87" s="43"/>
      <c r="K87" s="18"/>
      <c r="L87" s="18"/>
      <c r="M87" s="18"/>
      <c r="P87" s="18"/>
      <c r="Q87" s="18"/>
      <c r="R87" s="43"/>
      <c r="S87" s="18"/>
      <c r="T87" s="18"/>
      <c r="U87" s="18"/>
      <c r="V87" s="43"/>
      <c r="W87" s="18"/>
      <c r="X87" s="18"/>
    </row>
    <row r="88" spans="1:26" x14ac:dyDescent="0.3">
      <c r="A88" s="9"/>
      <c r="B88" s="55"/>
      <c r="D88" s="18"/>
      <c r="E88" s="18"/>
      <c r="G88" s="18"/>
      <c r="H88" s="18"/>
      <c r="I88" s="18"/>
      <c r="J88" s="43"/>
      <c r="K88" s="18"/>
      <c r="L88" s="18"/>
      <c r="M88" s="18"/>
      <c r="P88" s="18"/>
      <c r="Q88" s="18"/>
      <c r="R88" s="43"/>
      <c r="S88" s="18"/>
      <c r="T88" s="18"/>
      <c r="U88" s="18"/>
      <c r="V88" s="43"/>
      <c r="W88" s="18"/>
      <c r="X88" s="18"/>
    </row>
    <row r="89" spans="1:26" x14ac:dyDescent="0.3">
      <c r="D89" s="18"/>
      <c r="E89" s="18"/>
      <c r="G89" s="18"/>
      <c r="H89" s="18"/>
      <c r="I89" s="18"/>
      <c r="J89" s="43"/>
      <c r="K89" s="18"/>
      <c r="L89" s="18"/>
      <c r="M89" s="18"/>
      <c r="P89" s="18"/>
      <c r="Q89" s="18"/>
      <c r="R89" s="43"/>
      <c r="S89" s="18"/>
      <c r="T89" s="18"/>
      <c r="U89" s="18"/>
      <c r="V89" s="43"/>
      <c r="W89" s="18"/>
      <c r="X89" s="18"/>
    </row>
  </sheetData>
  <pageMargins left="0.25" right="0.25" top="0.75" bottom="0.75" header="0.3" footer="0.3"/>
  <pageSetup scale="55" fitToWidth="2" orientation="landscape"/>
  <drawing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>
    <tabColor rgb="FF92D050"/>
    <outlinePr summaryBelow="0" summaryRight="0"/>
  </sheetPr>
  <dimension ref="A2:Z40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50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7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50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7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7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7" customWidth="1" outlineLevel="1"/>
  </cols>
  <sheetData>
    <row r="2" spans="1:26" x14ac:dyDescent="0.3">
      <c r="D2" s="57" t="s">
        <v>23</v>
      </c>
    </row>
    <row r="3" spans="1:26" x14ac:dyDescent="0.3">
      <c r="D3" s="57" t="s">
        <v>237</v>
      </c>
      <c r="E3" s="17"/>
      <c r="F3" s="51"/>
      <c r="G3" s="17"/>
      <c r="H3" s="17"/>
      <c r="I3" s="17"/>
      <c r="J3" s="39"/>
      <c r="K3" s="17"/>
      <c r="L3" s="17"/>
      <c r="M3" s="17"/>
      <c r="N3" s="51"/>
      <c r="O3" s="61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3">
      <c r="D4" s="57" t="str">
        <f>CONCATENATE("Period ",RIGHT(202201,2),", ",2022)</f>
        <v>Period 01, 2022</v>
      </c>
      <c r="E4" s="17"/>
      <c r="F4" s="51"/>
      <c r="G4" s="17"/>
      <c r="H4" s="17"/>
      <c r="I4" s="17"/>
      <c r="J4" s="39"/>
      <c r="K4" s="17"/>
      <c r="L4" s="17"/>
      <c r="M4" s="17"/>
      <c r="N4" s="51"/>
      <c r="O4" s="61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3">
      <c r="A5" s="23"/>
      <c r="D5" s="64">
        <v>44408</v>
      </c>
      <c r="E5" s="17"/>
      <c r="F5" s="51"/>
      <c r="G5" s="17"/>
      <c r="H5" s="17"/>
      <c r="I5" s="17"/>
      <c r="J5" s="39"/>
      <c r="K5" s="17"/>
      <c r="L5" s="17"/>
      <c r="M5" s="17"/>
      <c r="N5" s="51"/>
      <c r="O5" s="61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3">
      <c r="A6" s="23"/>
      <c r="B6" s="47"/>
      <c r="C6" s="47"/>
      <c r="D6" s="23" t="str">
        <f>CONCATENATE("Department ","309", " - ", "Carts")</f>
        <v>Department 309 - Carts</v>
      </c>
      <c r="E6" s="17"/>
      <c r="F6" s="51"/>
      <c r="G6" s="17"/>
      <c r="H6" s="17"/>
      <c r="I6" s="17"/>
      <c r="J6" s="39"/>
      <c r="K6" s="17"/>
      <c r="L6" s="17"/>
      <c r="M6" s="17"/>
      <c r="N6" s="51"/>
      <c r="O6" s="60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3">
      <c r="B7" s="63"/>
    </row>
    <row r="8" spans="1:26" x14ac:dyDescent="0.3">
      <c r="B8" s="63"/>
    </row>
    <row r="9" spans="1:26" x14ac:dyDescent="0.3">
      <c r="B9" s="9"/>
      <c r="C9" s="9"/>
      <c r="D9" s="15" t="s">
        <v>292</v>
      </c>
      <c r="E9" s="15"/>
      <c r="F9" s="38"/>
      <c r="G9" s="15"/>
      <c r="H9" s="15"/>
      <c r="I9" s="15"/>
      <c r="J9" s="49"/>
      <c r="K9" s="15"/>
      <c r="L9" s="15"/>
      <c r="M9" s="15"/>
      <c r="N9" s="38"/>
      <c r="P9" s="15" t="s">
        <v>39</v>
      </c>
      <c r="Q9" s="15"/>
      <c r="R9" s="38"/>
      <c r="S9" s="15"/>
      <c r="T9" s="15"/>
      <c r="U9" s="15"/>
      <c r="V9" s="49"/>
      <c r="W9" s="15"/>
      <c r="X9" s="15"/>
      <c r="Y9" s="15"/>
      <c r="Z9" s="38"/>
    </row>
    <row r="10" spans="1:26" x14ac:dyDescent="0.3">
      <c r="A10" s="10"/>
      <c r="B10" s="53"/>
      <c r="C10" s="10"/>
      <c r="D10" s="42" t="s">
        <v>57</v>
      </c>
      <c r="E10" s="34"/>
      <c r="F10" s="40" t="s">
        <v>40</v>
      </c>
      <c r="G10" s="34"/>
      <c r="H10" s="45" t="s">
        <v>238</v>
      </c>
      <c r="I10" s="34"/>
      <c r="J10" s="48" t="s">
        <v>58</v>
      </c>
      <c r="K10" s="10"/>
      <c r="L10" s="42" t="s">
        <v>127</v>
      </c>
      <c r="M10" s="10"/>
      <c r="N10" s="40" t="s">
        <v>258</v>
      </c>
      <c r="O10" s="10"/>
      <c r="P10" s="56" t="s">
        <v>57</v>
      </c>
      <c r="Q10" s="34"/>
      <c r="R10" s="40" t="s">
        <v>40</v>
      </c>
      <c r="S10" s="34"/>
      <c r="T10" s="45" t="s">
        <v>238</v>
      </c>
      <c r="U10" s="34"/>
      <c r="V10" s="48" t="s">
        <v>58</v>
      </c>
      <c r="W10" s="10"/>
      <c r="X10" s="42" t="s">
        <v>127</v>
      </c>
      <c r="Y10" s="10"/>
      <c r="Z10" s="40" t="s">
        <v>258</v>
      </c>
    </row>
    <row r="11" spans="1:26" ht="15.6" x14ac:dyDescent="0.3">
      <c r="A11" s="9"/>
      <c r="B11" s="58"/>
      <c r="C11" s="9"/>
      <c r="D11" s="9"/>
      <c r="E11" s="9"/>
      <c r="F11" s="6"/>
      <c r="G11" s="9"/>
      <c r="H11" s="9"/>
      <c r="I11" s="9"/>
      <c r="J11" s="46"/>
      <c r="K11" s="9"/>
      <c r="L11" s="9"/>
      <c r="M11" s="9"/>
      <c r="N11" s="6"/>
      <c r="P11" s="9"/>
      <c r="Q11" s="9"/>
      <c r="R11" s="6"/>
      <c r="S11" s="9"/>
      <c r="T11" s="9"/>
      <c r="U11" s="9"/>
      <c r="V11" s="46"/>
      <c r="W11" s="9"/>
      <c r="X11" s="9"/>
      <c r="Y11" s="9"/>
      <c r="Z11" s="6"/>
    </row>
    <row r="12" spans="1:26" s="23" customFormat="1" x14ac:dyDescent="0.3">
      <c r="A12" s="10"/>
      <c r="B12" s="25" t="s">
        <v>140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3">
      <c r="A13" s="9"/>
      <c r="B13" s="10"/>
      <c r="C13" s="9"/>
      <c r="D13" s="2"/>
      <c r="E13" s="2"/>
      <c r="F13" s="6"/>
      <c r="G13" s="2"/>
      <c r="H13" s="2"/>
      <c r="I13" s="2"/>
      <c r="J13" s="6"/>
      <c r="K13" s="2"/>
      <c r="L13" s="2"/>
      <c r="M13" s="2"/>
      <c r="N13" s="6"/>
      <c r="P13" s="2"/>
      <c r="Q13" s="2"/>
      <c r="R13" s="6"/>
      <c r="S13" s="2"/>
      <c r="T13" s="2"/>
      <c r="U13" s="2"/>
      <c r="V13" s="6"/>
      <c r="W13" s="2"/>
      <c r="X13" s="2"/>
      <c r="Y13" s="2"/>
      <c r="Z13" s="6"/>
    </row>
    <row r="14" spans="1:26" s="23" customFormat="1" x14ac:dyDescent="0.3">
      <c r="A14" s="10"/>
      <c r="B14" s="25" t="s">
        <v>257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3">
      <c r="A15" s="9"/>
      <c r="B15" s="10"/>
      <c r="C15" s="10"/>
      <c r="D15" s="2"/>
      <c r="E15" s="2"/>
      <c r="F15" s="6"/>
      <c r="G15" s="2"/>
      <c r="H15" s="2"/>
      <c r="I15" s="2"/>
      <c r="J15" s="6"/>
      <c r="K15" s="2"/>
      <c r="L15" s="2"/>
      <c r="M15" s="2"/>
      <c r="N15" s="6"/>
      <c r="O15" s="10"/>
      <c r="P15" s="2"/>
      <c r="Q15" s="2"/>
      <c r="R15" s="6"/>
      <c r="S15" s="2"/>
      <c r="T15" s="2"/>
      <c r="U15" s="2"/>
      <c r="V15" s="6"/>
      <c r="W15" s="2"/>
      <c r="X15" s="2"/>
      <c r="Y15" s="2"/>
      <c r="Z15" s="6"/>
    </row>
    <row r="16" spans="1:26" s="23" customFormat="1" x14ac:dyDescent="0.3">
      <c r="A16" s="10"/>
      <c r="B16" s="26" t="s">
        <v>108</v>
      </c>
      <c r="C16" s="26"/>
      <c r="D16" s="21">
        <f>D12-D14</f>
        <v>0</v>
      </c>
      <c r="E16" s="13"/>
      <c r="F16" s="22">
        <f>IF(D$12=0,0,D16/D$12)</f>
        <v>0</v>
      </c>
      <c r="G16" s="13"/>
      <c r="H16" s="21">
        <f>H12-H14</f>
        <v>0</v>
      </c>
      <c r="I16" s="13"/>
      <c r="J16" s="22">
        <f>IF(H$12=0,0,H16/H$12)</f>
        <v>0</v>
      </c>
      <c r="K16" s="16"/>
      <c r="L16" s="21">
        <f>+D16-H16</f>
        <v>0</v>
      </c>
      <c r="M16" s="16"/>
      <c r="N16" s="22">
        <f>IF(H16=0,0,L16/H16)</f>
        <v>0</v>
      </c>
      <c r="O16" s="25"/>
      <c r="P16" s="21">
        <f>P12-P14</f>
        <v>0</v>
      </c>
      <c r="Q16" s="13"/>
      <c r="R16" s="22">
        <f>IF(P$12=0,0,P16/P$12)</f>
        <v>0</v>
      </c>
      <c r="S16" s="13"/>
      <c r="T16" s="21">
        <f>T12-T14</f>
        <v>0</v>
      </c>
      <c r="U16" s="13"/>
      <c r="V16" s="22">
        <f>IF(T$12=0,0,T16/T$12)</f>
        <v>0</v>
      </c>
      <c r="W16" s="16"/>
      <c r="X16" s="21">
        <f>+P16-T16</f>
        <v>0</v>
      </c>
      <c r="Y16" s="16"/>
      <c r="Z16" s="22">
        <f>IF(T16=0,0,X16/T16)</f>
        <v>0</v>
      </c>
    </row>
    <row r="17" spans="1:26" x14ac:dyDescent="0.3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3">
      <c r="A18" s="10"/>
      <c r="B18" s="25" t="s">
        <v>295</v>
      </c>
      <c r="C18" s="10"/>
      <c r="D18" s="20">
        <f>SUM(OSRRefD22x_0)</f>
        <v>770.79000000000008</v>
      </c>
      <c r="E18" s="20"/>
      <c r="F18" s="32">
        <f t="shared" ref="F18:F24" si="0">IF(D$12=0,0,D18/D$12)</f>
        <v>0</v>
      </c>
      <c r="G18" s="20"/>
      <c r="H18" s="20">
        <f>SUM(OSRRefH22x_0)</f>
        <v>588</v>
      </c>
      <c r="I18" s="20"/>
      <c r="J18" s="32">
        <f t="shared" ref="J18:J24" si="1">IF(H$12=0,0,H18/H$12)</f>
        <v>0</v>
      </c>
      <c r="K18" s="4"/>
      <c r="L18" s="20">
        <f t="shared" ref="L18:L24" si="2">+D18-H18</f>
        <v>182.79000000000008</v>
      </c>
      <c r="M18" s="4"/>
      <c r="N18" s="32">
        <f t="shared" ref="N18:N24" si="3">IF(H18=0,0,L18/H18)</f>
        <v>0.31086734693877566</v>
      </c>
      <c r="O18" s="10"/>
      <c r="P18" s="20">
        <f>SUM(OSRRefP22x_0)</f>
        <v>770.79000000000008</v>
      </c>
      <c r="Q18" s="20"/>
      <c r="R18" s="32">
        <f t="shared" ref="R18:R24" si="4">IF(P$12=0,0,P18/P$12)</f>
        <v>0</v>
      </c>
      <c r="S18" s="20"/>
      <c r="T18" s="20">
        <f>SUM(OSRRefT22x_0)</f>
        <v>588</v>
      </c>
      <c r="U18" s="20"/>
      <c r="V18" s="32">
        <f t="shared" ref="V18:V24" si="5">IF(T$12=0,0,T18/T$12)</f>
        <v>0</v>
      </c>
      <c r="W18" s="4"/>
      <c r="X18" s="20">
        <f t="shared" ref="X18:X24" si="6">+P18-T18</f>
        <v>182.79000000000008</v>
      </c>
      <c r="Y18" s="4"/>
      <c r="Z18" s="32">
        <f t="shared" ref="Z18:Z24" si="7">IF(T18=0,0,X18/T18)</f>
        <v>0.31086734693877566</v>
      </c>
    </row>
    <row r="19" spans="1:26" s="27" customFormat="1" outlineLevel="1" collapsed="1" x14ac:dyDescent="0.3">
      <c r="A19" s="28"/>
      <c r="B19" s="14" t="str">
        <f>CONCATENATE("     ","Depreciation                                      ")</f>
        <v xml:space="preserve">     Depreciation                                      </v>
      </c>
      <c r="C19" s="14"/>
      <c r="D19" s="1">
        <f>SUM(OSRRefD22_0x_0)</f>
        <v>588.94000000000005</v>
      </c>
      <c r="E19" s="1"/>
      <c r="F19" s="5">
        <f t="shared" si="0"/>
        <v>0</v>
      </c>
      <c r="G19" s="1"/>
      <c r="H19" s="1">
        <f>SUM(OSRRefH22_0x_0)</f>
        <v>588</v>
      </c>
      <c r="I19" s="1"/>
      <c r="J19" s="5">
        <f t="shared" si="1"/>
        <v>0</v>
      </c>
      <c r="K19" s="1"/>
      <c r="L19" s="1">
        <f t="shared" si="2"/>
        <v>0.94000000000005457</v>
      </c>
      <c r="M19" s="1"/>
      <c r="N19" s="5">
        <f t="shared" si="3"/>
        <v>1.5986394557824057E-3</v>
      </c>
      <c r="O19" s="14"/>
      <c r="P19" s="1">
        <f>SUM(OSRRefP22_0x_0)</f>
        <v>588.94000000000005</v>
      </c>
      <c r="Q19" s="1"/>
      <c r="R19" s="5">
        <f t="shared" si="4"/>
        <v>0</v>
      </c>
      <c r="S19" s="1"/>
      <c r="T19" s="1">
        <f>SUM(OSRRefT22_0x_0)</f>
        <v>588</v>
      </c>
      <c r="U19" s="1"/>
      <c r="V19" s="5">
        <f t="shared" si="5"/>
        <v>0</v>
      </c>
      <c r="W19" s="1"/>
      <c r="X19" s="1">
        <f t="shared" si="6"/>
        <v>0.94000000000005457</v>
      </c>
      <c r="Y19" s="1"/>
      <c r="Z19" s="5">
        <f t="shared" si="7"/>
        <v>1.5986394557824057E-3</v>
      </c>
    </row>
    <row r="20" spans="1:26" s="24" customFormat="1" hidden="1" outlineLevel="2" x14ac:dyDescent="0.3">
      <c r="A20" s="29"/>
      <c r="B20" s="11" t="str">
        <f>CONCATENATE("          ", "6322", " - ", "EQUIPMENT DEPRECIATION EXPENSE")</f>
        <v xml:space="preserve">          6322 - EQUIPMENT DEPRECIATION EXPENSE</v>
      </c>
      <c r="C20" s="11"/>
      <c r="D20" s="8">
        <v>588.94000000000005</v>
      </c>
      <c r="E20" s="3"/>
      <c r="F20" s="7">
        <f t="shared" si="0"/>
        <v>0</v>
      </c>
      <c r="G20" s="3"/>
      <c r="H20" s="8">
        <v>588</v>
      </c>
      <c r="I20" s="3"/>
      <c r="J20" s="7">
        <f t="shared" si="1"/>
        <v>0</v>
      </c>
      <c r="K20" s="3"/>
      <c r="L20" s="8">
        <f t="shared" si="2"/>
        <v>0.94000000000005457</v>
      </c>
      <c r="M20" s="3"/>
      <c r="N20" s="7">
        <f t="shared" si="3"/>
        <v>1.5986394557824057E-3</v>
      </c>
      <c r="O20" s="11"/>
      <c r="P20" s="8">
        <v>588.94000000000005</v>
      </c>
      <c r="Q20" s="3"/>
      <c r="R20" s="7">
        <f t="shared" si="4"/>
        <v>0</v>
      </c>
      <c r="S20" s="3"/>
      <c r="T20" s="8">
        <v>588</v>
      </c>
      <c r="U20" s="3"/>
      <c r="V20" s="7">
        <f t="shared" si="5"/>
        <v>0</v>
      </c>
      <c r="W20" s="3"/>
      <c r="X20" s="8">
        <f t="shared" si="6"/>
        <v>0.94000000000005457</v>
      </c>
      <c r="Y20" s="3"/>
      <c r="Z20" s="7">
        <f t="shared" si="7"/>
        <v>1.5986394557824057E-3</v>
      </c>
    </row>
    <row r="21" spans="1:26" s="27" customFormat="1" outlineLevel="1" collapsed="1" x14ac:dyDescent="0.3">
      <c r="A21" s="28"/>
      <c r="B21" s="14" t="str">
        <f>CONCATENATE("     ","Services                                          ")</f>
        <v xml:space="preserve">     Services                                          </v>
      </c>
      <c r="C21" s="14"/>
      <c r="D21" s="1">
        <f>SUM(OSRRefD22_1x_0)</f>
        <v>151.85</v>
      </c>
      <c r="E21" s="1"/>
      <c r="F21" s="5">
        <f t="shared" si="0"/>
        <v>0</v>
      </c>
      <c r="G21" s="1"/>
      <c r="H21" s="1">
        <f>SUM(OSRRefH22_1x_0)</f>
        <v>0</v>
      </c>
      <c r="I21" s="1"/>
      <c r="J21" s="5">
        <f t="shared" si="1"/>
        <v>0</v>
      </c>
      <c r="K21" s="1"/>
      <c r="L21" s="1">
        <f t="shared" si="2"/>
        <v>151.85</v>
      </c>
      <c r="M21" s="1"/>
      <c r="N21" s="5">
        <f t="shared" si="3"/>
        <v>0</v>
      </c>
      <c r="O21" s="14"/>
      <c r="P21" s="1">
        <f>SUM(OSRRefP22_1x_0)</f>
        <v>151.85</v>
      </c>
      <c r="Q21" s="1"/>
      <c r="R21" s="5">
        <f t="shared" si="4"/>
        <v>0</v>
      </c>
      <c r="S21" s="1"/>
      <c r="T21" s="1">
        <f>SUM(OSRRefT22_1x_0)</f>
        <v>0</v>
      </c>
      <c r="U21" s="1"/>
      <c r="V21" s="5">
        <f t="shared" si="5"/>
        <v>0</v>
      </c>
      <c r="W21" s="1"/>
      <c r="X21" s="1">
        <f t="shared" si="6"/>
        <v>151.85</v>
      </c>
      <c r="Y21" s="1"/>
      <c r="Z21" s="5">
        <f t="shared" si="7"/>
        <v>0</v>
      </c>
    </row>
    <row r="22" spans="1:26" s="24" customFormat="1" hidden="1" outlineLevel="2" x14ac:dyDescent="0.3">
      <c r="A22" s="29"/>
      <c r="B22" s="11" t="str">
        <f>CONCATENATE("          ", "6282", " - ", "JANITORIAL/EXTERMINATOR EXPENS")</f>
        <v xml:space="preserve">          6282 - JANITORIAL/EXTERMINATOR EXPENS</v>
      </c>
      <c r="C22" s="11"/>
      <c r="D22" s="8">
        <v>151.85</v>
      </c>
      <c r="E22" s="3"/>
      <c r="F22" s="7">
        <f t="shared" si="0"/>
        <v>0</v>
      </c>
      <c r="G22" s="3"/>
      <c r="H22" s="8"/>
      <c r="I22" s="3"/>
      <c r="J22" s="7">
        <f t="shared" si="1"/>
        <v>0</v>
      </c>
      <c r="K22" s="3"/>
      <c r="L22" s="8">
        <f t="shared" si="2"/>
        <v>151.85</v>
      </c>
      <c r="M22" s="3"/>
      <c r="N22" s="7">
        <f t="shared" si="3"/>
        <v>0</v>
      </c>
      <c r="O22" s="11"/>
      <c r="P22" s="8">
        <v>151.85</v>
      </c>
      <c r="Q22" s="3"/>
      <c r="R22" s="7">
        <f t="shared" si="4"/>
        <v>0</v>
      </c>
      <c r="S22" s="3"/>
      <c r="T22" s="8"/>
      <c r="U22" s="3"/>
      <c r="V22" s="7">
        <f t="shared" si="5"/>
        <v>0</v>
      </c>
      <c r="W22" s="3"/>
      <c r="X22" s="8">
        <f t="shared" si="6"/>
        <v>151.85</v>
      </c>
      <c r="Y22" s="3"/>
      <c r="Z22" s="7">
        <f t="shared" si="7"/>
        <v>0</v>
      </c>
    </row>
    <row r="23" spans="1:26" s="27" customFormat="1" outlineLevel="1" collapsed="1" x14ac:dyDescent="0.3">
      <c r="A23" s="28"/>
      <c r="B23" s="14" t="str">
        <f>CONCATENATE("     ","Telephone/Data Lines                              ")</f>
        <v xml:space="preserve">     Telephone/Data Lines                              </v>
      </c>
      <c r="C23" s="14"/>
      <c r="D23" s="1">
        <f>SUM(OSRRefD22_2x_0)</f>
        <v>30</v>
      </c>
      <c r="E23" s="1"/>
      <c r="F23" s="5">
        <f t="shared" si="0"/>
        <v>0</v>
      </c>
      <c r="G23" s="1"/>
      <c r="H23" s="1">
        <f>SUM(OSRRefH22_2x_0)</f>
        <v>0</v>
      </c>
      <c r="I23" s="1"/>
      <c r="J23" s="5">
        <f t="shared" si="1"/>
        <v>0</v>
      </c>
      <c r="K23" s="1"/>
      <c r="L23" s="1">
        <f t="shared" si="2"/>
        <v>30</v>
      </c>
      <c r="M23" s="1"/>
      <c r="N23" s="5">
        <f t="shared" si="3"/>
        <v>0</v>
      </c>
      <c r="O23" s="14"/>
      <c r="P23" s="1">
        <f>SUM(OSRRefP22_2x_0)</f>
        <v>30</v>
      </c>
      <c r="Q23" s="1"/>
      <c r="R23" s="5">
        <f t="shared" si="4"/>
        <v>0</v>
      </c>
      <c r="S23" s="1"/>
      <c r="T23" s="1">
        <f>SUM(OSRRefT22_2x_0)</f>
        <v>0</v>
      </c>
      <c r="U23" s="1"/>
      <c r="V23" s="5">
        <f t="shared" si="5"/>
        <v>0</v>
      </c>
      <c r="W23" s="1"/>
      <c r="X23" s="1">
        <f t="shared" si="6"/>
        <v>30</v>
      </c>
      <c r="Y23" s="1"/>
      <c r="Z23" s="5">
        <f t="shared" si="7"/>
        <v>0</v>
      </c>
    </row>
    <row r="24" spans="1:26" s="24" customFormat="1" hidden="1" outlineLevel="2" x14ac:dyDescent="0.3">
      <c r="A24" s="29"/>
      <c r="B24" s="11" t="str">
        <f>CONCATENATE("          ", "6309", " - ", "TELEPHONE")</f>
        <v xml:space="preserve">          6309 - TELEPHONE</v>
      </c>
      <c r="C24" s="11"/>
      <c r="D24" s="8">
        <v>30</v>
      </c>
      <c r="E24" s="3"/>
      <c r="F24" s="7">
        <f t="shared" si="0"/>
        <v>0</v>
      </c>
      <c r="G24" s="3"/>
      <c r="H24" s="8"/>
      <c r="I24" s="3"/>
      <c r="J24" s="7">
        <f t="shared" si="1"/>
        <v>0</v>
      </c>
      <c r="K24" s="3"/>
      <c r="L24" s="8">
        <f t="shared" si="2"/>
        <v>30</v>
      </c>
      <c r="M24" s="3"/>
      <c r="N24" s="7">
        <f t="shared" si="3"/>
        <v>0</v>
      </c>
      <c r="O24" s="11"/>
      <c r="P24" s="8">
        <v>30</v>
      </c>
      <c r="Q24" s="3"/>
      <c r="R24" s="7">
        <f t="shared" si="4"/>
        <v>0</v>
      </c>
      <c r="S24" s="3"/>
      <c r="T24" s="8"/>
      <c r="U24" s="3"/>
      <c r="V24" s="7">
        <f t="shared" si="5"/>
        <v>0</v>
      </c>
      <c r="W24" s="3"/>
      <c r="X24" s="8">
        <f t="shared" si="6"/>
        <v>30</v>
      </c>
      <c r="Y24" s="3"/>
      <c r="Z24" s="7">
        <f t="shared" si="7"/>
        <v>0</v>
      </c>
    </row>
    <row r="25" spans="1:26" s="62" customFormat="1" x14ac:dyDescent="0.3">
      <c r="A25" s="36"/>
      <c r="B25" s="36"/>
      <c r="C25" s="36"/>
      <c r="D25" s="1"/>
      <c r="E25" s="1"/>
      <c r="F25" s="5"/>
      <c r="G25" s="1"/>
      <c r="H25" s="1"/>
      <c r="I25" s="1"/>
      <c r="J25" s="5"/>
      <c r="K25" s="1"/>
      <c r="L25" s="1"/>
      <c r="M25" s="1"/>
      <c r="N25" s="5"/>
      <c r="O25" s="36"/>
      <c r="P25" s="1"/>
      <c r="Q25" s="1"/>
      <c r="R25" s="5"/>
      <c r="S25" s="1"/>
      <c r="T25" s="1"/>
      <c r="U25" s="1"/>
      <c r="V25" s="5"/>
      <c r="W25" s="1"/>
      <c r="X25" s="1"/>
      <c r="Y25" s="1"/>
      <c r="Z25" s="5"/>
    </row>
    <row r="26" spans="1:26" s="23" customFormat="1" x14ac:dyDescent="0.3">
      <c r="A26" s="10"/>
      <c r="B26" s="25" t="s">
        <v>293</v>
      </c>
      <c r="C26" s="10"/>
      <c r="D26" s="4">
        <f>SUM(0)</f>
        <v>0</v>
      </c>
      <c r="E26" s="4"/>
      <c r="F26" s="12">
        <f>IF(D$12=0,0,D26/D$12)</f>
        <v>0</v>
      </c>
      <c r="G26" s="4"/>
      <c r="H26" s="4">
        <f>SUM(0)</f>
        <v>0</v>
      </c>
      <c r="I26" s="4"/>
      <c r="J26" s="12">
        <f>IF(H$12=0,0,H26/H$12)</f>
        <v>0</v>
      </c>
      <c r="K26" s="4"/>
      <c r="L26" s="4">
        <f>+D26-H26</f>
        <v>0</v>
      </c>
      <c r="M26" s="4"/>
      <c r="N26" s="12">
        <f>IF(H26=0,0,L26/H26)</f>
        <v>0</v>
      </c>
      <c r="O26" s="10"/>
      <c r="P26" s="4">
        <f>SUM(0)</f>
        <v>0</v>
      </c>
      <c r="Q26" s="4"/>
      <c r="R26" s="12">
        <f>IF(P$12=0,0,P26/P$12)</f>
        <v>0</v>
      </c>
      <c r="S26" s="4"/>
      <c r="T26" s="4">
        <f>SUM(0)</f>
        <v>0</v>
      </c>
      <c r="U26" s="4"/>
      <c r="V26" s="12">
        <f>IF(T$12=0,0,T26/T$12)</f>
        <v>0</v>
      </c>
      <c r="W26" s="4"/>
      <c r="X26" s="4">
        <f>+P26-T26</f>
        <v>0</v>
      </c>
      <c r="Y26" s="4"/>
      <c r="Z26" s="12">
        <f>IF(T26=0,0,X26/T26)</f>
        <v>0</v>
      </c>
    </row>
    <row r="27" spans="1:26" x14ac:dyDescent="0.3">
      <c r="A27" s="9"/>
      <c r="B27" s="10"/>
      <c r="C27" s="10"/>
      <c r="D27" s="2"/>
      <c r="E27" s="2"/>
      <c r="F27" s="6"/>
      <c r="G27" s="2"/>
      <c r="H27" s="2"/>
      <c r="I27" s="2"/>
      <c r="J27" s="6"/>
      <c r="K27" s="2"/>
      <c r="L27" s="2"/>
      <c r="M27" s="2"/>
      <c r="N27" s="6"/>
      <c r="O27" s="10"/>
      <c r="P27" s="2"/>
      <c r="Q27" s="2"/>
      <c r="R27" s="6"/>
      <c r="S27" s="2"/>
      <c r="T27" s="2"/>
      <c r="U27" s="2"/>
      <c r="V27" s="6"/>
      <c r="W27" s="2"/>
      <c r="X27" s="2"/>
      <c r="Y27" s="2"/>
      <c r="Z27" s="6"/>
    </row>
    <row r="28" spans="1:26" s="23" customFormat="1" x14ac:dyDescent="0.3">
      <c r="A28" s="10"/>
      <c r="B28" s="26" t="s">
        <v>277</v>
      </c>
      <c r="C28" s="26"/>
      <c r="D28" s="21">
        <f>+D16-D18+D26</f>
        <v>-770.79000000000008</v>
      </c>
      <c r="E28" s="13"/>
      <c r="F28" s="22">
        <f>IF(D$12=0,0,D28/D$12)</f>
        <v>0</v>
      </c>
      <c r="G28" s="13"/>
      <c r="H28" s="21">
        <f>+H16-H18+H26</f>
        <v>-588</v>
      </c>
      <c r="I28" s="13"/>
      <c r="J28" s="22">
        <f>IF(H$12=0,0,H28/H$12)</f>
        <v>0</v>
      </c>
      <c r="K28" s="16"/>
      <c r="L28" s="21">
        <f>+D28-H28</f>
        <v>-182.79000000000008</v>
      </c>
      <c r="M28" s="16"/>
      <c r="N28" s="22">
        <f>IF(H28=0,0,L28/H28)</f>
        <v>0.31086734693877566</v>
      </c>
      <c r="O28" s="25"/>
      <c r="P28" s="21">
        <f>+P16-P18+P26</f>
        <v>-770.79000000000008</v>
      </c>
      <c r="Q28" s="13"/>
      <c r="R28" s="22">
        <f>IF(P$12=0,0,P28/P$12)</f>
        <v>0</v>
      </c>
      <c r="S28" s="13"/>
      <c r="T28" s="21">
        <f>+T16-T18+T26</f>
        <v>-588</v>
      </c>
      <c r="U28" s="13"/>
      <c r="V28" s="22">
        <f>IF(T$12=0,0,T28/T$12)</f>
        <v>0</v>
      </c>
      <c r="W28" s="16"/>
      <c r="X28" s="21">
        <f>+P28-T28</f>
        <v>-182.79000000000008</v>
      </c>
      <c r="Y28" s="16"/>
      <c r="Z28" s="22">
        <f>IF(T28=0,0,X28/T28)</f>
        <v>0.31086734693877566</v>
      </c>
    </row>
    <row r="29" spans="1:26" x14ac:dyDescent="0.3">
      <c r="A29" s="9"/>
      <c r="B29" s="10"/>
      <c r="C29" s="9"/>
      <c r="D29" s="2"/>
      <c r="E29" s="2"/>
      <c r="F29" s="6"/>
      <c r="G29" s="2"/>
      <c r="H29" s="2"/>
      <c r="I29" s="2"/>
      <c r="J29" s="6"/>
      <c r="K29" s="2"/>
      <c r="L29" s="2"/>
      <c r="M29" s="2"/>
      <c r="N29" s="6"/>
      <c r="P29" s="2"/>
      <c r="Q29" s="2"/>
      <c r="R29" s="6"/>
      <c r="S29" s="2"/>
      <c r="T29" s="2"/>
      <c r="U29" s="2"/>
      <c r="V29" s="6"/>
      <c r="W29" s="2"/>
      <c r="X29" s="2"/>
      <c r="Y29" s="2"/>
      <c r="Z29" s="6"/>
    </row>
    <row r="30" spans="1:26" s="23" customFormat="1" x14ac:dyDescent="0.3">
      <c r="A30" s="52"/>
      <c r="B30" s="10" t="s">
        <v>128</v>
      </c>
      <c r="C30" s="10"/>
      <c r="D30" s="4"/>
      <c r="E30" s="4"/>
      <c r="F30" s="12">
        <f>IF(D$12=0,0,D30/D$12)</f>
        <v>0</v>
      </c>
      <c r="G30" s="4"/>
      <c r="H30" s="4"/>
      <c r="I30" s="4"/>
      <c r="J30" s="12">
        <f>IF(H$12=0,0,H30/H$12)</f>
        <v>0</v>
      </c>
      <c r="K30" s="4"/>
      <c r="L30" s="4">
        <f>+D30-H30</f>
        <v>0</v>
      </c>
      <c r="M30" s="4"/>
      <c r="N30" s="12">
        <f>IF(H30=0,0,L30/H30)</f>
        <v>0</v>
      </c>
      <c r="O30" s="10"/>
      <c r="P30" s="4"/>
      <c r="Q30" s="4"/>
      <c r="R30" s="12">
        <f>IF(P$12=0,0,P30/P$12)</f>
        <v>0</v>
      </c>
      <c r="S30" s="4"/>
      <c r="T30" s="4"/>
      <c r="U30" s="4"/>
      <c r="V30" s="12">
        <f>IF(T$12=0,0,T30/T$12)</f>
        <v>0</v>
      </c>
      <c r="W30" s="4"/>
      <c r="X30" s="4">
        <f>+P30-T30</f>
        <v>0</v>
      </c>
      <c r="Y30" s="4"/>
      <c r="Z30" s="12">
        <f>IF(T30=0,0,X30/T30)</f>
        <v>0</v>
      </c>
    </row>
    <row r="31" spans="1:26" x14ac:dyDescent="0.3">
      <c r="A31" s="9"/>
      <c r="B31" s="10"/>
      <c r="C31" s="10"/>
      <c r="D31" s="2"/>
      <c r="E31" s="2"/>
      <c r="F31" s="6"/>
      <c r="G31" s="2"/>
      <c r="H31" s="2"/>
      <c r="I31" s="2"/>
      <c r="J31" s="6"/>
      <c r="K31" s="2"/>
      <c r="L31" s="2"/>
      <c r="M31" s="2"/>
      <c r="N31" s="6"/>
      <c r="O31" s="10"/>
      <c r="P31" s="2"/>
      <c r="Q31" s="2"/>
      <c r="R31" s="6"/>
      <c r="S31" s="2"/>
      <c r="T31" s="2"/>
      <c r="U31" s="2"/>
      <c r="V31" s="6"/>
      <c r="W31" s="2"/>
      <c r="X31" s="2"/>
      <c r="Y31" s="2"/>
      <c r="Z31" s="6"/>
    </row>
    <row r="32" spans="1:26" s="23" customFormat="1" ht="15" thickBot="1" x14ac:dyDescent="0.35">
      <c r="A32" s="10"/>
      <c r="B32" s="26" t="s">
        <v>126</v>
      </c>
      <c r="C32" s="26"/>
      <c r="D32" s="35">
        <f>+D28-D30</f>
        <v>-770.79000000000008</v>
      </c>
      <c r="E32" s="13"/>
      <c r="F32" s="30">
        <f>IF(D$12=0,0,D32/D$12)</f>
        <v>0</v>
      </c>
      <c r="G32" s="13"/>
      <c r="H32" s="35">
        <f>+H28-H30</f>
        <v>-588</v>
      </c>
      <c r="I32" s="13"/>
      <c r="J32" s="30">
        <f>IF(H$12=0,0,H32/H$12)</f>
        <v>0</v>
      </c>
      <c r="K32" s="16"/>
      <c r="L32" s="35">
        <f>D32-H32</f>
        <v>-182.79000000000008</v>
      </c>
      <c r="M32" s="16"/>
      <c r="N32" s="30">
        <f>IF(H32=0,0,L32/H32)</f>
        <v>0.31086734693877566</v>
      </c>
      <c r="O32" s="25"/>
      <c r="P32" s="35">
        <f>+P28-P30</f>
        <v>-770.79000000000008</v>
      </c>
      <c r="Q32" s="13"/>
      <c r="R32" s="30">
        <f>IF(P$12=0,0,P32/P$12)</f>
        <v>0</v>
      </c>
      <c r="S32" s="13"/>
      <c r="T32" s="35">
        <f>+T28-T30</f>
        <v>-588</v>
      </c>
      <c r="U32" s="13"/>
      <c r="V32" s="30">
        <f>IF(T$12=0,0,T32/T$12)</f>
        <v>0</v>
      </c>
      <c r="W32" s="16"/>
      <c r="X32" s="35">
        <f>P32-T32</f>
        <v>-182.79000000000008</v>
      </c>
      <c r="Y32" s="16"/>
      <c r="Z32" s="30">
        <f>IF(T32=0,0,X32/T32)</f>
        <v>0.31086734693877566</v>
      </c>
    </row>
    <row r="33" spans="1:26" ht="15" thickTop="1" x14ac:dyDescent="0.3">
      <c r="A33" s="9"/>
      <c r="B33" s="9"/>
      <c r="C33" s="9"/>
      <c r="D33" s="2"/>
      <c r="E33" s="2"/>
      <c r="F33" s="6"/>
      <c r="G33" s="2"/>
      <c r="H33" s="2"/>
      <c r="I33" s="2"/>
      <c r="J33" s="6"/>
      <c r="K33" s="2"/>
      <c r="L33" s="2"/>
      <c r="M33" s="2"/>
      <c r="N33" s="6"/>
      <c r="P33" s="2"/>
      <c r="Q33" s="2"/>
      <c r="R33" s="6"/>
      <c r="S33" s="2"/>
      <c r="T33" s="2"/>
      <c r="U33" s="2"/>
      <c r="V33" s="6"/>
      <c r="W33" s="2"/>
      <c r="X33" s="2"/>
      <c r="Y33" s="2"/>
      <c r="Z33" s="6"/>
    </row>
    <row r="34" spans="1:26" x14ac:dyDescent="0.3">
      <c r="A34" s="9"/>
      <c r="B34" s="9"/>
      <c r="C34" s="9"/>
      <c r="D34" s="2"/>
      <c r="E34" s="2"/>
      <c r="F34" s="6"/>
      <c r="G34" s="2"/>
      <c r="H34" s="2"/>
      <c r="I34" s="2"/>
      <c r="J34" s="6"/>
      <c r="K34" s="2"/>
      <c r="L34" s="2"/>
      <c r="M34" s="2"/>
      <c r="N34" s="6"/>
      <c r="P34" s="2"/>
      <c r="Q34" s="2"/>
      <c r="R34" s="6"/>
      <c r="S34" s="2"/>
      <c r="T34" s="2"/>
      <c r="U34" s="2"/>
      <c r="V34" s="6"/>
      <c r="W34" s="2"/>
      <c r="X34" s="2"/>
      <c r="Y34" s="2"/>
      <c r="Z34" s="6"/>
    </row>
    <row r="35" spans="1:26" s="23" customFormat="1" ht="15" thickBot="1" x14ac:dyDescent="0.35">
      <c r="A35" s="10"/>
      <c r="B35" s="26" t="s">
        <v>294</v>
      </c>
      <c r="C35" s="26"/>
      <c r="D35" s="33">
        <f>SUM(D32:D34)</f>
        <v>-770.79000000000008</v>
      </c>
      <c r="E35" s="13"/>
      <c r="F35" s="31">
        <f>IF(D$12=0,0,D35/D$12)</f>
        <v>0</v>
      </c>
      <c r="G35" s="13"/>
      <c r="H35" s="33">
        <f>SUM(H32:H34)</f>
        <v>-588</v>
      </c>
      <c r="I35" s="13"/>
      <c r="J35" s="31">
        <f>IF(H$12=0,0,H35/H$12)</f>
        <v>0</v>
      </c>
      <c r="K35" s="16"/>
      <c r="L35" s="33">
        <f>+D35-H35</f>
        <v>-182.79000000000008</v>
      </c>
      <c r="M35" s="16"/>
      <c r="N35" s="31">
        <f>IF(H35=0,0,L35/H35)</f>
        <v>0.31086734693877566</v>
      </c>
      <c r="O35" s="25"/>
      <c r="P35" s="33">
        <f>SUM(P32:P34)</f>
        <v>-770.79000000000008</v>
      </c>
      <c r="Q35" s="13"/>
      <c r="R35" s="31">
        <f>IF(P$12=0,0,P35/P$12)</f>
        <v>0</v>
      </c>
      <c r="S35" s="13"/>
      <c r="T35" s="33">
        <f>SUM(T32:T34)</f>
        <v>-588</v>
      </c>
      <c r="U35" s="13"/>
      <c r="V35" s="31">
        <f>IF(T$12=0,0,T35/T$12)</f>
        <v>0</v>
      </c>
      <c r="W35" s="16"/>
      <c r="X35" s="33">
        <f>+P35-T35</f>
        <v>-182.79000000000008</v>
      </c>
      <c r="Y35" s="16"/>
      <c r="Z35" s="31">
        <f>IF(T35=0,0,X35/T35)</f>
        <v>0.31086734693877566</v>
      </c>
    </row>
    <row r="36" spans="1:26" ht="15" thickTop="1" x14ac:dyDescent="0.3">
      <c r="A36" s="9"/>
      <c r="C36" s="9"/>
      <c r="D36" s="18"/>
      <c r="E36" s="18"/>
      <c r="G36" s="18"/>
      <c r="H36" s="18"/>
      <c r="I36" s="18"/>
      <c r="J36" s="43"/>
      <c r="K36" s="18"/>
      <c r="L36" s="18"/>
      <c r="M36" s="18"/>
      <c r="P36" s="18"/>
      <c r="Q36" s="18"/>
      <c r="R36" s="43"/>
      <c r="S36" s="18"/>
      <c r="T36" s="18"/>
      <c r="U36" s="18"/>
      <c r="V36" s="43"/>
      <c r="W36" s="18"/>
      <c r="X36" s="18"/>
    </row>
    <row r="37" spans="1:26" x14ac:dyDescent="0.3">
      <c r="A37" s="9"/>
      <c r="B37" s="54">
        <v>44462.64548684028</v>
      </c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3">
      <c r="A38" s="9"/>
      <c r="B38" s="59" t="s">
        <v>56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3">
      <c r="A39" s="9"/>
      <c r="B39" s="55"/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3"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</sheetData>
  <pageMargins left="0.25" right="0.25" top="0.75" bottom="0.75" header="0.3" footer="0.3"/>
  <pageSetup scale="55" fitToWidth="2" orientation="landscape"/>
  <drawing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>
    <tabColor rgb="FF92D050"/>
    <outlinePr summaryBelow="0" summaryRight="0"/>
  </sheetPr>
  <dimension ref="A2:Z36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50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7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50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7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7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7" customWidth="1" outlineLevel="1"/>
  </cols>
  <sheetData>
    <row r="2" spans="1:26" x14ac:dyDescent="0.3">
      <c r="D2" s="57" t="s">
        <v>23</v>
      </c>
    </row>
    <row r="3" spans="1:26" x14ac:dyDescent="0.3">
      <c r="D3" s="57" t="s">
        <v>237</v>
      </c>
      <c r="E3" s="17"/>
      <c r="F3" s="51"/>
      <c r="G3" s="17"/>
      <c r="H3" s="17"/>
      <c r="I3" s="17"/>
      <c r="J3" s="39"/>
      <c r="K3" s="17"/>
      <c r="L3" s="17"/>
      <c r="M3" s="17"/>
      <c r="N3" s="51"/>
      <c r="O3" s="61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3">
      <c r="D4" s="57" t="str">
        <f>CONCATENATE("Period ",RIGHT(202201,2),", ",2022)</f>
        <v>Period 01, 2022</v>
      </c>
      <c r="E4" s="17"/>
      <c r="F4" s="51"/>
      <c r="G4" s="17"/>
      <c r="H4" s="17"/>
      <c r="I4" s="17"/>
      <c r="J4" s="39"/>
      <c r="K4" s="17"/>
      <c r="L4" s="17"/>
      <c r="M4" s="17"/>
      <c r="N4" s="51"/>
      <c r="O4" s="61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3">
      <c r="A5" s="23"/>
      <c r="D5" s="64">
        <v>44408</v>
      </c>
      <c r="E5" s="17"/>
      <c r="F5" s="51"/>
      <c r="G5" s="17"/>
      <c r="H5" s="17"/>
      <c r="I5" s="17"/>
      <c r="J5" s="39"/>
      <c r="K5" s="17"/>
      <c r="L5" s="17"/>
      <c r="M5" s="17"/>
      <c r="N5" s="51"/>
      <c r="O5" s="61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3">
      <c r="A6" s="23"/>
      <c r="B6" s="47"/>
      <c r="C6" s="47"/>
      <c r="D6" s="23" t="str">
        <f>CONCATENATE("Department ","313", " - ", "Convenience Store")</f>
        <v>Department 313 - Convenience Store</v>
      </c>
      <c r="E6" s="17"/>
      <c r="F6" s="51"/>
      <c r="G6" s="17"/>
      <c r="H6" s="17"/>
      <c r="I6" s="17"/>
      <c r="J6" s="39"/>
      <c r="K6" s="17"/>
      <c r="L6" s="17"/>
      <c r="M6" s="17"/>
      <c r="N6" s="51"/>
      <c r="O6" s="60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3">
      <c r="B7" s="63"/>
    </row>
    <row r="8" spans="1:26" x14ac:dyDescent="0.3">
      <c r="B8" s="63"/>
    </row>
    <row r="9" spans="1:26" x14ac:dyDescent="0.3">
      <c r="B9" s="9"/>
      <c r="C9" s="9"/>
      <c r="D9" s="15" t="s">
        <v>292</v>
      </c>
      <c r="E9" s="15"/>
      <c r="F9" s="38"/>
      <c r="G9" s="15"/>
      <c r="H9" s="15"/>
      <c r="I9" s="15"/>
      <c r="J9" s="49"/>
      <c r="K9" s="15"/>
      <c r="L9" s="15"/>
      <c r="M9" s="15"/>
      <c r="N9" s="38"/>
      <c r="P9" s="15" t="s">
        <v>39</v>
      </c>
      <c r="Q9" s="15"/>
      <c r="R9" s="38"/>
      <c r="S9" s="15"/>
      <c r="T9" s="15"/>
      <c r="U9" s="15"/>
      <c r="V9" s="49"/>
      <c r="W9" s="15"/>
      <c r="X9" s="15"/>
      <c r="Y9" s="15"/>
      <c r="Z9" s="38"/>
    </row>
    <row r="10" spans="1:26" x14ac:dyDescent="0.3">
      <c r="A10" s="10"/>
      <c r="B10" s="53"/>
      <c r="C10" s="10"/>
      <c r="D10" s="42" t="s">
        <v>57</v>
      </c>
      <c r="E10" s="34"/>
      <c r="F10" s="40" t="s">
        <v>40</v>
      </c>
      <c r="G10" s="34"/>
      <c r="H10" s="45" t="s">
        <v>238</v>
      </c>
      <c r="I10" s="34"/>
      <c r="J10" s="48" t="s">
        <v>58</v>
      </c>
      <c r="K10" s="10"/>
      <c r="L10" s="42" t="s">
        <v>127</v>
      </c>
      <c r="M10" s="10"/>
      <c r="N10" s="40" t="s">
        <v>258</v>
      </c>
      <c r="O10" s="10"/>
      <c r="P10" s="56" t="s">
        <v>57</v>
      </c>
      <c r="Q10" s="34"/>
      <c r="R10" s="40" t="s">
        <v>40</v>
      </c>
      <c r="S10" s="34"/>
      <c r="T10" s="45" t="s">
        <v>238</v>
      </c>
      <c r="U10" s="34"/>
      <c r="V10" s="48" t="s">
        <v>58</v>
      </c>
      <c r="W10" s="10"/>
      <c r="X10" s="42" t="s">
        <v>127</v>
      </c>
      <c r="Y10" s="10"/>
      <c r="Z10" s="40" t="s">
        <v>258</v>
      </c>
    </row>
    <row r="11" spans="1:26" ht="15.6" x14ac:dyDescent="0.3">
      <c r="A11" s="9"/>
      <c r="B11" s="58"/>
      <c r="C11" s="9"/>
      <c r="D11" s="9"/>
      <c r="E11" s="9"/>
      <c r="F11" s="6"/>
      <c r="G11" s="9"/>
      <c r="H11" s="9"/>
      <c r="I11" s="9"/>
      <c r="J11" s="46"/>
      <c r="K11" s="9"/>
      <c r="L11" s="9"/>
      <c r="M11" s="9"/>
      <c r="N11" s="6"/>
      <c r="P11" s="9"/>
      <c r="Q11" s="9"/>
      <c r="R11" s="6"/>
      <c r="S11" s="9"/>
      <c r="T11" s="9"/>
      <c r="U11" s="9"/>
      <c r="V11" s="46"/>
      <c r="W11" s="9"/>
      <c r="X11" s="9"/>
      <c r="Y11" s="9"/>
      <c r="Z11" s="6"/>
    </row>
    <row r="12" spans="1:26" s="23" customFormat="1" x14ac:dyDescent="0.3">
      <c r="A12" s="10"/>
      <c r="B12" s="25" t="s">
        <v>140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3">
      <c r="A13" s="9"/>
      <c r="B13" s="10"/>
      <c r="C13" s="9"/>
      <c r="D13" s="2"/>
      <c r="E13" s="2"/>
      <c r="F13" s="6"/>
      <c r="G13" s="2"/>
      <c r="H13" s="2"/>
      <c r="I13" s="2"/>
      <c r="J13" s="6"/>
      <c r="K13" s="2"/>
      <c r="L13" s="2"/>
      <c r="M13" s="2"/>
      <c r="N13" s="6"/>
      <c r="P13" s="2"/>
      <c r="Q13" s="2"/>
      <c r="R13" s="6"/>
      <c r="S13" s="2"/>
      <c r="T13" s="2"/>
      <c r="U13" s="2"/>
      <c r="V13" s="6"/>
      <c r="W13" s="2"/>
      <c r="X13" s="2"/>
      <c r="Y13" s="2"/>
      <c r="Z13" s="6"/>
    </row>
    <row r="14" spans="1:26" s="23" customFormat="1" x14ac:dyDescent="0.3">
      <c r="A14" s="10"/>
      <c r="B14" s="25" t="s">
        <v>257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3">
      <c r="A15" s="9"/>
      <c r="B15" s="10"/>
      <c r="C15" s="10"/>
      <c r="D15" s="2"/>
      <c r="E15" s="2"/>
      <c r="F15" s="6"/>
      <c r="G15" s="2"/>
      <c r="H15" s="2"/>
      <c r="I15" s="2"/>
      <c r="J15" s="6"/>
      <c r="K15" s="2"/>
      <c r="L15" s="2"/>
      <c r="M15" s="2"/>
      <c r="N15" s="6"/>
      <c r="O15" s="10"/>
      <c r="P15" s="2"/>
      <c r="Q15" s="2"/>
      <c r="R15" s="6"/>
      <c r="S15" s="2"/>
      <c r="T15" s="2"/>
      <c r="U15" s="2"/>
      <c r="V15" s="6"/>
      <c r="W15" s="2"/>
      <c r="X15" s="2"/>
      <c r="Y15" s="2"/>
      <c r="Z15" s="6"/>
    </row>
    <row r="16" spans="1:26" s="23" customFormat="1" x14ac:dyDescent="0.3">
      <c r="A16" s="10"/>
      <c r="B16" s="26" t="s">
        <v>108</v>
      </c>
      <c r="C16" s="26"/>
      <c r="D16" s="21">
        <f>D12-D14</f>
        <v>0</v>
      </c>
      <c r="E16" s="13"/>
      <c r="F16" s="22">
        <f>IF(D$12=0,0,D16/D$12)</f>
        <v>0</v>
      </c>
      <c r="G16" s="13"/>
      <c r="H16" s="21">
        <f>H12-H14</f>
        <v>0</v>
      </c>
      <c r="I16" s="13"/>
      <c r="J16" s="22">
        <f>IF(H$12=0,0,H16/H$12)</f>
        <v>0</v>
      </c>
      <c r="K16" s="16"/>
      <c r="L16" s="21">
        <f>+D16-H16</f>
        <v>0</v>
      </c>
      <c r="M16" s="16"/>
      <c r="N16" s="22">
        <f>IF(H16=0,0,L16/H16)</f>
        <v>0</v>
      </c>
      <c r="O16" s="25"/>
      <c r="P16" s="21">
        <f>P12-P14</f>
        <v>0</v>
      </c>
      <c r="Q16" s="13"/>
      <c r="R16" s="22">
        <f>IF(P$12=0,0,P16/P$12)</f>
        <v>0</v>
      </c>
      <c r="S16" s="13"/>
      <c r="T16" s="21">
        <f>T12-T14</f>
        <v>0</v>
      </c>
      <c r="U16" s="13"/>
      <c r="V16" s="22">
        <f>IF(T$12=0,0,T16/T$12)</f>
        <v>0</v>
      </c>
      <c r="W16" s="16"/>
      <c r="X16" s="21">
        <f>+P16-T16</f>
        <v>0</v>
      </c>
      <c r="Y16" s="16"/>
      <c r="Z16" s="22">
        <f>IF(T16=0,0,X16/T16)</f>
        <v>0</v>
      </c>
    </row>
    <row r="17" spans="1:26" x14ac:dyDescent="0.3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3">
      <c r="A18" s="10"/>
      <c r="B18" s="25" t="s">
        <v>295</v>
      </c>
      <c r="C18" s="10"/>
      <c r="D18" s="20">
        <f>SUM(OSRRefD22x_0)</f>
        <v>-47.7</v>
      </c>
      <c r="E18" s="20"/>
      <c r="F18" s="32">
        <f t="shared" ref="F18:F20" si="0">IF(D$12=0,0,D18/D$12)</f>
        <v>0</v>
      </c>
      <c r="G18" s="20"/>
      <c r="H18" s="20">
        <f>SUM(OSRRefH22x_0)</f>
        <v>0</v>
      </c>
      <c r="I18" s="20"/>
      <c r="J18" s="32">
        <f t="shared" ref="J18:J20" si="1">IF(H$12=0,0,H18/H$12)</f>
        <v>0</v>
      </c>
      <c r="K18" s="4"/>
      <c r="L18" s="20">
        <f t="shared" ref="L18:L20" si="2">+D18-H18</f>
        <v>-47.7</v>
      </c>
      <c r="M18" s="4"/>
      <c r="N18" s="32">
        <f t="shared" ref="N18:N20" si="3">IF(H18=0,0,L18/H18)</f>
        <v>0</v>
      </c>
      <c r="O18" s="10"/>
      <c r="P18" s="20">
        <f>SUM(OSRRefP22x_0)</f>
        <v>-47.7</v>
      </c>
      <c r="Q18" s="20"/>
      <c r="R18" s="32">
        <f t="shared" ref="R18:R20" si="4">IF(P$12=0,0,P18/P$12)</f>
        <v>0</v>
      </c>
      <c r="S18" s="20"/>
      <c r="T18" s="20">
        <f>SUM(OSRRefT22x_0)</f>
        <v>0</v>
      </c>
      <c r="U18" s="20"/>
      <c r="V18" s="32">
        <f t="shared" ref="V18:V20" si="5">IF(T$12=0,0,T18/T$12)</f>
        <v>0</v>
      </c>
      <c r="W18" s="4"/>
      <c r="X18" s="20">
        <f t="shared" ref="X18:X20" si="6">+P18-T18</f>
        <v>-47.7</v>
      </c>
      <c r="Y18" s="4"/>
      <c r="Z18" s="32">
        <f t="shared" ref="Z18:Z20" si="7">IF(T18=0,0,X18/T18)</f>
        <v>0</v>
      </c>
    </row>
    <row r="19" spans="1:26" s="27" customFormat="1" outlineLevel="1" collapsed="1" x14ac:dyDescent="0.3">
      <c r="A19" s="28"/>
      <c r="B19" s="14" t="str">
        <f>CONCATENATE("     ","Telephone/Data Lines                              ")</f>
        <v xml:space="preserve">     Telephone/Data Lines                              </v>
      </c>
      <c r="C19" s="14"/>
      <c r="D19" s="1">
        <f>SUM(OSRRefD22_0x_0)</f>
        <v>-47.7</v>
      </c>
      <c r="E19" s="1"/>
      <c r="F19" s="5">
        <f t="shared" si="0"/>
        <v>0</v>
      </c>
      <c r="G19" s="1"/>
      <c r="H19" s="1">
        <f>SUM(OSRRefH22_0x_0)</f>
        <v>0</v>
      </c>
      <c r="I19" s="1"/>
      <c r="J19" s="5">
        <f t="shared" si="1"/>
        <v>0</v>
      </c>
      <c r="K19" s="1"/>
      <c r="L19" s="1">
        <f t="shared" si="2"/>
        <v>-47.7</v>
      </c>
      <c r="M19" s="1"/>
      <c r="N19" s="5">
        <f t="shared" si="3"/>
        <v>0</v>
      </c>
      <c r="O19" s="14"/>
      <c r="P19" s="1">
        <f>SUM(OSRRefP22_0x_0)</f>
        <v>-47.7</v>
      </c>
      <c r="Q19" s="1"/>
      <c r="R19" s="5">
        <f t="shared" si="4"/>
        <v>0</v>
      </c>
      <c r="S19" s="1"/>
      <c r="T19" s="1">
        <f>SUM(OSRRefT22_0x_0)</f>
        <v>0</v>
      </c>
      <c r="U19" s="1"/>
      <c r="V19" s="5">
        <f t="shared" si="5"/>
        <v>0</v>
      </c>
      <c r="W19" s="1"/>
      <c r="X19" s="1">
        <f t="shared" si="6"/>
        <v>-47.7</v>
      </c>
      <c r="Y19" s="1"/>
      <c r="Z19" s="5">
        <f t="shared" si="7"/>
        <v>0</v>
      </c>
    </row>
    <row r="20" spans="1:26" s="24" customFormat="1" hidden="1" outlineLevel="2" x14ac:dyDescent="0.3">
      <c r="A20" s="29"/>
      <c r="B20" s="11" t="str">
        <f>CONCATENATE("          ", "6309", " - ", "TELEPHONE")</f>
        <v xml:space="preserve">          6309 - TELEPHONE</v>
      </c>
      <c r="C20" s="11"/>
      <c r="D20" s="8">
        <v>-47.7</v>
      </c>
      <c r="E20" s="3"/>
      <c r="F20" s="7">
        <f t="shared" si="0"/>
        <v>0</v>
      </c>
      <c r="G20" s="3"/>
      <c r="H20" s="8"/>
      <c r="I20" s="3"/>
      <c r="J20" s="7">
        <f t="shared" si="1"/>
        <v>0</v>
      </c>
      <c r="K20" s="3"/>
      <c r="L20" s="8">
        <f t="shared" si="2"/>
        <v>-47.7</v>
      </c>
      <c r="M20" s="3"/>
      <c r="N20" s="7">
        <f t="shared" si="3"/>
        <v>0</v>
      </c>
      <c r="O20" s="11"/>
      <c r="P20" s="8">
        <v>-47.7</v>
      </c>
      <c r="Q20" s="3"/>
      <c r="R20" s="7">
        <f t="shared" si="4"/>
        <v>0</v>
      </c>
      <c r="S20" s="3"/>
      <c r="T20" s="8"/>
      <c r="U20" s="3"/>
      <c r="V20" s="7">
        <f t="shared" si="5"/>
        <v>0</v>
      </c>
      <c r="W20" s="3"/>
      <c r="X20" s="8">
        <f t="shared" si="6"/>
        <v>-47.7</v>
      </c>
      <c r="Y20" s="3"/>
      <c r="Z20" s="7">
        <f t="shared" si="7"/>
        <v>0</v>
      </c>
    </row>
    <row r="21" spans="1:26" s="62" customFormat="1" x14ac:dyDescent="0.3">
      <c r="A21" s="36"/>
      <c r="B21" s="36"/>
      <c r="C21" s="36"/>
      <c r="D21" s="1"/>
      <c r="E21" s="1"/>
      <c r="F21" s="5"/>
      <c r="G21" s="1"/>
      <c r="H21" s="1"/>
      <c r="I21" s="1"/>
      <c r="J21" s="5"/>
      <c r="K21" s="1"/>
      <c r="L21" s="1"/>
      <c r="M21" s="1"/>
      <c r="N21" s="5"/>
      <c r="O21" s="36"/>
      <c r="P21" s="1"/>
      <c r="Q21" s="1"/>
      <c r="R21" s="5"/>
      <c r="S21" s="1"/>
      <c r="T21" s="1"/>
      <c r="U21" s="1"/>
      <c r="V21" s="5"/>
      <c r="W21" s="1"/>
      <c r="X21" s="1"/>
      <c r="Y21" s="1"/>
      <c r="Z21" s="5"/>
    </row>
    <row r="22" spans="1:26" s="23" customFormat="1" x14ac:dyDescent="0.3">
      <c r="A22" s="10"/>
      <c r="B22" s="25" t="s">
        <v>293</v>
      </c>
      <c r="C22" s="10"/>
      <c r="D22" s="4">
        <f>SUM(0)</f>
        <v>0</v>
      </c>
      <c r="E22" s="4"/>
      <c r="F22" s="12">
        <f>IF(D$12=0,0,D22/D$12)</f>
        <v>0</v>
      </c>
      <c r="G22" s="4"/>
      <c r="H22" s="4">
        <f>SUM(0)</f>
        <v>0</v>
      </c>
      <c r="I22" s="4"/>
      <c r="J22" s="12">
        <f>IF(H$12=0,0,H22/H$12)</f>
        <v>0</v>
      </c>
      <c r="K22" s="4"/>
      <c r="L22" s="4">
        <f>+D22-H22</f>
        <v>0</v>
      </c>
      <c r="M22" s="4"/>
      <c r="N22" s="12">
        <f>IF(H22=0,0,L22/H22)</f>
        <v>0</v>
      </c>
      <c r="O22" s="10"/>
      <c r="P22" s="4">
        <f>SUM(0)</f>
        <v>0</v>
      </c>
      <c r="Q22" s="4"/>
      <c r="R22" s="12">
        <f>IF(P$12=0,0,P22/P$12)</f>
        <v>0</v>
      </c>
      <c r="S22" s="4"/>
      <c r="T22" s="4">
        <f>SUM(0)</f>
        <v>0</v>
      </c>
      <c r="U22" s="4"/>
      <c r="V22" s="12">
        <f>IF(T$12=0,0,T22/T$12)</f>
        <v>0</v>
      </c>
      <c r="W22" s="4"/>
      <c r="X22" s="4">
        <f>+P22-T22</f>
        <v>0</v>
      </c>
      <c r="Y22" s="4"/>
      <c r="Z22" s="12">
        <f>IF(T22=0,0,X22/T22)</f>
        <v>0</v>
      </c>
    </row>
    <row r="23" spans="1:26" x14ac:dyDescent="0.3">
      <c r="A23" s="9"/>
      <c r="B23" s="10"/>
      <c r="C23" s="10"/>
      <c r="D23" s="2"/>
      <c r="E23" s="2"/>
      <c r="F23" s="6"/>
      <c r="G23" s="2"/>
      <c r="H23" s="2"/>
      <c r="I23" s="2"/>
      <c r="J23" s="6"/>
      <c r="K23" s="2"/>
      <c r="L23" s="2"/>
      <c r="M23" s="2"/>
      <c r="N23" s="6"/>
      <c r="O23" s="10"/>
      <c r="P23" s="2"/>
      <c r="Q23" s="2"/>
      <c r="R23" s="6"/>
      <c r="S23" s="2"/>
      <c r="T23" s="2"/>
      <c r="U23" s="2"/>
      <c r="V23" s="6"/>
      <c r="W23" s="2"/>
      <c r="X23" s="2"/>
      <c r="Y23" s="2"/>
      <c r="Z23" s="6"/>
    </row>
    <row r="24" spans="1:26" s="23" customFormat="1" x14ac:dyDescent="0.3">
      <c r="A24" s="10"/>
      <c r="B24" s="26" t="s">
        <v>277</v>
      </c>
      <c r="C24" s="26"/>
      <c r="D24" s="21">
        <f>+D16-D18+D22</f>
        <v>47.7</v>
      </c>
      <c r="E24" s="13"/>
      <c r="F24" s="22">
        <f>IF(D$12=0,0,D24/D$12)</f>
        <v>0</v>
      </c>
      <c r="G24" s="13"/>
      <c r="H24" s="21">
        <f>+H16-H18+H22</f>
        <v>0</v>
      </c>
      <c r="I24" s="13"/>
      <c r="J24" s="22">
        <f>IF(H$12=0,0,H24/H$12)</f>
        <v>0</v>
      </c>
      <c r="K24" s="16"/>
      <c r="L24" s="21">
        <f>+D24-H24</f>
        <v>47.7</v>
      </c>
      <c r="M24" s="16"/>
      <c r="N24" s="22">
        <f>IF(H24=0,0,L24/H24)</f>
        <v>0</v>
      </c>
      <c r="O24" s="25"/>
      <c r="P24" s="21">
        <f>+P16-P18+P22</f>
        <v>47.7</v>
      </c>
      <c r="Q24" s="13"/>
      <c r="R24" s="22">
        <f>IF(P$12=0,0,P24/P$12)</f>
        <v>0</v>
      </c>
      <c r="S24" s="13"/>
      <c r="T24" s="21">
        <f>+T16-T18+T22</f>
        <v>0</v>
      </c>
      <c r="U24" s="13"/>
      <c r="V24" s="22">
        <f>IF(T$12=0,0,T24/T$12)</f>
        <v>0</v>
      </c>
      <c r="W24" s="16"/>
      <c r="X24" s="21">
        <f>+P24-T24</f>
        <v>47.7</v>
      </c>
      <c r="Y24" s="16"/>
      <c r="Z24" s="22">
        <f>IF(T24=0,0,X24/T24)</f>
        <v>0</v>
      </c>
    </row>
    <row r="25" spans="1:26" x14ac:dyDescent="0.3">
      <c r="A25" s="9"/>
      <c r="B25" s="10"/>
      <c r="C25" s="9"/>
      <c r="D25" s="2"/>
      <c r="E25" s="2"/>
      <c r="F25" s="6"/>
      <c r="G25" s="2"/>
      <c r="H25" s="2"/>
      <c r="I25" s="2"/>
      <c r="J25" s="6"/>
      <c r="K25" s="2"/>
      <c r="L25" s="2"/>
      <c r="M25" s="2"/>
      <c r="N25" s="6"/>
      <c r="P25" s="2"/>
      <c r="Q25" s="2"/>
      <c r="R25" s="6"/>
      <c r="S25" s="2"/>
      <c r="T25" s="2"/>
      <c r="U25" s="2"/>
      <c r="V25" s="6"/>
      <c r="W25" s="2"/>
      <c r="X25" s="2"/>
      <c r="Y25" s="2"/>
      <c r="Z25" s="6"/>
    </row>
    <row r="26" spans="1:26" s="23" customFormat="1" x14ac:dyDescent="0.3">
      <c r="A26" s="52"/>
      <c r="B26" s="10" t="s">
        <v>128</v>
      </c>
      <c r="C26" s="10"/>
      <c r="D26" s="4"/>
      <c r="E26" s="4"/>
      <c r="F26" s="12">
        <f>IF(D$12=0,0,D26/D$12)</f>
        <v>0</v>
      </c>
      <c r="G26" s="4"/>
      <c r="H26" s="4"/>
      <c r="I26" s="4"/>
      <c r="J26" s="12">
        <f>IF(H$12=0,0,H26/H$12)</f>
        <v>0</v>
      </c>
      <c r="K26" s="4"/>
      <c r="L26" s="4">
        <f>+D26-H26</f>
        <v>0</v>
      </c>
      <c r="M26" s="4"/>
      <c r="N26" s="12">
        <f>IF(H26=0,0,L26/H26)</f>
        <v>0</v>
      </c>
      <c r="O26" s="10"/>
      <c r="P26" s="4"/>
      <c r="Q26" s="4"/>
      <c r="R26" s="12">
        <f>IF(P$12=0,0,P26/P$12)</f>
        <v>0</v>
      </c>
      <c r="S26" s="4"/>
      <c r="T26" s="4"/>
      <c r="U26" s="4"/>
      <c r="V26" s="12">
        <f>IF(T$12=0,0,T26/T$12)</f>
        <v>0</v>
      </c>
      <c r="W26" s="4"/>
      <c r="X26" s="4">
        <f>+P26-T26</f>
        <v>0</v>
      </c>
      <c r="Y26" s="4"/>
      <c r="Z26" s="12">
        <f>IF(T26=0,0,X26/T26)</f>
        <v>0</v>
      </c>
    </row>
    <row r="27" spans="1:26" x14ac:dyDescent="0.3">
      <c r="A27" s="9"/>
      <c r="B27" s="10"/>
      <c r="C27" s="10"/>
      <c r="D27" s="2"/>
      <c r="E27" s="2"/>
      <c r="F27" s="6"/>
      <c r="G27" s="2"/>
      <c r="H27" s="2"/>
      <c r="I27" s="2"/>
      <c r="J27" s="6"/>
      <c r="K27" s="2"/>
      <c r="L27" s="2"/>
      <c r="M27" s="2"/>
      <c r="N27" s="6"/>
      <c r="O27" s="10"/>
      <c r="P27" s="2"/>
      <c r="Q27" s="2"/>
      <c r="R27" s="6"/>
      <c r="S27" s="2"/>
      <c r="T27" s="2"/>
      <c r="U27" s="2"/>
      <c r="V27" s="6"/>
      <c r="W27" s="2"/>
      <c r="X27" s="2"/>
      <c r="Y27" s="2"/>
      <c r="Z27" s="6"/>
    </row>
    <row r="28" spans="1:26" s="23" customFormat="1" ht="15" thickBot="1" x14ac:dyDescent="0.35">
      <c r="A28" s="10"/>
      <c r="B28" s="26" t="s">
        <v>126</v>
      </c>
      <c r="C28" s="26"/>
      <c r="D28" s="35">
        <f>+D24-D26</f>
        <v>47.7</v>
      </c>
      <c r="E28" s="13"/>
      <c r="F28" s="30">
        <f>IF(D$12=0,0,D28/D$12)</f>
        <v>0</v>
      </c>
      <c r="G28" s="13"/>
      <c r="H28" s="35">
        <f>+H24-H26</f>
        <v>0</v>
      </c>
      <c r="I28" s="13"/>
      <c r="J28" s="30">
        <f>IF(H$12=0,0,H28/H$12)</f>
        <v>0</v>
      </c>
      <c r="K28" s="16"/>
      <c r="L28" s="35">
        <f>D28-H28</f>
        <v>47.7</v>
      </c>
      <c r="M28" s="16"/>
      <c r="N28" s="30">
        <f>IF(H28=0,0,L28/H28)</f>
        <v>0</v>
      </c>
      <c r="O28" s="25"/>
      <c r="P28" s="35">
        <f>+P24-P26</f>
        <v>47.7</v>
      </c>
      <c r="Q28" s="13"/>
      <c r="R28" s="30">
        <f>IF(P$12=0,0,P28/P$12)</f>
        <v>0</v>
      </c>
      <c r="S28" s="13"/>
      <c r="T28" s="35">
        <f>+T24-T26</f>
        <v>0</v>
      </c>
      <c r="U28" s="13"/>
      <c r="V28" s="30">
        <f>IF(T$12=0,0,T28/T$12)</f>
        <v>0</v>
      </c>
      <c r="W28" s="16"/>
      <c r="X28" s="35">
        <f>P28-T28</f>
        <v>47.7</v>
      </c>
      <c r="Y28" s="16"/>
      <c r="Z28" s="30">
        <f>IF(T28=0,0,X28/T28)</f>
        <v>0</v>
      </c>
    </row>
    <row r="29" spans="1:26" ht="15" thickTop="1" x14ac:dyDescent="0.3">
      <c r="A29" s="9"/>
      <c r="B29" s="9"/>
      <c r="C29" s="9"/>
      <c r="D29" s="2"/>
      <c r="E29" s="2"/>
      <c r="F29" s="6"/>
      <c r="G29" s="2"/>
      <c r="H29" s="2"/>
      <c r="I29" s="2"/>
      <c r="J29" s="6"/>
      <c r="K29" s="2"/>
      <c r="L29" s="2"/>
      <c r="M29" s="2"/>
      <c r="N29" s="6"/>
      <c r="P29" s="2"/>
      <c r="Q29" s="2"/>
      <c r="R29" s="6"/>
      <c r="S29" s="2"/>
      <c r="T29" s="2"/>
      <c r="U29" s="2"/>
      <c r="V29" s="6"/>
      <c r="W29" s="2"/>
      <c r="X29" s="2"/>
      <c r="Y29" s="2"/>
      <c r="Z29" s="6"/>
    </row>
    <row r="30" spans="1:26" x14ac:dyDescent="0.3">
      <c r="A30" s="9"/>
      <c r="B30" s="9"/>
      <c r="C30" s="9"/>
      <c r="D30" s="2"/>
      <c r="E30" s="2"/>
      <c r="F30" s="6"/>
      <c r="G30" s="2"/>
      <c r="H30" s="2"/>
      <c r="I30" s="2"/>
      <c r="J30" s="6"/>
      <c r="K30" s="2"/>
      <c r="L30" s="2"/>
      <c r="M30" s="2"/>
      <c r="N30" s="6"/>
      <c r="P30" s="2"/>
      <c r="Q30" s="2"/>
      <c r="R30" s="6"/>
      <c r="S30" s="2"/>
      <c r="T30" s="2"/>
      <c r="U30" s="2"/>
      <c r="V30" s="6"/>
      <c r="W30" s="2"/>
      <c r="X30" s="2"/>
      <c r="Y30" s="2"/>
      <c r="Z30" s="6"/>
    </row>
    <row r="31" spans="1:26" s="23" customFormat="1" ht="15" thickBot="1" x14ac:dyDescent="0.35">
      <c r="A31" s="10"/>
      <c r="B31" s="26" t="s">
        <v>294</v>
      </c>
      <c r="C31" s="26"/>
      <c r="D31" s="33">
        <f>SUM(D28:D30)</f>
        <v>47.7</v>
      </c>
      <c r="E31" s="13"/>
      <c r="F31" s="31">
        <f>IF(D$12=0,0,D31/D$12)</f>
        <v>0</v>
      </c>
      <c r="G31" s="13"/>
      <c r="H31" s="33">
        <f>SUM(H28:H30)</f>
        <v>0</v>
      </c>
      <c r="I31" s="13"/>
      <c r="J31" s="31">
        <f>IF(H$12=0,0,H31/H$12)</f>
        <v>0</v>
      </c>
      <c r="K31" s="16"/>
      <c r="L31" s="33">
        <f>+D31-H31</f>
        <v>47.7</v>
      </c>
      <c r="M31" s="16"/>
      <c r="N31" s="31">
        <f>IF(H31=0,0,L31/H31)</f>
        <v>0</v>
      </c>
      <c r="O31" s="25"/>
      <c r="P31" s="33">
        <f>SUM(P28:P30)</f>
        <v>47.7</v>
      </c>
      <c r="Q31" s="13"/>
      <c r="R31" s="31">
        <f>IF(P$12=0,0,P31/P$12)</f>
        <v>0</v>
      </c>
      <c r="S31" s="13"/>
      <c r="T31" s="33">
        <f>SUM(T28:T30)</f>
        <v>0</v>
      </c>
      <c r="U31" s="13"/>
      <c r="V31" s="31">
        <f>IF(T$12=0,0,T31/T$12)</f>
        <v>0</v>
      </c>
      <c r="W31" s="16"/>
      <c r="X31" s="33">
        <f>+P31-T31</f>
        <v>47.7</v>
      </c>
      <c r="Y31" s="16"/>
      <c r="Z31" s="31">
        <f>IF(T31=0,0,X31/T31)</f>
        <v>0</v>
      </c>
    </row>
    <row r="32" spans="1:26" ht="15" thickTop="1" x14ac:dyDescent="0.3">
      <c r="A32" s="9"/>
      <c r="C32" s="9"/>
      <c r="D32" s="18"/>
      <c r="E32" s="18"/>
      <c r="G32" s="18"/>
      <c r="H32" s="18"/>
      <c r="I32" s="18"/>
      <c r="J32" s="43"/>
      <c r="K32" s="18"/>
      <c r="L32" s="18"/>
      <c r="M32" s="18"/>
      <c r="P32" s="18"/>
      <c r="Q32" s="18"/>
      <c r="R32" s="43"/>
      <c r="S32" s="18"/>
      <c r="T32" s="18"/>
      <c r="U32" s="18"/>
      <c r="V32" s="43"/>
      <c r="W32" s="18"/>
      <c r="X32" s="18"/>
    </row>
    <row r="33" spans="1:24" x14ac:dyDescent="0.3">
      <c r="A33" s="9"/>
      <c r="B33" s="54">
        <v>44462.64548684028</v>
      </c>
      <c r="D33" s="18"/>
      <c r="E33" s="18"/>
      <c r="G33" s="18"/>
      <c r="H33" s="18"/>
      <c r="I33" s="18"/>
      <c r="J33" s="43"/>
      <c r="K33" s="18"/>
      <c r="L33" s="18"/>
      <c r="M33" s="18"/>
      <c r="P33" s="18"/>
      <c r="Q33" s="18"/>
      <c r="R33" s="43"/>
      <c r="S33" s="18"/>
      <c r="T33" s="18"/>
      <c r="U33" s="18"/>
      <c r="V33" s="43"/>
      <c r="W33" s="18"/>
      <c r="X33" s="18"/>
    </row>
    <row r="34" spans="1:24" x14ac:dyDescent="0.3">
      <c r="A34" s="9"/>
      <c r="B34" s="59" t="s">
        <v>56</v>
      </c>
      <c r="D34" s="18"/>
      <c r="E34" s="18"/>
      <c r="G34" s="18"/>
      <c r="H34" s="18"/>
      <c r="I34" s="18"/>
      <c r="J34" s="43"/>
      <c r="K34" s="18"/>
      <c r="L34" s="18"/>
      <c r="M34" s="18"/>
      <c r="P34" s="18"/>
      <c r="Q34" s="18"/>
      <c r="R34" s="43"/>
      <c r="S34" s="18"/>
      <c r="T34" s="18"/>
      <c r="U34" s="18"/>
      <c r="V34" s="43"/>
      <c r="W34" s="18"/>
      <c r="X34" s="18"/>
    </row>
    <row r="35" spans="1:24" x14ac:dyDescent="0.3">
      <c r="A35" s="9"/>
      <c r="B35" s="55"/>
      <c r="D35" s="18"/>
      <c r="E35" s="18"/>
      <c r="G35" s="18"/>
      <c r="H35" s="18"/>
      <c r="I35" s="18"/>
      <c r="J35" s="43"/>
      <c r="K35" s="18"/>
      <c r="L35" s="18"/>
      <c r="M35" s="18"/>
      <c r="P35" s="18"/>
      <c r="Q35" s="18"/>
      <c r="R35" s="43"/>
      <c r="S35" s="18"/>
      <c r="T35" s="18"/>
      <c r="U35" s="18"/>
      <c r="V35" s="43"/>
      <c r="W35" s="18"/>
      <c r="X35" s="18"/>
    </row>
    <row r="36" spans="1:24" x14ac:dyDescent="0.3">
      <c r="D36" s="18"/>
      <c r="E36" s="18"/>
      <c r="G36" s="18"/>
      <c r="H36" s="18"/>
      <c r="I36" s="18"/>
      <c r="J36" s="43"/>
      <c r="K36" s="18"/>
      <c r="L36" s="18"/>
      <c r="M36" s="18"/>
      <c r="P36" s="18"/>
      <c r="Q36" s="18"/>
      <c r="R36" s="43"/>
      <c r="S36" s="18"/>
      <c r="T36" s="18"/>
      <c r="U36" s="18"/>
      <c r="V36" s="43"/>
      <c r="W36" s="18"/>
      <c r="X36" s="18"/>
    </row>
  </sheetData>
  <pageMargins left="0.25" right="0.25" top="0.75" bottom="0.75" header="0.3" footer="0.3"/>
  <pageSetup scale="55" fitToWidth="2" orientation="landscape"/>
  <drawing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>
    <tabColor rgb="FF92D050"/>
    <outlinePr summaryBelow="0" summaryRight="0"/>
  </sheetPr>
  <dimension ref="A2:Z70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50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7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50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7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7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7" customWidth="1" outlineLevel="1"/>
  </cols>
  <sheetData>
    <row r="2" spans="1:26" x14ac:dyDescent="0.3">
      <c r="D2" s="57" t="s">
        <v>23</v>
      </c>
    </row>
    <row r="3" spans="1:26" x14ac:dyDescent="0.3">
      <c r="D3" s="57" t="s">
        <v>237</v>
      </c>
      <c r="E3" s="17"/>
      <c r="F3" s="51"/>
      <c r="G3" s="17"/>
      <c r="H3" s="17"/>
      <c r="I3" s="17"/>
      <c r="J3" s="39"/>
      <c r="K3" s="17"/>
      <c r="L3" s="17"/>
      <c r="M3" s="17"/>
      <c r="N3" s="51"/>
      <c r="O3" s="61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3">
      <c r="D4" s="57" t="str">
        <f>CONCATENATE("Period ",RIGHT(202201,2),", ",2022)</f>
        <v>Period 01, 2022</v>
      </c>
      <c r="E4" s="17"/>
      <c r="F4" s="51"/>
      <c r="G4" s="17"/>
      <c r="H4" s="17"/>
      <c r="I4" s="17"/>
      <c r="J4" s="39"/>
      <c r="K4" s="17"/>
      <c r="L4" s="17"/>
      <c r="M4" s="17"/>
      <c r="N4" s="51"/>
      <c r="O4" s="61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3">
      <c r="A5" s="23"/>
      <c r="D5" s="64">
        <v>44408</v>
      </c>
      <c r="E5" s="17"/>
      <c r="F5" s="51"/>
      <c r="G5" s="17"/>
      <c r="H5" s="17"/>
      <c r="I5" s="17"/>
      <c r="J5" s="39"/>
      <c r="K5" s="17"/>
      <c r="L5" s="17"/>
      <c r="M5" s="17"/>
      <c r="N5" s="51"/>
      <c r="O5" s="61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3">
      <c r="A6" s="23"/>
      <c r="B6" s="47"/>
      <c r="C6" s="47"/>
      <c r="D6" s="23" t="str">
        <f>CONCATENATE("Department ","321", " - ", "Corner Market")</f>
        <v>Department 321 - Corner Market</v>
      </c>
      <c r="E6" s="17"/>
      <c r="F6" s="51"/>
      <c r="G6" s="17"/>
      <c r="H6" s="17"/>
      <c r="I6" s="17"/>
      <c r="J6" s="39"/>
      <c r="K6" s="17"/>
      <c r="L6" s="17"/>
      <c r="M6" s="17"/>
      <c r="N6" s="51"/>
      <c r="O6" s="60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3">
      <c r="B7" s="63"/>
    </row>
    <row r="8" spans="1:26" x14ac:dyDescent="0.3">
      <c r="B8" s="63"/>
    </row>
    <row r="9" spans="1:26" x14ac:dyDescent="0.3">
      <c r="B9" s="9"/>
      <c r="C9" s="9"/>
      <c r="D9" s="15" t="s">
        <v>292</v>
      </c>
      <c r="E9" s="15"/>
      <c r="F9" s="38"/>
      <c r="G9" s="15"/>
      <c r="H9" s="15"/>
      <c r="I9" s="15"/>
      <c r="J9" s="49"/>
      <c r="K9" s="15"/>
      <c r="L9" s="15"/>
      <c r="M9" s="15"/>
      <c r="N9" s="38"/>
      <c r="P9" s="15" t="s">
        <v>39</v>
      </c>
      <c r="Q9" s="15"/>
      <c r="R9" s="38"/>
      <c r="S9" s="15"/>
      <c r="T9" s="15"/>
      <c r="U9" s="15"/>
      <c r="V9" s="49"/>
      <c r="W9" s="15"/>
      <c r="X9" s="15"/>
      <c r="Y9" s="15"/>
      <c r="Z9" s="38"/>
    </row>
    <row r="10" spans="1:26" x14ac:dyDescent="0.3">
      <c r="A10" s="10"/>
      <c r="B10" s="53"/>
      <c r="C10" s="10"/>
      <c r="D10" s="42" t="s">
        <v>57</v>
      </c>
      <c r="E10" s="34"/>
      <c r="F10" s="40" t="s">
        <v>40</v>
      </c>
      <c r="G10" s="34"/>
      <c r="H10" s="45" t="s">
        <v>238</v>
      </c>
      <c r="I10" s="34"/>
      <c r="J10" s="48" t="s">
        <v>58</v>
      </c>
      <c r="K10" s="10"/>
      <c r="L10" s="42" t="s">
        <v>127</v>
      </c>
      <c r="M10" s="10"/>
      <c r="N10" s="40" t="s">
        <v>258</v>
      </c>
      <c r="O10" s="10"/>
      <c r="P10" s="56" t="s">
        <v>57</v>
      </c>
      <c r="Q10" s="34"/>
      <c r="R10" s="40" t="s">
        <v>40</v>
      </c>
      <c r="S10" s="34"/>
      <c r="T10" s="45" t="s">
        <v>238</v>
      </c>
      <c r="U10" s="34"/>
      <c r="V10" s="48" t="s">
        <v>58</v>
      </c>
      <c r="W10" s="10"/>
      <c r="X10" s="42" t="s">
        <v>127</v>
      </c>
      <c r="Y10" s="10"/>
      <c r="Z10" s="40" t="s">
        <v>258</v>
      </c>
    </row>
    <row r="11" spans="1:26" ht="15.6" x14ac:dyDescent="0.3">
      <c r="A11" s="9"/>
      <c r="B11" s="58"/>
      <c r="C11" s="9"/>
      <c r="D11" s="9"/>
      <c r="E11" s="9"/>
      <c r="F11" s="6"/>
      <c r="G11" s="9"/>
      <c r="H11" s="9"/>
      <c r="I11" s="9"/>
      <c r="J11" s="46"/>
      <c r="K11" s="9"/>
      <c r="L11" s="9"/>
      <c r="M11" s="9"/>
      <c r="N11" s="6"/>
      <c r="P11" s="9"/>
      <c r="Q11" s="9"/>
      <c r="R11" s="6"/>
      <c r="S11" s="9"/>
      <c r="T11" s="9"/>
      <c r="U11" s="9"/>
      <c r="V11" s="46"/>
      <c r="W11" s="9"/>
      <c r="X11" s="9"/>
      <c r="Y11" s="9"/>
      <c r="Z11" s="6"/>
    </row>
    <row r="12" spans="1:26" s="23" customFormat="1" collapsed="1" x14ac:dyDescent="0.3">
      <c r="A12" s="10"/>
      <c r="B12" s="25" t="s">
        <v>140</v>
      </c>
      <c r="C12" s="10"/>
      <c r="D12" s="4">
        <f>SUM(OSRRefD13x_0)</f>
        <v>0</v>
      </c>
      <c r="E12" s="4"/>
      <c r="F12" s="12"/>
      <c r="G12" s="4"/>
      <c r="H12" s="4">
        <f>SUM(OSRRefH13x_0)</f>
        <v>0</v>
      </c>
      <c r="I12" s="4"/>
      <c r="J12" s="12"/>
      <c r="K12" s="4"/>
      <c r="L12" s="4">
        <f t="shared" ref="L12:L14" si="0">+D12-H12</f>
        <v>0</v>
      </c>
      <c r="M12" s="4"/>
      <c r="N12" s="12">
        <f t="shared" ref="N12:N14" si="1">IF(H12=0,0,L12/H12)</f>
        <v>0</v>
      </c>
      <c r="O12" s="10"/>
      <c r="P12" s="4">
        <f>SUM(OSRRefP13x_0)</f>
        <v>0</v>
      </c>
      <c r="Q12" s="4"/>
      <c r="R12" s="12"/>
      <c r="S12" s="4"/>
      <c r="T12" s="4">
        <f>SUM(OSRRefT13x_0)</f>
        <v>0</v>
      </c>
      <c r="U12" s="4"/>
      <c r="V12" s="12"/>
      <c r="W12" s="4"/>
      <c r="X12" s="4">
        <f t="shared" ref="X12:X14" si="2">+P12-T12</f>
        <v>0</v>
      </c>
      <c r="Y12" s="4"/>
      <c r="Z12" s="12">
        <f t="shared" ref="Z12:Z14" si="3">IF(T12=0,0,X12/T12)</f>
        <v>0</v>
      </c>
    </row>
    <row r="13" spans="1:26" s="24" customFormat="1" hidden="1" outlineLevel="1" x14ac:dyDescent="0.3">
      <c r="A13" s="44"/>
      <c r="B13" s="11" t="str">
        <f>CONCATENATE("          ", "4000", " - ", "TAXABLE SALES")</f>
        <v xml:space="preserve">          4000 - TAXABLE SALES</v>
      </c>
      <c r="C13" s="11"/>
      <c r="D13" s="3">
        <f t="shared" ref="D13:D14" si="4">0</f>
        <v>0</v>
      </c>
      <c r="E13" s="3"/>
      <c r="F13" s="19"/>
      <c r="G13" s="3"/>
      <c r="H13" s="3">
        <v>0</v>
      </c>
      <c r="I13" s="3"/>
      <c r="J13" s="19"/>
      <c r="K13" s="3"/>
      <c r="L13" s="3">
        <f t="shared" si="0"/>
        <v>0</v>
      </c>
      <c r="M13" s="3"/>
      <c r="N13" s="19">
        <f t="shared" si="1"/>
        <v>0</v>
      </c>
      <c r="O13" s="11"/>
      <c r="P13" s="3">
        <f t="shared" ref="P13:P14" si="5">0</f>
        <v>0</v>
      </c>
      <c r="Q13" s="3"/>
      <c r="R13" s="19"/>
      <c r="S13" s="3"/>
      <c r="T13" s="3">
        <v>0</v>
      </c>
      <c r="U13" s="3"/>
      <c r="V13" s="19"/>
      <c r="W13" s="3"/>
      <c r="X13" s="3">
        <f t="shared" si="2"/>
        <v>0</v>
      </c>
      <c r="Y13" s="3"/>
      <c r="Z13" s="19">
        <f t="shared" si="3"/>
        <v>0</v>
      </c>
    </row>
    <row r="14" spans="1:26" s="24" customFormat="1" hidden="1" outlineLevel="1" x14ac:dyDescent="0.3">
      <c r="A14" s="44"/>
      <c r="B14" s="11" t="str">
        <f>CONCATENATE("          ", "4100", " - ", "NON-TAXABLE SALES")</f>
        <v xml:space="preserve">          4100 - NON-TAXABLE SALES</v>
      </c>
      <c r="C14" s="11"/>
      <c r="D14" s="3">
        <f t="shared" si="4"/>
        <v>0</v>
      </c>
      <c r="E14" s="3"/>
      <c r="F14" s="19"/>
      <c r="G14" s="3"/>
      <c r="H14" s="3">
        <v>0</v>
      </c>
      <c r="I14" s="3"/>
      <c r="J14" s="19"/>
      <c r="K14" s="3"/>
      <c r="L14" s="3">
        <f t="shared" si="0"/>
        <v>0</v>
      </c>
      <c r="M14" s="3"/>
      <c r="N14" s="19">
        <f t="shared" si="1"/>
        <v>0</v>
      </c>
      <c r="O14" s="11"/>
      <c r="P14" s="3">
        <f t="shared" si="5"/>
        <v>0</v>
      </c>
      <c r="Q14" s="3"/>
      <c r="R14" s="19"/>
      <c r="S14" s="3"/>
      <c r="T14" s="3">
        <v>0</v>
      </c>
      <c r="U14" s="3"/>
      <c r="V14" s="19"/>
      <c r="W14" s="3"/>
      <c r="X14" s="3">
        <f t="shared" si="2"/>
        <v>0</v>
      </c>
      <c r="Y14" s="3"/>
      <c r="Z14" s="19">
        <f t="shared" si="3"/>
        <v>0</v>
      </c>
    </row>
    <row r="15" spans="1:26" x14ac:dyDescent="0.3">
      <c r="A15" s="9"/>
      <c r="B15" s="10"/>
      <c r="C15" s="9"/>
      <c r="D15" s="2"/>
      <c r="E15" s="2"/>
      <c r="F15" s="6"/>
      <c r="G15" s="2"/>
      <c r="H15" s="2"/>
      <c r="I15" s="2"/>
      <c r="J15" s="6"/>
      <c r="K15" s="2"/>
      <c r="L15" s="2"/>
      <c r="M15" s="2"/>
      <c r="N15" s="6"/>
      <c r="P15" s="2"/>
      <c r="Q15" s="2"/>
      <c r="R15" s="6"/>
      <c r="S15" s="2"/>
      <c r="T15" s="2"/>
      <c r="U15" s="2"/>
      <c r="V15" s="6"/>
      <c r="W15" s="2"/>
      <c r="X15" s="2"/>
      <c r="Y15" s="2"/>
      <c r="Z15" s="6"/>
    </row>
    <row r="16" spans="1:26" s="23" customFormat="1" collapsed="1" x14ac:dyDescent="0.3">
      <c r="A16" s="10"/>
      <c r="B16" s="25" t="s">
        <v>257</v>
      </c>
      <c r="C16" s="10"/>
      <c r="D16" s="4">
        <f>SUM(OSRRefD16x_0)</f>
        <v>0</v>
      </c>
      <c r="E16" s="4"/>
      <c r="F16" s="12">
        <f t="shared" ref="F16:F17" si="6">IF(D$12=0,0,D16/D$12)</f>
        <v>0</v>
      </c>
      <c r="G16" s="4"/>
      <c r="H16" s="4">
        <f>SUM(OSRRefH16x_0)</f>
        <v>0</v>
      </c>
      <c r="I16" s="4"/>
      <c r="J16" s="12">
        <f t="shared" ref="J16:J17" si="7">IF(H$12=0,0,H16/H$12)</f>
        <v>0</v>
      </c>
      <c r="K16" s="4"/>
      <c r="L16" s="4">
        <f t="shared" ref="L16:L17" si="8">+D16-H16</f>
        <v>0</v>
      </c>
      <c r="M16" s="4"/>
      <c r="N16" s="12">
        <f t="shared" ref="N16:N17" si="9">IF(H16=0,0,L16/H16)</f>
        <v>0</v>
      </c>
      <c r="O16" s="10"/>
      <c r="P16" s="4">
        <f>SUM(OSRRefP16x_0)</f>
        <v>0</v>
      </c>
      <c r="Q16" s="4"/>
      <c r="R16" s="12">
        <f t="shared" ref="R16:R17" si="10">IF(P$12=0,0,P16/P$12)</f>
        <v>0</v>
      </c>
      <c r="S16" s="4"/>
      <c r="T16" s="4">
        <f>SUM(OSRRefT16x_0)</f>
        <v>0</v>
      </c>
      <c r="U16" s="4"/>
      <c r="V16" s="12">
        <f t="shared" ref="V16:V17" si="11">IF(T$12=0,0,T16/T$12)</f>
        <v>0</v>
      </c>
      <c r="W16" s="4"/>
      <c r="X16" s="4">
        <f t="shared" ref="X16:X17" si="12">+P16-T16</f>
        <v>0</v>
      </c>
      <c r="Y16" s="4"/>
      <c r="Z16" s="12">
        <f t="shared" ref="Z16:Z17" si="13">IF(T16=0,0,X16/T16)</f>
        <v>0</v>
      </c>
    </row>
    <row r="17" spans="1:26" s="24" customFormat="1" hidden="1" outlineLevel="1" x14ac:dyDescent="0.3">
      <c r="A17" s="44"/>
      <c r="B17" s="11" t="str">
        <f>CONCATENATE("          ", "5000", " - ", "PURCHASES @ COST")</f>
        <v xml:space="preserve">          5000 - PURCHASES @ COST</v>
      </c>
      <c r="C17" s="11"/>
      <c r="D17" s="3"/>
      <c r="E17" s="3"/>
      <c r="F17" s="19">
        <f t="shared" si="6"/>
        <v>0</v>
      </c>
      <c r="G17" s="3"/>
      <c r="H17" s="3">
        <v>0</v>
      </c>
      <c r="I17" s="3"/>
      <c r="J17" s="19">
        <f t="shared" si="7"/>
        <v>0</v>
      </c>
      <c r="K17" s="3"/>
      <c r="L17" s="3">
        <f t="shared" si="8"/>
        <v>0</v>
      </c>
      <c r="M17" s="3"/>
      <c r="N17" s="19">
        <f t="shared" si="9"/>
        <v>0</v>
      </c>
      <c r="O17" s="11"/>
      <c r="P17" s="3"/>
      <c r="Q17" s="3"/>
      <c r="R17" s="19">
        <f t="shared" si="10"/>
        <v>0</v>
      </c>
      <c r="S17" s="3"/>
      <c r="T17" s="3">
        <v>0</v>
      </c>
      <c r="U17" s="3"/>
      <c r="V17" s="19">
        <f t="shared" si="11"/>
        <v>0</v>
      </c>
      <c r="W17" s="3"/>
      <c r="X17" s="3">
        <f t="shared" si="12"/>
        <v>0</v>
      </c>
      <c r="Y17" s="3"/>
      <c r="Z17" s="19">
        <f t="shared" si="13"/>
        <v>0</v>
      </c>
    </row>
    <row r="18" spans="1:26" x14ac:dyDescent="0.3">
      <c r="A18" s="9"/>
      <c r="B18" s="10"/>
      <c r="C18" s="10"/>
      <c r="D18" s="2"/>
      <c r="E18" s="2"/>
      <c r="F18" s="6"/>
      <c r="G18" s="2"/>
      <c r="H18" s="2"/>
      <c r="I18" s="2"/>
      <c r="J18" s="6"/>
      <c r="K18" s="2"/>
      <c r="L18" s="2"/>
      <c r="M18" s="2"/>
      <c r="N18" s="6"/>
      <c r="O18" s="10"/>
      <c r="P18" s="2"/>
      <c r="Q18" s="2"/>
      <c r="R18" s="6"/>
      <c r="S18" s="2"/>
      <c r="T18" s="2"/>
      <c r="U18" s="2"/>
      <c r="V18" s="6"/>
      <c r="W18" s="2"/>
      <c r="X18" s="2"/>
      <c r="Y18" s="2"/>
      <c r="Z18" s="6"/>
    </row>
    <row r="19" spans="1:26" s="23" customFormat="1" x14ac:dyDescent="0.3">
      <c r="A19" s="10"/>
      <c r="B19" s="26" t="s">
        <v>108</v>
      </c>
      <c r="C19" s="26"/>
      <c r="D19" s="21">
        <f>D12-D16</f>
        <v>0</v>
      </c>
      <c r="E19" s="13"/>
      <c r="F19" s="22">
        <f>IF(D$12=0,0,D19/D$12)</f>
        <v>0</v>
      </c>
      <c r="G19" s="13"/>
      <c r="H19" s="21">
        <f>H12-H16</f>
        <v>0</v>
      </c>
      <c r="I19" s="13"/>
      <c r="J19" s="22">
        <f>IF(H$12=0,0,H19/H$12)</f>
        <v>0</v>
      </c>
      <c r="K19" s="16"/>
      <c r="L19" s="21">
        <f>+D19-H19</f>
        <v>0</v>
      </c>
      <c r="M19" s="16"/>
      <c r="N19" s="22">
        <f>IF(H19=0,0,L19/H19)</f>
        <v>0</v>
      </c>
      <c r="O19" s="25"/>
      <c r="P19" s="21">
        <f>P12-P16</f>
        <v>0</v>
      </c>
      <c r="Q19" s="13"/>
      <c r="R19" s="22">
        <f>IF(P$12=0,0,P19/P$12)</f>
        <v>0</v>
      </c>
      <c r="S19" s="13"/>
      <c r="T19" s="21">
        <f>T12-T16</f>
        <v>0</v>
      </c>
      <c r="U19" s="13"/>
      <c r="V19" s="22">
        <f>IF(T$12=0,0,T19/T$12)</f>
        <v>0</v>
      </c>
      <c r="W19" s="16"/>
      <c r="X19" s="21">
        <f>+P19-T19</f>
        <v>0</v>
      </c>
      <c r="Y19" s="16"/>
      <c r="Z19" s="22">
        <f>IF(T19=0,0,X19/T19)</f>
        <v>0</v>
      </c>
    </row>
    <row r="20" spans="1:26" x14ac:dyDescent="0.3">
      <c r="A20" s="9"/>
      <c r="B20" s="10"/>
      <c r="C20" s="9"/>
      <c r="D20" s="1"/>
      <c r="E20" s="1"/>
      <c r="F20" s="5"/>
      <c r="G20" s="1"/>
      <c r="H20" s="1"/>
      <c r="I20" s="1"/>
      <c r="J20" s="5"/>
      <c r="K20" s="1"/>
      <c r="L20" s="1"/>
      <c r="M20" s="1"/>
      <c r="N20" s="5"/>
      <c r="O20" s="36"/>
      <c r="P20" s="1"/>
      <c r="Q20" s="1"/>
      <c r="R20" s="5"/>
      <c r="S20" s="1"/>
      <c r="T20" s="1"/>
      <c r="U20" s="1"/>
      <c r="V20" s="5"/>
      <c r="W20" s="1"/>
      <c r="X20" s="1"/>
      <c r="Y20" s="1"/>
      <c r="Z20" s="5"/>
    </row>
    <row r="21" spans="1:26" s="23" customFormat="1" x14ac:dyDescent="0.3">
      <c r="A21" s="10"/>
      <c r="B21" s="25" t="s">
        <v>295</v>
      </c>
      <c r="C21" s="10"/>
      <c r="D21" s="20">
        <f>SUM(OSRRefD22x_0)</f>
        <v>1184.5100000000002</v>
      </c>
      <c r="E21" s="20"/>
      <c r="F21" s="32">
        <f t="shared" ref="F21:F30" si="14">IF(D$12=0,0,D21/D$12)</f>
        <v>0</v>
      </c>
      <c r="G21" s="20"/>
      <c r="H21" s="20">
        <f>SUM(OSRRefH22x_0)</f>
        <v>1393</v>
      </c>
      <c r="I21" s="20"/>
      <c r="J21" s="32">
        <f t="shared" ref="J21:J30" si="15">IF(H$12=0,0,H21/H$12)</f>
        <v>0</v>
      </c>
      <c r="K21" s="4"/>
      <c r="L21" s="20">
        <f t="shared" ref="L21:L30" si="16">+D21-H21</f>
        <v>-208.48999999999978</v>
      </c>
      <c r="M21" s="4"/>
      <c r="N21" s="32">
        <f t="shared" ref="N21:N30" si="17">IF(H21=0,0,L21/H21)</f>
        <v>-0.14966977745872204</v>
      </c>
      <c r="O21" s="10"/>
      <c r="P21" s="20">
        <f>SUM(OSRRefP22x_0)</f>
        <v>1184.5100000000002</v>
      </c>
      <c r="Q21" s="20"/>
      <c r="R21" s="32">
        <f t="shared" ref="R21:R30" si="18">IF(P$12=0,0,P21/P$12)</f>
        <v>0</v>
      </c>
      <c r="S21" s="20"/>
      <c r="T21" s="20">
        <f>SUM(OSRRefT22x_0)</f>
        <v>1393</v>
      </c>
      <c r="U21" s="20"/>
      <c r="V21" s="32">
        <f t="shared" ref="V21:V30" si="19">IF(T$12=0,0,T21/T$12)</f>
        <v>0</v>
      </c>
      <c r="W21" s="4"/>
      <c r="X21" s="20">
        <f t="shared" ref="X21:X30" si="20">+P21-T21</f>
        <v>-208.48999999999978</v>
      </c>
      <c r="Y21" s="4"/>
      <c r="Z21" s="32">
        <f t="shared" ref="Z21:Z30" si="21">IF(T21=0,0,X21/T21)</f>
        <v>-0.14966977745872204</v>
      </c>
    </row>
    <row r="22" spans="1:26" s="27" customFormat="1" outlineLevel="1" collapsed="1" x14ac:dyDescent="0.3">
      <c r="A22" s="28"/>
      <c r="B22" s="14" t="str">
        <f>CONCATENATE("     ","*Benefits                                         ")</f>
        <v xml:space="preserve">     *Benefits                                         </v>
      </c>
      <c r="C22" s="14"/>
      <c r="D22" s="1">
        <f>SUM(OSRRefD22_0x_0)</f>
        <v>0</v>
      </c>
      <c r="E22" s="1"/>
      <c r="F22" s="5">
        <f t="shared" si="14"/>
        <v>0</v>
      </c>
      <c r="G22" s="1"/>
      <c r="H22" s="1">
        <f>SUM(OSRRefH22_0x_0)</f>
        <v>0</v>
      </c>
      <c r="I22" s="1"/>
      <c r="J22" s="5">
        <f t="shared" si="15"/>
        <v>0</v>
      </c>
      <c r="K22" s="1"/>
      <c r="L22" s="1">
        <f t="shared" si="16"/>
        <v>0</v>
      </c>
      <c r="M22" s="1"/>
      <c r="N22" s="5">
        <f t="shared" si="17"/>
        <v>0</v>
      </c>
      <c r="O22" s="14"/>
      <c r="P22" s="1">
        <f>SUM(OSRRefP22_0x_0)</f>
        <v>0</v>
      </c>
      <c r="Q22" s="1"/>
      <c r="R22" s="5">
        <f t="shared" si="18"/>
        <v>0</v>
      </c>
      <c r="S22" s="1"/>
      <c r="T22" s="1">
        <f>SUM(OSRRefT22_0x_0)</f>
        <v>0</v>
      </c>
      <c r="U22" s="1"/>
      <c r="V22" s="5">
        <f t="shared" si="19"/>
        <v>0</v>
      </c>
      <c r="W22" s="1"/>
      <c r="X22" s="1">
        <f t="shared" si="20"/>
        <v>0</v>
      </c>
      <c r="Y22" s="1"/>
      <c r="Z22" s="5">
        <f t="shared" si="21"/>
        <v>0</v>
      </c>
    </row>
    <row r="23" spans="1:26" s="24" customFormat="1" hidden="1" outlineLevel="2" x14ac:dyDescent="0.3">
      <c r="A23" s="29"/>
      <c r="B23" s="11" t="str">
        <f>CONCATENATE("          ", "6111", " - ", "F.I.C.A.")</f>
        <v xml:space="preserve">          6111 - F.I.C.A.</v>
      </c>
      <c r="C23" s="11"/>
      <c r="D23" s="8"/>
      <c r="E23" s="3"/>
      <c r="F23" s="7">
        <f t="shared" si="14"/>
        <v>0</v>
      </c>
      <c r="G23" s="3"/>
      <c r="H23" s="8">
        <v>0</v>
      </c>
      <c r="I23" s="3"/>
      <c r="J23" s="7">
        <f t="shared" si="15"/>
        <v>0</v>
      </c>
      <c r="K23" s="3"/>
      <c r="L23" s="8">
        <f t="shared" si="16"/>
        <v>0</v>
      </c>
      <c r="M23" s="3"/>
      <c r="N23" s="7">
        <f t="shared" si="17"/>
        <v>0</v>
      </c>
      <c r="O23" s="11"/>
      <c r="P23" s="8"/>
      <c r="Q23" s="3"/>
      <c r="R23" s="7">
        <f t="shared" si="18"/>
        <v>0</v>
      </c>
      <c r="S23" s="3"/>
      <c r="T23" s="8">
        <v>0</v>
      </c>
      <c r="U23" s="3"/>
      <c r="V23" s="7">
        <f t="shared" si="19"/>
        <v>0</v>
      </c>
      <c r="W23" s="3"/>
      <c r="X23" s="8">
        <f t="shared" si="20"/>
        <v>0</v>
      </c>
      <c r="Y23" s="3"/>
      <c r="Z23" s="7">
        <f t="shared" si="21"/>
        <v>0</v>
      </c>
    </row>
    <row r="24" spans="1:26" s="24" customFormat="1" hidden="1" outlineLevel="2" x14ac:dyDescent="0.3">
      <c r="A24" s="29"/>
      <c r="B24" s="11" t="str">
        <f>CONCATENATE("          ", "6112", " - ", "COMPENSATION INSURANCE")</f>
        <v xml:space="preserve">          6112 - COMPENSATION INSURANCE</v>
      </c>
      <c r="C24" s="11"/>
      <c r="D24" s="8"/>
      <c r="E24" s="3"/>
      <c r="F24" s="7">
        <f t="shared" si="14"/>
        <v>0</v>
      </c>
      <c r="G24" s="3"/>
      <c r="H24" s="8">
        <v>0</v>
      </c>
      <c r="I24" s="3"/>
      <c r="J24" s="7">
        <f t="shared" si="15"/>
        <v>0</v>
      </c>
      <c r="K24" s="3"/>
      <c r="L24" s="8">
        <f t="shared" si="16"/>
        <v>0</v>
      </c>
      <c r="M24" s="3"/>
      <c r="N24" s="7">
        <f t="shared" si="17"/>
        <v>0</v>
      </c>
      <c r="O24" s="11"/>
      <c r="P24" s="8"/>
      <c r="Q24" s="3"/>
      <c r="R24" s="7">
        <f t="shared" si="18"/>
        <v>0</v>
      </c>
      <c r="S24" s="3"/>
      <c r="T24" s="8">
        <v>0</v>
      </c>
      <c r="U24" s="3"/>
      <c r="V24" s="7">
        <f t="shared" si="19"/>
        <v>0</v>
      </c>
      <c r="W24" s="3"/>
      <c r="X24" s="8">
        <f t="shared" si="20"/>
        <v>0</v>
      </c>
      <c r="Y24" s="3"/>
      <c r="Z24" s="7">
        <f t="shared" si="21"/>
        <v>0</v>
      </c>
    </row>
    <row r="25" spans="1:26" s="24" customFormat="1" hidden="1" outlineLevel="2" x14ac:dyDescent="0.3">
      <c r="A25" s="29"/>
      <c r="B25" s="11" t="str">
        <f>CONCATENATE("          ", "6113", " - ", "GROUP INSURANCE")</f>
        <v xml:space="preserve">          6113 - GROUP INSURANCE</v>
      </c>
      <c r="C25" s="11"/>
      <c r="D25" s="8"/>
      <c r="E25" s="3"/>
      <c r="F25" s="7">
        <f t="shared" si="14"/>
        <v>0</v>
      </c>
      <c r="G25" s="3"/>
      <c r="H25" s="8">
        <v>0</v>
      </c>
      <c r="I25" s="3"/>
      <c r="J25" s="7">
        <f t="shared" si="15"/>
        <v>0</v>
      </c>
      <c r="K25" s="3"/>
      <c r="L25" s="8">
        <f t="shared" si="16"/>
        <v>0</v>
      </c>
      <c r="M25" s="3"/>
      <c r="N25" s="7">
        <f t="shared" si="17"/>
        <v>0</v>
      </c>
      <c r="O25" s="11"/>
      <c r="P25" s="8"/>
      <c r="Q25" s="3"/>
      <c r="R25" s="7">
        <f t="shared" si="18"/>
        <v>0</v>
      </c>
      <c r="S25" s="3"/>
      <c r="T25" s="8">
        <v>0</v>
      </c>
      <c r="U25" s="3"/>
      <c r="V25" s="7">
        <f t="shared" si="19"/>
        <v>0</v>
      </c>
      <c r="W25" s="3"/>
      <c r="X25" s="8">
        <f t="shared" si="20"/>
        <v>0</v>
      </c>
      <c r="Y25" s="3"/>
      <c r="Z25" s="7">
        <f t="shared" si="21"/>
        <v>0</v>
      </c>
    </row>
    <row r="26" spans="1:26" s="24" customFormat="1" hidden="1" outlineLevel="2" x14ac:dyDescent="0.3">
      <c r="A26" s="29"/>
      <c r="B26" s="11" t="str">
        <f>CONCATENATE("          ", "6114", " - ", "STATE UNEMPLOYMENT INSURANCE")</f>
        <v xml:space="preserve">          6114 - STATE UNEMPLOYMENT INSURANCE</v>
      </c>
      <c r="C26" s="11"/>
      <c r="D26" s="8"/>
      <c r="E26" s="3"/>
      <c r="F26" s="7">
        <f t="shared" si="14"/>
        <v>0</v>
      </c>
      <c r="G26" s="3"/>
      <c r="H26" s="8">
        <v>0</v>
      </c>
      <c r="I26" s="3"/>
      <c r="J26" s="7">
        <f t="shared" si="15"/>
        <v>0</v>
      </c>
      <c r="K26" s="3"/>
      <c r="L26" s="8">
        <f t="shared" si="16"/>
        <v>0</v>
      </c>
      <c r="M26" s="3"/>
      <c r="N26" s="7">
        <f t="shared" si="17"/>
        <v>0</v>
      </c>
      <c r="O26" s="11"/>
      <c r="P26" s="8"/>
      <c r="Q26" s="3"/>
      <c r="R26" s="7">
        <f t="shared" si="18"/>
        <v>0</v>
      </c>
      <c r="S26" s="3"/>
      <c r="T26" s="8">
        <v>0</v>
      </c>
      <c r="U26" s="3"/>
      <c r="V26" s="7">
        <f t="shared" si="19"/>
        <v>0</v>
      </c>
      <c r="W26" s="3"/>
      <c r="X26" s="8">
        <f t="shared" si="20"/>
        <v>0</v>
      </c>
      <c r="Y26" s="3"/>
      <c r="Z26" s="7">
        <f t="shared" si="21"/>
        <v>0</v>
      </c>
    </row>
    <row r="27" spans="1:26" s="24" customFormat="1" hidden="1" outlineLevel="2" x14ac:dyDescent="0.3">
      <c r="A27" s="29"/>
      <c r="B27" s="11" t="str">
        <f>CONCATENATE("          ", "6115", " - ", "P.E.R.S.")</f>
        <v xml:space="preserve">          6115 - P.E.R.S.</v>
      </c>
      <c r="C27" s="11"/>
      <c r="D27" s="8"/>
      <c r="E27" s="3"/>
      <c r="F27" s="7">
        <f t="shared" si="14"/>
        <v>0</v>
      </c>
      <c r="G27" s="3"/>
      <c r="H27" s="8">
        <v>0</v>
      </c>
      <c r="I27" s="3"/>
      <c r="J27" s="7">
        <f t="shared" si="15"/>
        <v>0</v>
      </c>
      <c r="K27" s="3"/>
      <c r="L27" s="8">
        <f t="shared" si="16"/>
        <v>0</v>
      </c>
      <c r="M27" s="3"/>
      <c r="N27" s="7">
        <f t="shared" si="17"/>
        <v>0</v>
      </c>
      <c r="O27" s="11"/>
      <c r="P27" s="8"/>
      <c r="Q27" s="3"/>
      <c r="R27" s="7">
        <f t="shared" si="18"/>
        <v>0</v>
      </c>
      <c r="S27" s="3"/>
      <c r="T27" s="8">
        <v>0</v>
      </c>
      <c r="U27" s="3"/>
      <c r="V27" s="7">
        <f t="shared" si="19"/>
        <v>0</v>
      </c>
      <c r="W27" s="3"/>
      <c r="X27" s="8">
        <f t="shared" si="20"/>
        <v>0</v>
      </c>
      <c r="Y27" s="3"/>
      <c r="Z27" s="7">
        <f t="shared" si="21"/>
        <v>0</v>
      </c>
    </row>
    <row r="28" spans="1:26" s="24" customFormat="1" hidden="1" outlineLevel="2" x14ac:dyDescent="0.3">
      <c r="A28" s="29"/>
      <c r="B28" s="11" t="str">
        <f>CONCATENATE("          ", "6116", " - ", "EDUCATIONAL BENEFITS")</f>
        <v xml:space="preserve">          6116 - EDUCATIONAL BENEFITS</v>
      </c>
      <c r="C28" s="11"/>
      <c r="D28" s="8"/>
      <c r="E28" s="3"/>
      <c r="F28" s="7">
        <f t="shared" si="14"/>
        <v>0</v>
      </c>
      <c r="G28" s="3"/>
      <c r="H28" s="8">
        <v>0</v>
      </c>
      <c r="I28" s="3"/>
      <c r="J28" s="7">
        <f t="shared" si="15"/>
        <v>0</v>
      </c>
      <c r="K28" s="3"/>
      <c r="L28" s="8">
        <f t="shared" si="16"/>
        <v>0</v>
      </c>
      <c r="M28" s="3"/>
      <c r="N28" s="7">
        <f t="shared" si="17"/>
        <v>0</v>
      </c>
      <c r="O28" s="11"/>
      <c r="P28" s="8"/>
      <c r="Q28" s="3"/>
      <c r="R28" s="7">
        <f t="shared" si="18"/>
        <v>0</v>
      </c>
      <c r="S28" s="3"/>
      <c r="T28" s="8">
        <v>0</v>
      </c>
      <c r="U28" s="3"/>
      <c r="V28" s="7">
        <f t="shared" si="19"/>
        <v>0</v>
      </c>
      <c r="W28" s="3"/>
      <c r="X28" s="8">
        <f t="shared" si="20"/>
        <v>0</v>
      </c>
      <c r="Y28" s="3"/>
      <c r="Z28" s="7">
        <f t="shared" si="21"/>
        <v>0</v>
      </c>
    </row>
    <row r="29" spans="1:26" s="24" customFormat="1" hidden="1" outlineLevel="2" x14ac:dyDescent="0.3">
      <c r="A29" s="29"/>
      <c r="B29" s="11" t="str">
        <f>CONCATENATE("          ", "6118", " - ", "VACATION")</f>
        <v xml:space="preserve">          6118 - VACATION</v>
      </c>
      <c r="C29" s="11"/>
      <c r="D29" s="8"/>
      <c r="E29" s="3"/>
      <c r="F29" s="7">
        <f t="shared" si="14"/>
        <v>0</v>
      </c>
      <c r="G29" s="3"/>
      <c r="H29" s="8">
        <v>0</v>
      </c>
      <c r="I29" s="3"/>
      <c r="J29" s="7">
        <f t="shared" si="15"/>
        <v>0</v>
      </c>
      <c r="K29" s="3"/>
      <c r="L29" s="8">
        <f t="shared" si="16"/>
        <v>0</v>
      </c>
      <c r="M29" s="3"/>
      <c r="N29" s="7">
        <f t="shared" si="17"/>
        <v>0</v>
      </c>
      <c r="O29" s="11"/>
      <c r="P29" s="8"/>
      <c r="Q29" s="3"/>
      <c r="R29" s="7">
        <f t="shared" si="18"/>
        <v>0</v>
      </c>
      <c r="S29" s="3"/>
      <c r="T29" s="8">
        <v>0</v>
      </c>
      <c r="U29" s="3"/>
      <c r="V29" s="7">
        <f t="shared" si="19"/>
        <v>0</v>
      </c>
      <c r="W29" s="3"/>
      <c r="X29" s="8">
        <f t="shared" si="20"/>
        <v>0</v>
      </c>
      <c r="Y29" s="3"/>
      <c r="Z29" s="7">
        <f t="shared" si="21"/>
        <v>0</v>
      </c>
    </row>
    <row r="30" spans="1:26" s="24" customFormat="1" hidden="1" outlineLevel="2" x14ac:dyDescent="0.3">
      <c r="A30" s="29"/>
      <c r="B30" s="11" t="str">
        <f>CONCATENATE("          ", "6119", " - ", "SICK LEAVE")</f>
        <v xml:space="preserve">          6119 - SICK LEAVE</v>
      </c>
      <c r="C30" s="11"/>
      <c r="D30" s="8"/>
      <c r="E30" s="3"/>
      <c r="F30" s="7">
        <f t="shared" si="14"/>
        <v>0</v>
      </c>
      <c r="G30" s="3"/>
      <c r="H30" s="8">
        <v>0</v>
      </c>
      <c r="I30" s="3"/>
      <c r="J30" s="7">
        <f t="shared" si="15"/>
        <v>0</v>
      </c>
      <c r="K30" s="3"/>
      <c r="L30" s="8">
        <f t="shared" si="16"/>
        <v>0</v>
      </c>
      <c r="M30" s="3"/>
      <c r="N30" s="7">
        <f t="shared" si="17"/>
        <v>0</v>
      </c>
      <c r="O30" s="11"/>
      <c r="P30" s="8"/>
      <c r="Q30" s="3"/>
      <c r="R30" s="7">
        <f t="shared" si="18"/>
        <v>0</v>
      </c>
      <c r="S30" s="3"/>
      <c r="T30" s="8">
        <v>0</v>
      </c>
      <c r="U30" s="3"/>
      <c r="V30" s="7">
        <f t="shared" si="19"/>
        <v>0</v>
      </c>
      <c r="W30" s="3"/>
      <c r="X30" s="8">
        <f t="shared" si="20"/>
        <v>0</v>
      </c>
      <c r="Y30" s="3"/>
      <c r="Z30" s="7">
        <f t="shared" si="21"/>
        <v>0</v>
      </c>
    </row>
    <row r="31" spans="1:26" s="27" customFormat="1" outlineLevel="1" collapsed="1" x14ac:dyDescent="0.3">
      <c r="A31" s="28"/>
      <c r="B31" s="14" t="str">
        <f>CONCATENATE("     ","*Payroll                                          ")</f>
        <v xml:space="preserve">     *Payroll                                          </v>
      </c>
      <c r="C31" s="14"/>
      <c r="D31" s="1">
        <f>SUM(OSRRefD22_1x_0)</f>
        <v>0</v>
      </c>
      <c r="E31" s="1"/>
      <c r="F31" s="5">
        <f t="shared" ref="F31:F41" si="22">IF(D$12=0,0,D31/D$12)</f>
        <v>0</v>
      </c>
      <c r="G31" s="1"/>
      <c r="H31" s="1">
        <f>SUM(OSRRefH22_1x_0)</f>
        <v>0</v>
      </c>
      <c r="I31" s="1"/>
      <c r="J31" s="5">
        <f t="shared" ref="J31:J41" si="23">IF(H$12=0,0,H31/H$12)</f>
        <v>0</v>
      </c>
      <c r="K31" s="1"/>
      <c r="L31" s="1">
        <f t="shared" ref="L31:L41" si="24">+D31-H31</f>
        <v>0</v>
      </c>
      <c r="M31" s="1"/>
      <c r="N31" s="5">
        <f t="shared" ref="N31:N41" si="25">IF(H31=0,0,L31/H31)</f>
        <v>0</v>
      </c>
      <c r="O31" s="14"/>
      <c r="P31" s="1">
        <f>SUM(OSRRefP22_1x_0)</f>
        <v>0</v>
      </c>
      <c r="Q31" s="1"/>
      <c r="R31" s="5">
        <f t="shared" ref="R31:R41" si="26">IF(P$12=0,0,P31/P$12)</f>
        <v>0</v>
      </c>
      <c r="S31" s="1"/>
      <c r="T31" s="1">
        <f>SUM(OSRRefT22_1x_0)</f>
        <v>0</v>
      </c>
      <c r="U31" s="1"/>
      <c r="V31" s="5">
        <f t="shared" ref="V31:V41" si="27">IF(T$12=0,0,T31/T$12)</f>
        <v>0</v>
      </c>
      <c r="W31" s="1"/>
      <c r="X31" s="1">
        <f t="shared" ref="X31:X41" si="28">+P31-T31</f>
        <v>0</v>
      </c>
      <c r="Y31" s="1"/>
      <c r="Z31" s="5">
        <f t="shared" ref="Z31:Z41" si="29">IF(T31=0,0,X31/T31)</f>
        <v>0</v>
      </c>
    </row>
    <row r="32" spans="1:26" s="24" customFormat="1" hidden="1" outlineLevel="2" x14ac:dyDescent="0.3">
      <c r="A32" s="29"/>
      <c r="B32" s="11" t="str">
        <f>CONCATENATE("          ", "6001", " - ", "ADMINISTRATIVE SALARIES")</f>
        <v xml:space="preserve">          6001 - ADMINISTRATIVE SALARIES</v>
      </c>
      <c r="C32" s="11"/>
      <c r="D32" s="8"/>
      <c r="E32" s="3"/>
      <c r="F32" s="7">
        <f t="shared" si="22"/>
        <v>0</v>
      </c>
      <c r="G32" s="3"/>
      <c r="H32" s="8">
        <v>0</v>
      </c>
      <c r="I32" s="3"/>
      <c r="J32" s="7">
        <f t="shared" si="23"/>
        <v>0</v>
      </c>
      <c r="K32" s="3"/>
      <c r="L32" s="8">
        <f t="shared" si="24"/>
        <v>0</v>
      </c>
      <c r="M32" s="3"/>
      <c r="N32" s="7">
        <f t="shared" si="25"/>
        <v>0</v>
      </c>
      <c r="O32" s="11"/>
      <c r="P32" s="8"/>
      <c r="Q32" s="3"/>
      <c r="R32" s="7">
        <f t="shared" si="26"/>
        <v>0</v>
      </c>
      <c r="S32" s="3"/>
      <c r="T32" s="8">
        <v>0</v>
      </c>
      <c r="U32" s="3"/>
      <c r="V32" s="7">
        <f t="shared" si="27"/>
        <v>0</v>
      </c>
      <c r="W32" s="3"/>
      <c r="X32" s="8">
        <f t="shared" si="28"/>
        <v>0</v>
      </c>
      <c r="Y32" s="3"/>
      <c r="Z32" s="7">
        <f t="shared" si="29"/>
        <v>0</v>
      </c>
    </row>
    <row r="33" spans="1:26" s="24" customFormat="1" hidden="1" outlineLevel="2" x14ac:dyDescent="0.3">
      <c r="A33" s="29"/>
      <c r="B33" s="11" t="str">
        <f>CONCATENATE("          ", "6002", " - ", "STAFF SALARIES")</f>
        <v xml:space="preserve">          6002 - STAFF SALARIES</v>
      </c>
      <c r="C33" s="11"/>
      <c r="D33" s="8"/>
      <c r="E33" s="3"/>
      <c r="F33" s="7">
        <f t="shared" si="22"/>
        <v>0</v>
      </c>
      <c r="G33" s="3"/>
      <c r="H33" s="8">
        <v>0</v>
      </c>
      <c r="I33" s="3"/>
      <c r="J33" s="7">
        <f t="shared" si="23"/>
        <v>0</v>
      </c>
      <c r="K33" s="3"/>
      <c r="L33" s="8">
        <f t="shared" si="24"/>
        <v>0</v>
      </c>
      <c r="M33" s="3"/>
      <c r="N33" s="7">
        <f t="shared" si="25"/>
        <v>0</v>
      </c>
      <c r="O33" s="11"/>
      <c r="P33" s="8"/>
      <c r="Q33" s="3"/>
      <c r="R33" s="7">
        <f t="shared" si="26"/>
        <v>0</v>
      </c>
      <c r="S33" s="3"/>
      <c r="T33" s="8">
        <v>0</v>
      </c>
      <c r="U33" s="3"/>
      <c r="V33" s="7">
        <f t="shared" si="27"/>
        <v>0</v>
      </c>
      <c r="W33" s="3"/>
      <c r="X33" s="8">
        <f t="shared" si="28"/>
        <v>0</v>
      </c>
      <c r="Y33" s="3"/>
      <c r="Z33" s="7">
        <f t="shared" si="29"/>
        <v>0</v>
      </c>
    </row>
    <row r="34" spans="1:26" s="24" customFormat="1" hidden="1" outlineLevel="2" x14ac:dyDescent="0.3">
      <c r="A34" s="29"/>
      <c r="B34" s="11" t="str">
        <f>CONCATENATE("          ", "6003", " - ", "STAFF HOURLY-9 MONTH")</f>
        <v xml:space="preserve">          6003 - STAFF HOURLY-9 MONTH</v>
      </c>
      <c r="C34" s="11"/>
      <c r="D34" s="8"/>
      <c r="E34" s="3"/>
      <c r="F34" s="7">
        <f t="shared" si="22"/>
        <v>0</v>
      </c>
      <c r="G34" s="3"/>
      <c r="H34" s="8">
        <v>0</v>
      </c>
      <c r="I34" s="3"/>
      <c r="J34" s="7">
        <f t="shared" si="23"/>
        <v>0</v>
      </c>
      <c r="K34" s="3"/>
      <c r="L34" s="8">
        <f t="shared" si="24"/>
        <v>0</v>
      </c>
      <c r="M34" s="3"/>
      <c r="N34" s="7">
        <f t="shared" si="25"/>
        <v>0</v>
      </c>
      <c r="O34" s="11"/>
      <c r="P34" s="8"/>
      <c r="Q34" s="3"/>
      <c r="R34" s="7">
        <f t="shared" si="26"/>
        <v>0</v>
      </c>
      <c r="S34" s="3"/>
      <c r="T34" s="8">
        <v>0</v>
      </c>
      <c r="U34" s="3"/>
      <c r="V34" s="7">
        <f t="shared" si="27"/>
        <v>0</v>
      </c>
      <c r="W34" s="3"/>
      <c r="X34" s="8">
        <f t="shared" si="28"/>
        <v>0</v>
      </c>
      <c r="Y34" s="3"/>
      <c r="Z34" s="7">
        <f t="shared" si="29"/>
        <v>0</v>
      </c>
    </row>
    <row r="35" spans="1:26" s="24" customFormat="1" hidden="1" outlineLevel="2" x14ac:dyDescent="0.3">
      <c r="A35" s="29"/>
      <c r="B35" s="11" t="str">
        <f>CONCATENATE("          ", "6004", " - ", "STAFF HOURLY")</f>
        <v xml:space="preserve">          6004 - STAFF HOURLY</v>
      </c>
      <c r="C35" s="11"/>
      <c r="D35" s="8"/>
      <c r="E35" s="3"/>
      <c r="F35" s="7">
        <f t="shared" si="22"/>
        <v>0</v>
      </c>
      <c r="G35" s="3"/>
      <c r="H35" s="8">
        <v>0</v>
      </c>
      <c r="I35" s="3"/>
      <c r="J35" s="7">
        <f t="shared" si="23"/>
        <v>0</v>
      </c>
      <c r="K35" s="3"/>
      <c r="L35" s="8">
        <f t="shared" si="24"/>
        <v>0</v>
      </c>
      <c r="M35" s="3"/>
      <c r="N35" s="7">
        <f t="shared" si="25"/>
        <v>0</v>
      </c>
      <c r="O35" s="11"/>
      <c r="P35" s="8"/>
      <c r="Q35" s="3"/>
      <c r="R35" s="7">
        <f t="shared" si="26"/>
        <v>0</v>
      </c>
      <c r="S35" s="3"/>
      <c r="T35" s="8">
        <v>0</v>
      </c>
      <c r="U35" s="3"/>
      <c r="V35" s="7">
        <f t="shared" si="27"/>
        <v>0</v>
      </c>
      <c r="W35" s="3"/>
      <c r="X35" s="8">
        <f t="shared" si="28"/>
        <v>0</v>
      </c>
      <c r="Y35" s="3"/>
      <c r="Z35" s="7">
        <f t="shared" si="29"/>
        <v>0</v>
      </c>
    </row>
    <row r="36" spans="1:26" s="24" customFormat="1" hidden="1" outlineLevel="2" x14ac:dyDescent="0.3">
      <c r="A36" s="29"/>
      <c r="B36" s="11" t="str">
        <f>CONCATENATE("          ", "6005", " - ", "TEMPORARY WAGES-HOURLY")</f>
        <v xml:space="preserve">          6005 - TEMPORARY WAGES-HOURLY</v>
      </c>
      <c r="C36" s="11"/>
      <c r="D36" s="8"/>
      <c r="E36" s="3"/>
      <c r="F36" s="7">
        <f t="shared" si="22"/>
        <v>0</v>
      </c>
      <c r="G36" s="3"/>
      <c r="H36" s="8">
        <v>0</v>
      </c>
      <c r="I36" s="3"/>
      <c r="J36" s="7">
        <f t="shared" si="23"/>
        <v>0</v>
      </c>
      <c r="K36" s="3"/>
      <c r="L36" s="8">
        <f t="shared" si="24"/>
        <v>0</v>
      </c>
      <c r="M36" s="3"/>
      <c r="N36" s="7">
        <f t="shared" si="25"/>
        <v>0</v>
      </c>
      <c r="O36" s="11"/>
      <c r="P36" s="8"/>
      <c r="Q36" s="3"/>
      <c r="R36" s="7">
        <f t="shared" si="26"/>
        <v>0</v>
      </c>
      <c r="S36" s="3"/>
      <c r="T36" s="8">
        <v>0</v>
      </c>
      <c r="U36" s="3"/>
      <c r="V36" s="7">
        <f t="shared" si="27"/>
        <v>0</v>
      </c>
      <c r="W36" s="3"/>
      <c r="X36" s="8">
        <f t="shared" si="28"/>
        <v>0</v>
      </c>
      <c r="Y36" s="3"/>
      <c r="Z36" s="7">
        <f t="shared" si="29"/>
        <v>0</v>
      </c>
    </row>
    <row r="37" spans="1:26" s="24" customFormat="1" hidden="1" outlineLevel="2" x14ac:dyDescent="0.3">
      <c r="A37" s="29"/>
      <c r="B37" s="11" t="str">
        <f>CONCATENATE("          ", "6006", " - ", "TEMPORARY PART TIME")</f>
        <v xml:space="preserve">          6006 - TEMPORARY PART TIME</v>
      </c>
      <c r="C37" s="11"/>
      <c r="D37" s="8"/>
      <c r="E37" s="3"/>
      <c r="F37" s="7">
        <f t="shared" si="22"/>
        <v>0</v>
      </c>
      <c r="G37" s="3"/>
      <c r="H37" s="8">
        <v>0</v>
      </c>
      <c r="I37" s="3"/>
      <c r="J37" s="7">
        <f t="shared" si="23"/>
        <v>0</v>
      </c>
      <c r="K37" s="3"/>
      <c r="L37" s="8">
        <f t="shared" si="24"/>
        <v>0</v>
      </c>
      <c r="M37" s="3"/>
      <c r="N37" s="7">
        <f t="shared" si="25"/>
        <v>0</v>
      </c>
      <c r="O37" s="11"/>
      <c r="P37" s="8"/>
      <c r="Q37" s="3"/>
      <c r="R37" s="7">
        <f t="shared" si="26"/>
        <v>0</v>
      </c>
      <c r="S37" s="3"/>
      <c r="T37" s="8">
        <v>0</v>
      </c>
      <c r="U37" s="3"/>
      <c r="V37" s="7">
        <f t="shared" si="27"/>
        <v>0</v>
      </c>
      <c r="W37" s="3"/>
      <c r="X37" s="8">
        <f t="shared" si="28"/>
        <v>0</v>
      </c>
      <c r="Y37" s="3"/>
      <c r="Z37" s="7">
        <f t="shared" si="29"/>
        <v>0</v>
      </c>
    </row>
    <row r="38" spans="1:26" s="24" customFormat="1" hidden="1" outlineLevel="2" x14ac:dyDescent="0.3">
      <c r="A38" s="29"/>
      <c r="B38" s="11" t="str">
        <f>CONCATENATE("          ", "6007", " - ", "STUDENT HOURLY")</f>
        <v xml:space="preserve">          6007 - STUDENT HOURLY</v>
      </c>
      <c r="C38" s="11"/>
      <c r="D38" s="8"/>
      <c r="E38" s="3"/>
      <c r="F38" s="7">
        <f t="shared" si="22"/>
        <v>0</v>
      </c>
      <c r="G38" s="3"/>
      <c r="H38" s="8">
        <v>0</v>
      </c>
      <c r="I38" s="3"/>
      <c r="J38" s="7">
        <f t="shared" si="23"/>
        <v>0</v>
      </c>
      <c r="K38" s="3"/>
      <c r="L38" s="8">
        <f t="shared" si="24"/>
        <v>0</v>
      </c>
      <c r="M38" s="3"/>
      <c r="N38" s="7">
        <f t="shared" si="25"/>
        <v>0</v>
      </c>
      <c r="O38" s="11"/>
      <c r="P38" s="8"/>
      <c r="Q38" s="3"/>
      <c r="R38" s="7">
        <f t="shared" si="26"/>
        <v>0</v>
      </c>
      <c r="S38" s="3"/>
      <c r="T38" s="8">
        <v>0</v>
      </c>
      <c r="U38" s="3"/>
      <c r="V38" s="7">
        <f t="shared" si="27"/>
        <v>0</v>
      </c>
      <c r="W38" s="3"/>
      <c r="X38" s="8">
        <f t="shared" si="28"/>
        <v>0</v>
      </c>
      <c r="Y38" s="3"/>
      <c r="Z38" s="7">
        <f t="shared" si="29"/>
        <v>0</v>
      </c>
    </row>
    <row r="39" spans="1:26" s="24" customFormat="1" hidden="1" outlineLevel="2" x14ac:dyDescent="0.3">
      <c r="A39" s="29"/>
      <c r="B39" s="11" t="str">
        <f>CONCATENATE("          ", "6008", " - ", "STUDENT HOURLY-FICA EXEMPT")</f>
        <v xml:space="preserve">          6008 - STUDENT HOURLY-FICA EXEMPT</v>
      </c>
      <c r="C39" s="11"/>
      <c r="D39" s="8"/>
      <c r="E39" s="3"/>
      <c r="F39" s="7">
        <f t="shared" si="22"/>
        <v>0</v>
      </c>
      <c r="G39" s="3"/>
      <c r="H39" s="8">
        <v>0</v>
      </c>
      <c r="I39" s="3"/>
      <c r="J39" s="7">
        <f t="shared" si="23"/>
        <v>0</v>
      </c>
      <c r="K39" s="3"/>
      <c r="L39" s="8">
        <f t="shared" si="24"/>
        <v>0</v>
      </c>
      <c r="M39" s="3"/>
      <c r="N39" s="7">
        <f t="shared" si="25"/>
        <v>0</v>
      </c>
      <c r="O39" s="11"/>
      <c r="P39" s="8"/>
      <c r="Q39" s="3"/>
      <c r="R39" s="7">
        <f t="shared" si="26"/>
        <v>0</v>
      </c>
      <c r="S39" s="3"/>
      <c r="T39" s="8">
        <v>0</v>
      </c>
      <c r="U39" s="3"/>
      <c r="V39" s="7">
        <f t="shared" si="27"/>
        <v>0</v>
      </c>
      <c r="W39" s="3"/>
      <c r="X39" s="8">
        <f t="shared" si="28"/>
        <v>0</v>
      </c>
      <c r="Y39" s="3"/>
      <c r="Z39" s="7">
        <f t="shared" si="29"/>
        <v>0</v>
      </c>
    </row>
    <row r="40" spans="1:26" s="24" customFormat="1" hidden="1" outlineLevel="2" x14ac:dyDescent="0.3">
      <c r="A40" s="29"/>
      <c r="B40" s="11" t="str">
        <f>CONCATENATE("          ", "6009", " - ", "TEMPORARY-SEASONAL")</f>
        <v xml:space="preserve">          6009 - TEMPORARY-SEASONAL</v>
      </c>
      <c r="C40" s="11"/>
      <c r="D40" s="8"/>
      <c r="E40" s="3"/>
      <c r="F40" s="7">
        <f t="shared" si="22"/>
        <v>0</v>
      </c>
      <c r="G40" s="3"/>
      <c r="H40" s="8">
        <v>0</v>
      </c>
      <c r="I40" s="3"/>
      <c r="J40" s="7">
        <f t="shared" si="23"/>
        <v>0</v>
      </c>
      <c r="K40" s="3"/>
      <c r="L40" s="8">
        <f t="shared" si="24"/>
        <v>0</v>
      </c>
      <c r="M40" s="3"/>
      <c r="N40" s="7">
        <f t="shared" si="25"/>
        <v>0</v>
      </c>
      <c r="O40" s="11"/>
      <c r="P40" s="8"/>
      <c r="Q40" s="3"/>
      <c r="R40" s="7">
        <f t="shared" si="26"/>
        <v>0</v>
      </c>
      <c r="S40" s="3"/>
      <c r="T40" s="8">
        <v>0</v>
      </c>
      <c r="U40" s="3"/>
      <c r="V40" s="7">
        <f t="shared" si="27"/>
        <v>0</v>
      </c>
      <c r="W40" s="3"/>
      <c r="X40" s="8">
        <f t="shared" si="28"/>
        <v>0</v>
      </c>
      <c r="Y40" s="3"/>
      <c r="Z40" s="7">
        <f t="shared" si="29"/>
        <v>0</v>
      </c>
    </row>
    <row r="41" spans="1:26" s="24" customFormat="1" hidden="1" outlineLevel="2" x14ac:dyDescent="0.3">
      <c r="A41" s="29"/>
      <c r="B41" s="11" t="str">
        <f>CONCATENATE("          ", "6010", " - ", "GRATUITY")</f>
        <v xml:space="preserve">          6010 - GRATUITY</v>
      </c>
      <c r="C41" s="11"/>
      <c r="D41" s="8"/>
      <c r="E41" s="3"/>
      <c r="F41" s="7">
        <f t="shared" si="22"/>
        <v>0</v>
      </c>
      <c r="G41" s="3"/>
      <c r="H41" s="8">
        <v>0</v>
      </c>
      <c r="I41" s="3"/>
      <c r="J41" s="7">
        <f t="shared" si="23"/>
        <v>0</v>
      </c>
      <c r="K41" s="3"/>
      <c r="L41" s="8">
        <f t="shared" si="24"/>
        <v>0</v>
      </c>
      <c r="M41" s="3"/>
      <c r="N41" s="7">
        <f t="shared" si="25"/>
        <v>0</v>
      </c>
      <c r="O41" s="11"/>
      <c r="P41" s="8"/>
      <c r="Q41" s="3"/>
      <c r="R41" s="7">
        <f t="shared" si="26"/>
        <v>0</v>
      </c>
      <c r="S41" s="3"/>
      <c r="T41" s="8">
        <v>0</v>
      </c>
      <c r="U41" s="3"/>
      <c r="V41" s="7">
        <f t="shared" si="27"/>
        <v>0</v>
      </c>
      <c r="W41" s="3"/>
      <c r="X41" s="8">
        <f t="shared" si="28"/>
        <v>0</v>
      </c>
      <c r="Y41" s="3"/>
      <c r="Z41" s="7">
        <f t="shared" si="29"/>
        <v>0</v>
      </c>
    </row>
    <row r="42" spans="1:26" s="27" customFormat="1" outlineLevel="1" collapsed="1" x14ac:dyDescent="0.3">
      <c r="A42" s="28"/>
      <c r="B42" s="14" t="str">
        <f>CONCATENATE("     ","Bank/card Fees                                    ")</f>
        <v xml:space="preserve">     Bank/card Fees                                    </v>
      </c>
      <c r="C42" s="14"/>
      <c r="D42" s="1">
        <f>SUM(OSRRefD22_2x_0)</f>
        <v>75.12</v>
      </c>
      <c r="E42" s="1"/>
      <c r="F42" s="5">
        <f t="shared" ref="F42:F48" si="30">IF(D$12=0,0,D42/D$12)</f>
        <v>0</v>
      </c>
      <c r="G42" s="1"/>
      <c r="H42" s="1">
        <f>SUM(OSRRefH22_2x_0)</f>
        <v>0</v>
      </c>
      <c r="I42" s="1"/>
      <c r="J42" s="5">
        <f t="shared" ref="J42:J48" si="31">IF(H$12=0,0,H42/H$12)</f>
        <v>0</v>
      </c>
      <c r="K42" s="1"/>
      <c r="L42" s="1">
        <f t="shared" ref="L42:L48" si="32">+D42-H42</f>
        <v>75.12</v>
      </c>
      <c r="M42" s="1"/>
      <c r="N42" s="5">
        <f t="shared" ref="N42:N48" si="33">IF(H42=0,0,L42/H42)</f>
        <v>0</v>
      </c>
      <c r="O42" s="14"/>
      <c r="P42" s="1">
        <f>SUM(OSRRefP22_2x_0)</f>
        <v>75.12</v>
      </c>
      <c r="Q42" s="1"/>
      <c r="R42" s="5">
        <f t="shared" ref="R42:R48" si="34">IF(P$12=0,0,P42/P$12)</f>
        <v>0</v>
      </c>
      <c r="S42" s="1"/>
      <c r="T42" s="1">
        <f>SUM(OSRRefT22_2x_0)</f>
        <v>0</v>
      </c>
      <c r="U42" s="1"/>
      <c r="V42" s="5">
        <f t="shared" ref="V42:V48" si="35">IF(T$12=0,0,T42/T$12)</f>
        <v>0</v>
      </c>
      <c r="W42" s="1"/>
      <c r="X42" s="1">
        <f t="shared" ref="X42:X48" si="36">+P42-T42</f>
        <v>75.12</v>
      </c>
      <c r="Y42" s="1"/>
      <c r="Z42" s="5">
        <f t="shared" ref="Z42:Z48" si="37">IF(T42=0,0,X42/T42)</f>
        <v>0</v>
      </c>
    </row>
    <row r="43" spans="1:26" s="24" customFormat="1" hidden="1" outlineLevel="2" x14ac:dyDescent="0.3">
      <c r="A43" s="29"/>
      <c r="B43" s="11" t="str">
        <f>CONCATENATE("          ", "6381", " - ", "BANK/CREDIT CARD FEES")</f>
        <v xml:space="preserve">          6381 - BANK/CREDIT CARD FEES</v>
      </c>
      <c r="C43" s="11"/>
      <c r="D43" s="8">
        <v>75.12</v>
      </c>
      <c r="E43" s="3"/>
      <c r="F43" s="7">
        <f t="shared" si="30"/>
        <v>0</v>
      </c>
      <c r="G43" s="3"/>
      <c r="H43" s="8"/>
      <c r="I43" s="3"/>
      <c r="J43" s="7">
        <f t="shared" si="31"/>
        <v>0</v>
      </c>
      <c r="K43" s="3"/>
      <c r="L43" s="8">
        <f t="shared" si="32"/>
        <v>75.12</v>
      </c>
      <c r="M43" s="3"/>
      <c r="N43" s="7">
        <f t="shared" si="33"/>
        <v>0</v>
      </c>
      <c r="O43" s="11"/>
      <c r="P43" s="8">
        <v>75.12</v>
      </c>
      <c r="Q43" s="3"/>
      <c r="R43" s="7">
        <f t="shared" si="34"/>
        <v>0</v>
      </c>
      <c r="S43" s="3"/>
      <c r="T43" s="8"/>
      <c r="U43" s="3"/>
      <c r="V43" s="7">
        <f t="shared" si="35"/>
        <v>0</v>
      </c>
      <c r="W43" s="3"/>
      <c r="X43" s="8">
        <f t="shared" si="36"/>
        <v>75.12</v>
      </c>
      <c r="Y43" s="3"/>
      <c r="Z43" s="7">
        <f t="shared" si="37"/>
        <v>0</v>
      </c>
    </row>
    <row r="44" spans="1:26" s="27" customFormat="1" outlineLevel="1" collapsed="1" x14ac:dyDescent="0.3">
      <c r="A44" s="28"/>
      <c r="B44" s="14" t="str">
        <f>CONCATENATE("     ","Depreciation                                      ")</f>
        <v xml:space="preserve">     Depreciation                                      </v>
      </c>
      <c r="C44" s="14"/>
      <c r="D44" s="1">
        <f>SUM(OSRRefD22_3x_0)</f>
        <v>1075.3900000000001</v>
      </c>
      <c r="E44" s="1"/>
      <c r="F44" s="5">
        <f t="shared" si="30"/>
        <v>0</v>
      </c>
      <c r="G44" s="1"/>
      <c r="H44" s="1">
        <f>SUM(OSRRefH22_3x_0)</f>
        <v>1075</v>
      </c>
      <c r="I44" s="1"/>
      <c r="J44" s="5">
        <f t="shared" si="31"/>
        <v>0</v>
      </c>
      <c r="K44" s="1"/>
      <c r="L44" s="1">
        <f t="shared" si="32"/>
        <v>0.39000000000010004</v>
      </c>
      <c r="M44" s="1"/>
      <c r="N44" s="5">
        <f t="shared" si="33"/>
        <v>3.6279069767451168E-4</v>
      </c>
      <c r="O44" s="14"/>
      <c r="P44" s="1">
        <f>SUM(OSRRefP22_3x_0)</f>
        <v>1075.3900000000001</v>
      </c>
      <c r="Q44" s="1"/>
      <c r="R44" s="5">
        <f t="shared" si="34"/>
        <v>0</v>
      </c>
      <c r="S44" s="1"/>
      <c r="T44" s="1">
        <f>SUM(OSRRefT22_3x_0)</f>
        <v>1075</v>
      </c>
      <c r="U44" s="1"/>
      <c r="V44" s="5">
        <f t="shared" si="35"/>
        <v>0</v>
      </c>
      <c r="W44" s="1"/>
      <c r="X44" s="1">
        <f t="shared" si="36"/>
        <v>0.39000000000010004</v>
      </c>
      <c r="Y44" s="1"/>
      <c r="Z44" s="5">
        <f t="shared" si="37"/>
        <v>3.6279069767451168E-4</v>
      </c>
    </row>
    <row r="45" spans="1:26" s="24" customFormat="1" hidden="1" outlineLevel="2" x14ac:dyDescent="0.3">
      <c r="A45" s="29"/>
      <c r="B45" s="11" t="str">
        <f>CONCATENATE("          ", "6322", " - ", "EQUIPMENT DEPRECIATION EXPENSE")</f>
        <v xml:space="preserve">          6322 - EQUIPMENT DEPRECIATION EXPENSE</v>
      </c>
      <c r="C45" s="11"/>
      <c r="D45" s="8">
        <v>1075.3900000000001</v>
      </c>
      <c r="E45" s="3"/>
      <c r="F45" s="7">
        <f t="shared" si="30"/>
        <v>0</v>
      </c>
      <c r="G45" s="3"/>
      <c r="H45" s="8">
        <v>1075</v>
      </c>
      <c r="I45" s="3"/>
      <c r="J45" s="7">
        <f t="shared" si="31"/>
        <v>0</v>
      </c>
      <c r="K45" s="3"/>
      <c r="L45" s="8">
        <f t="shared" si="32"/>
        <v>0.39000000000010004</v>
      </c>
      <c r="M45" s="3"/>
      <c r="N45" s="7">
        <f t="shared" si="33"/>
        <v>3.6279069767451168E-4</v>
      </c>
      <c r="O45" s="11"/>
      <c r="P45" s="8">
        <v>1075.3900000000001</v>
      </c>
      <c r="Q45" s="3"/>
      <c r="R45" s="7">
        <f t="shared" si="34"/>
        <v>0</v>
      </c>
      <c r="S45" s="3"/>
      <c r="T45" s="8">
        <v>1075</v>
      </c>
      <c r="U45" s="3"/>
      <c r="V45" s="7">
        <f t="shared" si="35"/>
        <v>0</v>
      </c>
      <c r="W45" s="3"/>
      <c r="X45" s="8">
        <f t="shared" si="36"/>
        <v>0.39000000000010004</v>
      </c>
      <c r="Y45" s="3"/>
      <c r="Z45" s="7">
        <f t="shared" si="37"/>
        <v>3.6279069767451168E-4</v>
      </c>
    </row>
    <row r="46" spans="1:26" s="27" customFormat="1" outlineLevel="1" collapsed="1" x14ac:dyDescent="0.3">
      <c r="A46" s="28"/>
      <c r="B46" s="14" t="str">
        <f>CONCATENATE("     ","Repair and Maintenance                            ")</f>
        <v xml:space="preserve">     Repair and Maintenance                            </v>
      </c>
      <c r="C46" s="14"/>
      <c r="D46" s="1">
        <f>SUM(OSRRefD22_4x_0)</f>
        <v>0</v>
      </c>
      <c r="E46" s="1"/>
      <c r="F46" s="5">
        <f t="shared" si="30"/>
        <v>0</v>
      </c>
      <c r="G46" s="1"/>
      <c r="H46" s="1">
        <f>SUM(OSRRefH22_4x_0)</f>
        <v>265</v>
      </c>
      <c r="I46" s="1"/>
      <c r="J46" s="5">
        <f t="shared" si="31"/>
        <v>0</v>
      </c>
      <c r="K46" s="1"/>
      <c r="L46" s="1">
        <f t="shared" si="32"/>
        <v>-265</v>
      </c>
      <c r="M46" s="1"/>
      <c r="N46" s="5">
        <f t="shared" si="33"/>
        <v>-1</v>
      </c>
      <c r="O46" s="14"/>
      <c r="P46" s="1">
        <f>SUM(OSRRefP22_4x_0)</f>
        <v>0</v>
      </c>
      <c r="Q46" s="1"/>
      <c r="R46" s="5">
        <f t="shared" si="34"/>
        <v>0</v>
      </c>
      <c r="S46" s="1"/>
      <c r="T46" s="1">
        <f>SUM(OSRRefT22_4x_0)</f>
        <v>265</v>
      </c>
      <c r="U46" s="1"/>
      <c r="V46" s="5">
        <f t="shared" si="35"/>
        <v>0</v>
      </c>
      <c r="W46" s="1"/>
      <c r="X46" s="1">
        <f t="shared" si="36"/>
        <v>-265</v>
      </c>
      <c r="Y46" s="1"/>
      <c r="Z46" s="5">
        <f t="shared" si="37"/>
        <v>-1</v>
      </c>
    </row>
    <row r="47" spans="1:26" s="24" customFormat="1" hidden="1" outlineLevel="2" x14ac:dyDescent="0.3">
      <c r="A47" s="29"/>
      <c r="B47" s="11" t="str">
        <f>CONCATENATE("          ", "6373", " - ", "MAINTENANCE CONTRACTS")</f>
        <v xml:space="preserve">          6373 - MAINTENANCE CONTRACTS</v>
      </c>
      <c r="C47" s="11"/>
      <c r="D47" s="8"/>
      <c r="E47" s="3"/>
      <c r="F47" s="7">
        <f t="shared" si="30"/>
        <v>0</v>
      </c>
      <c r="G47" s="3"/>
      <c r="H47" s="8">
        <v>150</v>
      </c>
      <c r="I47" s="3"/>
      <c r="J47" s="7">
        <f t="shared" si="31"/>
        <v>0</v>
      </c>
      <c r="K47" s="3"/>
      <c r="L47" s="8">
        <f t="shared" si="32"/>
        <v>-150</v>
      </c>
      <c r="M47" s="3"/>
      <c r="N47" s="7">
        <f t="shared" si="33"/>
        <v>-1</v>
      </c>
      <c r="O47" s="11"/>
      <c r="P47" s="8"/>
      <c r="Q47" s="3"/>
      <c r="R47" s="7">
        <f t="shared" si="34"/>
        <v>0</v>
      </c>
      <c r="S47" s="3"/>
      <c r="T47" s="8">
        <v>150</v>
      </c>
      <c r="U47" s="3"/>
      <c r="V47" s="7">
        <f t="shared" si="35"/>
        <v>0</v>
      </c>
      <c r="W47" s="3"/>
      <c r="X47" s="8">
        <f t="shared" si="36"/>
        <v>-150</v>
      </c>
      <c r="Y47" s="3"/>
      <c r="Z47" s="7">
        <f t="shared" si="37"/>
        <v>-1</v>
      </c>
    </row>
    <row r="48" spans="1:26" s="24" customFormat="1" hidden="1" outlineLevel="2" x14ac:dyDescent="0.3">
      <c r="A48" s="29"/>
      <c r="B48" s="11" t="str">
        <f>CONCATENATE("          ", "6375", " - ", "OUTSIDE REPAIRS &amp; MAINTENANCE")</f>
        <v xml:space="preserve">          6375 - OUTSIDE REPAIRS &amp; MAINTENANCE</v>
      </c>
      <c r="C48" s="11"/>
      <c r="D48" s="8"/>
      <c r="E48" s="3"/>
      <c r="F48" s="7">
        <f t="shared" si="30"/>
        <v>0</v>
      </c>
      <c r="G48" s="3"/>
      <c r="H48" s="8">
        <v>115</v>
      </c>
      <c r="I48" s="3"/>
      <c r="J48" s="7">
        <f t="shared" si="31"/>
        <v>0</v>
      </c>
      <c r="K48" s="3"/>
      <c r="L48" s="8">
        <f t="shared" si="32"/>
        <v>-115</v>
      </c>
      <c r="M48" s="3"/>
      <c r="N48" s="7">
        <f t="shared" si="33"/>
        <v>-1</v>
      </c>
      <c r="O48" s="11"/>
      <c r="P48" s="8"/>
      <c r="Q48" s="3"/>
      <c r="R48" s="7">
        <f t="shared" si="34"/>
        <v>0</v>
      </c>
      <c r="S48" s="3"/>
      <c r="T48" s="8">
        <v>115</v>
      </c>
      <c r="U48" s="3"/>
      <c r="V48" s="7">
        <f t="shared" si="35"/>
        <v>0</v>
      </c>
      <c r="W48" s="3"/>
      <c r="X48" s="8">
        <f t="shared" si="36"/>
        <v>-115</v>
      </c>
      <c r="Y48" s="3"/>
      <c r="Z48" s="7">
        <f t="shared" si="37"/>
        <v>-1</v>
      </c>
    </row>
    <row r="49" spans="1:26" s="27" customFormat="1" outlineLevel="1" collapsed="1" x14ac:dyDescent="0.3">
      <c r="A49" s="28"/>
      <c r="B49" s="14" t="str">
        <f>CONCATENATE("     ","Royalty &amp; Commissions                             ")</f>
        <v xml:space="preserve">     Royalty &amp; Commissions                             </v>
      </c>
      <c r="C49" s="14"/>
      <c r="D49" s="1">
        <f>SUM(OSRRefD22_5x_0)</f>
        <v>0</v>
      </c>
      <c r="E49" s="1"/>
      <c r="F49" s="5">
        <f t="shared" ref="F49:F54" si="38">IF(D$12=0,0,D49/D$12)</f>
        <v>0</v>
      </c>
      <c r="G49" s="1"/>
      <c r="H49" s="1">
        <f>SUM(OSRRefH22_5x_0)</f>
        <v>0</v>
      </c>
      <c r="I49" s="1"/>
      <c r="J49" s="5">
        <f t="shared" ref="J49:J54" si="39">IF(H$12=0,0,H49/H$12)</f>
        <v>0</v>
      </c>
      <c r="K49" s="1"/>
      <c r="L49" s="1">
        <f t="shared" ref="L49:L54" si="40">+D49-H49</f>
        <v>0</v>
      </c>
      <c r="M49" s="1"/>
      <c r="N49" s="5">
        <f t="shared" ref="N49:N54" si="41">IF(H49=0,0,L49/H49)</f>
        <v>0</v>
      </c>
      <c r="O49" s="14"/>
      <c r="P49" s="1">
        <f>SUM(OSRRefP22_5x_0)</f>
        <v>0</v>
      </c>
      <c r="Q49" s="1"/>
      <c r="R49" s="5">
        <f t="shared" ref="R49:R54" si="42">IF(P$12=0,0,P49/P$12)</f>
        <v>0</v>
      </c>
      <c r="S49" s="1"/>
      <c r="T49" s="1">
        <f>SUM(OSRRefT22_5x_0)</f>
        <v>0</v>
      </c>
      <c r="U49" s="1"/>
      <c r="V49" s="5">
        <f t="shared" ref="V49:V54" si="43">IF(T$12=0,0,T49/T$12)</f>
        <v>0</v>
      </c>
      <c r="W49" s="1"/>
      <c r="X49" s="1">
        <f t="shared" ref="X49:X54" si="44">+P49-T49</f>
        <v>0</v>
      </c>
      <c r="Y49" s="1"/>
      <c r="Z49" s="5">
        <f t="shared" ref="Z49:Z54" si="45">IF(T49=0,0,X49/T49)</f>
        <v>0</v>
      </c>
    </row>
    <row r="50" spans="1:26" s="24" customFormat="1" hidden="1" outlineLevel="2" x14ac:dyDescent="0.3">
      <c r="A50" s="29"/>
      <c r="B50" s="11" t="str">
        <f>CONCATENATE("          ", "6259", " - ", "ROYALTY &amp; COMMISSIONS")</f>
        <v xml:space="preserve">          6259 - ROYALTY &amp; COMMISSIONS</v>
      </c>
      <c r="C50" s="11"/>
      <c r="D50" s="8"/>
      <c r="E50" s="3"/>
      <c r="F50" s="7">
        <f t="shared" si="38"/>
        <v>0</v>
      </c>
      <c r="G50" s="3"/>
      <c r="H50" s="8">
        <v>0</v>
      </c>
      <c r="I50" s="3"/>
      <c r="J50" s="7">
        <f t="shared" si="39"/>
        <v>0</v>
      </c>
      <c r="K50" s="3"/>
      <c r="L50" s="8">
        <f t="shared" si="40"/>
        <v>0</v>
      </c>
      <c r="M50" s="3"/>
      <c r="N50" s="7">
        <f t="shared" si="41"/>
        <v>0</v>
      </c>
      <c r="O50" s="11"/>
      <c r="P50" s="8"/>
      <c r="Q50" s="3"/>
      <c r="R50" s="7">
        <f t="shared" si="42"/>
        <v>0</v>
      </c>
      <c r="S50" s="3"/>
      <c r="T50" s="8">
        <v>0</v>
      </c>
      <c r="U50" s="3"/>
      <c r="V50" s="7">
        <f t="shared" si="43"/>
        <v>0</v>
      </c>
      <c r="W50" s="3"/>
      <c r="X50" s="8">
        <f t="shared" si="44"/>
        <v>0</v>
      </c>
      <c r="Y50" s="3"/>
      <c r="Z50" s="7">
        <f t="shared" si="45"/>
        <v>0</v>
      </c>
    </row>
    <row r="51" spans="1:26" s="27" customFormat="1" outlineLevel="1" collapsed="1" x14ac:dyDescent="0.3">
      <c r="A51" s="28"/>
      <c r="B51" s="14" t="str">
        <f>CONCATENATE("     ","Supplies                                          ")</f>
        <v xml:space="preserve">     Supplies                                          </v>
      </c>
      <c r="C51" s="14"/>
      <c r="D51" s="1">
        <f>SUM(OSRRefD22_6x_0)</f>
        <v>4.5</v>
      </c>
      <c r="E51" s="1"/>
      <c r="F51" s="5">
        <f t="shared" si="38"/>
        <v>0</v>
      </c>
      <c r="G51" s="1"/>
      <c r="H51" s="1">
        <f>SUM(OSRRefH22_6x_0)</f>
        <v>0</v>
      </c>
      <c r="I51" s="1"/>
      <c r="J51" s="5">
        <f t="shared" si="39"/>
        <v>0</v>
      </c>
      <c r="K51" s="1"/>
      <c r="L51" s="1">
        <f t="shared" si="40"/>
        <v>4.5</v>
      </c>
      <c r="M51" s="1"/>
      <c r="N51" s="5">
        <f t="shared" si="41"/>
        <v>0</v>
      </c>
      <c r="O51" s="14"/>
      <c r="P51" s="1">
        <f>SUM(OSRRefP22_6x_0)</f>
        <v>4.5</v>
      </c>
      <c r="Q51" s="1"/>
      <c r="R51" s="5">
        <f t="shared" si="42"/>
        <v>0</v>
      </c>
      <c r="S51" s="1"/>
      <c r="T51" s="1">
        <f>SUM(OSRRefT22_6x_0)</f>
        <v>0</v>
      </c>
      <c r="U51" s="1"/>
      <c r="V51" s="5">
        <f t="shared" si="43"/>
        <v>0</v>
      </c>
      <c r="W51" s="1"/>
      <c r="X51" s="1">
        <f t="shared" si="44"/>
        <v>4.5</v>
      </c>
      <c r="Y51" s="1"/>
      <c r="Z51" s="5">
        <f t="shared" si="45"/>
        <v>0</v>
      </c>
    </row>
    <row r="52" spans="1:26" s="24" customFormat="1" hidden="1" outlineLevel="2" x14ac:dyDescent="0.3">
      <c r="A52" s="29"/>
      <c r="B52" s="11" t="str">
        <f>CONCATENATE("          ", "6241", " - ", "OFFICE EXPENSE")</f>
        <v xml:space="preserve">          6241 - OFFICE EXPENSE</v>
      </c>
      <c r="C52" s="11"/>
      <c r="D52" s="8">
        <v>4.5</v>
      </c>
      <c r="E52" s="3"/>
      <c r="F52" s="7">
        <f t="shared" si="38"/>
        <v>0</v>
      </c>
      <c r="G52" s="3"/>
      <c r="H52" s="8"/>
      <c r="I52" s="3"/>
      <c r="J52" s="7">
        <f t="shared" si="39"/>
        <v>0</v>
      </c>
      <c r="K52" s="3"/>
      <c r="L52" s="8">
        <f t="shared" si="40"/>
        <v>4.5</v>
      </c>
      <c r="M52" s="3"/>
      <c r="N52" s="7">
        <f t="shared" si="41"/>
        <v>0</v>
      </c>
      <c r="O52" s="11"/>
      <c r="P52" s="8">
        <v>4.5</v>
      </c>
      <c r="Q52" s="3"/>
      <c r="R52" s="7">
        <f t="shared" si="42"/>
        <v>0</v>
      </c>
      <c r="S52" s="3"/>
      <c r="T52" s="8"/>
      <c r="U52" s="3"/>
      <c r="V52" s="7">
        <f t="shared" si="43"/>
        <v>0</v>
      </c>
      <c r="W52" s="3"/>
      <c r="X52" s="8">
        <f t="shared" si="44"/>
        <v>4.5</v>
      </c>
      <c r="Y52" s="3"/>
      <c r="Z52" s="7">
        <f t="shared" si="45"/>
        <v>0</v>
      </c>
    </row>
    <row r="53" spans="1:26" s="27" customFormat="1" outlineLevel="1" collapsed="1" x14ac:dyDescent="0.3">
      <c r="A53" s="28"/>
      <c r="B53" s="14" t="str">
        <f>CONCATENATE("     ","Telephone/Data Lines                              ")</f>
        <v xml:space="preserve">     Telephone/Data Lines                              </v>
      </c>
      <c r="C53" s="14"/>
      <c r="D53" s="1">
        <f>SUM(OSRRefD22_7x_0)</f>
        <v>29.5</v>
      </c>
      <c r="E53" s="1"/>
      <c r="F53" s="5">
        <f t="shared" si="38"/>
        <v>0</v>
      </c>
      <c r="G53" s="1"/>
      <c r="H53" s="1">
        <f>SUM(OSRRefH22_7x_0)</f>
        <v>53</v>
      </c>
      <c r="I53" s="1"/>
      <c r="J53" s="5">
        <f t="shared" si="39"/>
        <v>0</v>
      </c>
      <c r="K53" s="1"/>
      <c r="L53" s="1">
        <f t="shared" si="40"/>
        <v>-23.5</v>
      </c>
      <c r="M53" s="1"/>
      <c r="N53" s="5">
        <f t="shared" si="41"/>
        <v>-0.44339622641509435</v>
      </c>
      <c r="O53" s="14"/>
      <c r="P53" s="1">
        <f>SUM(OSRRefP22_7x_0)</f>
        <v>29.5</v>
      </c>
      <c r="Q53" s="1"/>
      <c r="R53" s="5">
        <f t="shared" si="42"/>
        <v>0</v>
      </c>
      <c r="S53" s="1"/>
      <c r="T53" s="1">
        <f>SUM(OSRRefT22_7x_0)</f>
        <v>53</v>
      </c>
      <c r="U53" s="1"/>
      <c r="V53" s="5">
        <f t="shared" si="43"/>
        <v>0</v>
      </c>
      <c r="W53" s="1"/>
      <c r="X53" s="1">
        <f t="shared" si="44"/>
        <v>-23.5</v>
      </c>
      <c r="Y53" s="1"/>
      <c r="Z53" s="5">
        <f t="shared" si="45"/>
        <v>-0.44339622641509435</v>
      </c>
    </row>
    <row r="54" spans="1:26" s="24" customFormat="1" hidden="1" outlineLevel="2" x14ac:dyDescent="0.3">
      <c r="A54" s="29"/>
      <c r="B54" s="11" t="str">
        <f>CONCATENATE("          ", "6309", " - ", "TELEPHONE")</f>
        <v xml:space="preserve">          6309 - TELEPHONE</v>
      </c>
      <c r="C54" s="11"/>
      <c r="D54" s="8">
        <v>29.5</v>
      </c>
      <c r="E54" s="3"/>
      <c r="F54" s="7">
        <f t="shared" si="38"/>
        <v>0</v>
      </c>
      <c r="G54" s="3"/>
      <c r="H54" s="8">
        <v>53</v>
      </c>
      <c r="I54" s="3"/>
      <c r="J54" s="7">
        <f t="shared" si="39"/>
        <v>0</v>
      </c>
      <c r="K54" s="3"/>
      <c r="L54" s="8">
        <f t="shared" si="40"/>
        <v>-23.5</v>
      </c>
      <c r="M54" s="3"/>
      <c r="N54" s="7">
        <f t="shared" si="41"/>
        <v>-0.44339622641509435</v>
      </c>
      <c r="O54" s="11"/>
      <c r="P54" s="8">
        <v>29.5</v>
      </c>
      <c r="Q54" s="3"/>
      <c r="R54" s="7">
        <f t="shared" si="42"/>
        <v>0</v>
      </c>
      <c r="S54" s="3"/>
      <c r="T54" s="8">
        <v>53</v>
      </c>
      <c r="U54" s="3"/>
      <c r="V54" s="7">
        <f t="shared" si="43"/>
        <v>0</v>
      </c>
      <c r="W54" s="3"/>
      <c r="X54" s="8">
        <f t="shared" si="44"/>
        <v>-23.5</v>
      </c>
      <c r="Y54" s="3"/>
      <c r="Z54" s="7">
        <f t="shared" si="45"/>
        <v>-0.44339622641509435</v>
      </c>
    </row>
    <row r="55" spans="1:26" s="62" customFormat="1" x14ac:dyDescent="0.3">
      <c r="A55" s="36"/>
      <c r="B55" s="36"/>
      <c r="C55" s="36"/>
      <c r="D55" s="1"/>
      <c r="E55" s="1"/>
      <c r="F55" s="5"/>
      <c r="G55" s="1"/>
      <c r="H55" s="1"/>
      <c r="I55" s="1"/>
      <c r="J55" s="5"/>
      <c r="K55" s="1"/>
      <c r="L55" s="1"/>
      <c r="M55" s="1"/>
      <c r="N55" s="5"/>
      <c r="O55" s="36"/>
      <c r="P55" s="1"/>
      <c r="Q55" s="1"/>
      <c r="R55" s="5"/>
      <c r="S55" s="1"/>
      <c r="T55" s="1"/>
      <c r="U55" s="1"/>
      <c r="V55" s="5"/>
      <c r="W55" s="1"/>
      <c r="X55" s="1"/>
      <c r="Y55" s="1"/>
      <c r="Z55" s="5"/>
    </row>
    <row r="56" spans="1:26" s="23" customFormat="1" x14ac:dyDescent="0.3">
      <c r="A56" s="10"/>
      <c r="B56" s="25" t="s">
        <v>293</v>
      </c>
      <c r="C56" s="10"/>
      <c r="D56" s="4">
        <f>SUM(0)</f>
        <v>0</v>
      </c>
      <c r="E56" s="4"/>
      <c r="F56" s="12">
        <f>IF(D$12=0,0,D56/D$12)</f>
        <v>0</v>
      </c>
      <c r="G56" s="4"/>
      <c r="H56" s="4">
        <f>SUM(0)</f>
        <v>0</v>
      </c>
      <c r="I56" s="4"/>
      <c r="J56" s="12">
        <f>IF(H$12=0,0,H56/H$12)</f>
        <v>0</v>
      </c>
      <c r="K56" s="4"/>
      <c r="L56" s="4">
        <f>+D56-H56</f>
        <v>0</v>
      </c>
      <c r="M56" s="4"/>
      <c r="N56" s="12">
        <f>IF(H56=0,0,L56/H56)</f>
        <v>0</v>
      </c>
      <c r="O56" s="10"/>
      <c r="P56" s="4">
        <f>SUM(0)</f>
        <v>0</v>
      </c>
      <c r="Q56" s="4"/>
      <c r="R56" s="12">
        <f>IF(P$12=0,0,P56/P$12)</f>
        <v>0</v>
      </c>
      <c r="S56" s="4"/>
      <c r="T56" s="4">
        <f>SUM(0)</f>
        <v>0</v>
      </c>
      <c r="U56" s="4"/>
      <c r="V56" s="12">
        <f>IF(T$12=0,0,T56/T$12)</f>
        <v>0</v>
      </c>
      <c r="W56" s="4"/>
      <c r="X56" s="4">
        <f>+P56-T56</f>
        <v>0</v>
      </c>
      <c r="Y56" s="4"/>
      <c r="Z56" s="12">
        <f>IF(T56=0,0,X56/T56)</f>
        <v>0</v>
      </c>
    </row>
    <row r="57" spans="1:26" x14ac:dyDescent="0.3">
      <c r="A57" s="9"/>
      <c r="B57" s="10"/>
      <c r="C57" s="10"/>
      <c r="D57" s="2"/>
      <c r="E57" s="2"/>
      <c r="F57" s="6"/>
      <c r="G57" s="2"/>
      <c r="H57" s="2"/>
      <c r="I57" s="2"/>
      <c r="J57" s="6"/>
      <c r="K57" s="2"/>
      <c r="L57" s="2"/>
      <c r="M57" s="2"/>
      <c r="N57" s="6"/>
      <c r="O57" s="10"/>
      <c r="P57" s="2"/>
      <c r="Q57" s="2"/>
      <c r="R57" s="6"/>
      <c r="S57" s="2"/>
      <c r="T57" s="2"/>
      <c r="U57" s="2"/>
      <c r="V57" s="6"/>
      <c r="W57" s="2"/>
      <c r="X57" s="2"/>
      <c r="Y57" s="2"/>
      <c r="Z57" s="6"/>
    </row>
    <row r="58" spans="1:26" s="23" customFormat="1" x14ac:dyDescent="0.3">
      <c r="A58" s="10"/>
      <c r="B58" s="26" t="s">
        <v>277</v>
      </c>
      <c r="C58" s="26"/>
      <c r="D58" s="21">
        <f>+D19-D21+D56</f>
        <v>-1184.5100000000002</v>
      </c>
      <c r="E58" s="13"/>
      <c r="F58" s="22">
        <f>IF(D$12=0,0,D58/D$12)</f>
        <v>0</v>
      </c>
      <c r="G58" s="13"/>
      <c r="H58" s="21">
        <f>+H19-H21+H56</f>
        <v>-1393</v>
      </c>
      <c r="I58" s="13"/>
      <c r="J58" s="22">
        <f>IF(H$12=0,0,H58/H$12)</f>
        <v>0</v>
      </c>
      <c r="K58" s="16"/>
      <c r="L58" s="21">
        <f>+D58-H58</f>
        <v>208.48999999999978</v>
      </c>
      <c r="M58" s="16"/>
      <c r="N58" s="22">
        <f>IF(H58=0,0,L58/H58)</f>
        <v>-0.14966977745872204</v>
      </c>
      <c r="O58" s="25"/>
      <c r="P58" s="21">
        <f>+P19-P21+P56</f>
        <v>-1184.5100000000002</v>
      </c>
      <c r="Q58" s="13"/>
      <c r="R58" s="22">
        <f>IF(P$12=0,0,P58/P$12)</f>
        <v>0</v>
      </c>
      <c r="S58" s="13"/>
      <c r="T58" s="21">
        <f>+T19-T21+T56</f>
        <v>-1393</v>
      </c>
      <c r="U58" s="13"/>
      <c r="V58" s="22">
        <f>IF(T$12=0,0,T58/T$12)</f>
        <v>0</v>
      </c>
      <c r="W58" s="16"/>
      <c r="X58" s="21">
        <f>+P58-T58</f>
        <v>208.48999999999978</v>
      </c>
      <c r="Y58" s="16"/>
      <c r="Z58" s="22">
        <f>IF(T58=0,0,X58/T58)</f>
        <v>-0.14966977745872204</v>
      </c>
    </row>
    <row r="59" spans="1:26" x14ac:dyDescent="0.3">
      <c r="A59" s="9"/>
      <c r="B59" s="10"/>
      <c r="C59" s="9"/>
      <c r="D59" s="2"/>
      <c r="E59" s="2"/>
      <c r="F59" s="6"/>
      <c r="G59" s="2"/>
      <c r="H59" s="2"/>
      <c r="I59" s="2"/>
      <c r="J59" s="6"/>
      <c r="K59" s="2"/>
      <c r="L59" s="2"/>
      <c r="M59" s="2"/>
      <c r="N59" s="6"/>
      <c r="P59" s="2"/>
      <c r="Q59" s="2"/>
      <c r="R59" s="6"/>
      <c r="S59" s="2"/>
      <c r="T59" s="2"/>
      <c r="U59" s="2"/>
      <c r="V59" s="6"/>
      <c r="W59" s="2"/>
      <c r="X59" s="2"/>
      <c r="Y59" s="2"/>
      <c r="Z59" s="6"/>
    </row>
    <row r="60" spans="1:26" s="23" customFormat="1" x14ac:dyDescent="0.3">
      <c r="A60" s="52"/>
      <c r="B60" s="10" t="s">
        <v>128</v>
      </c>
      <c r="C60" s="10"/>
      <c r="D60" s="4"/>
      <c r="E60" s="4"/>
      <c r="F60" s="12">
        <f>IF(D$12=0,0,D60/D$12)</f>
        <v>0</v>
      </c>
      <c r="G60" s="4"/>
      <c r="H60" s="4">
        <v>0</v>
      </c>
      <c r="I60" s="4"/>
      <c r="J60" s="12">
        <f>IF(H$12=0,0,H60/H$12)</f>
        <v>0</v>
      </c>
      <c r="K60" s="4"/>
      <c r="L60" s="4">
        <f>+D60-H60</f>
        <v>0</v>
      </c>
      <c r="M60" s="4"/>
      <c r="N60" s="12">
        <f>IF(H60=0,0,L60/H60)</f>
        <v>0</v>
      </c>
      <c r="O60" s="10"/>
      <c r="P60" s="4"/>
      <c r="Q60" s="4"/>
      <c r="R60" s="12">
        <f>IF(P$12=0,0,P60/P$12)</f>
        <v>0</v>
      </c>
      <c r="S60" s="4"/>
      <c r="T60" s="4">
        <v>0</v>
      </c>
      <c r="U60" s="4"/>
      <c r="V60" s="12">
        <f>IF(T$12=0,0,T60/T$12)</f>
        <v>0</v>
      </c>
      <c r="W60" s="4"/>
      <c r="X60" s="4">
        <f>+P60-T60</f>
        <v>0</v>
      </c>
      <c r="Y60" s="4"/>
      <c r="Z60" s="12">
        <f>IF(T60=0,0,X60/T60)</f>
        <v>0</v>
      </c>
    </row>
    <row r="61" spans="1:26" x14ac:dyDescent="0.3">
      <c r="A61" s="9"/>
      <c r="B61" s="10"/>
      <c r="C61" s="10"/>
      <c r="D61" s="2"/>
      <c r="E61" s="2"/>
      <c r="F61" s="6"/>
      <c r="G61" s="2"/>
      <c r="H61" s="2"/>
      <c r="I61" s="2"/>
      <c r="J61" s="6"/>
      <c r="K61" s="2"/>
      <c r="L61" s="2"/>
      <c r="M61" s="2"/>
      <c r="N61" s="6"/>
      <c r="O61" s="10"/>
      <c r="P61" s="2"/>
      <c r="Q61" s="2"/>
      <c r="R61" s="6"/>
      <c r="S61" s="2"/>
      <c r="T61" s="2"/>
      <c r="U61" s="2"/>
      <c r="V61" s="6"/>
      <c r="W61" s="2"/>
      <c r="X61" s="2"/>
      <c r="Y61" s="2"/>
      <c r="Z61" s="6"/>
    </row>
    <row r="62" spans="1:26" s="23" customFormat="1" ht="15" thickBot="1" x14ac:dyDescent="0.35">
      <c r="A62" s="10"/>
      <c r="B62" s="26" t="s">
        <v>126</v>
      </c>
      <c r="C62" s="26"/>
      <c r="D62" s="35">
        <f>+D58-D60</f>
        <v>-1184.5100000000002</v>
      </c>
      <c r="E62" s="13"/>
      <c r="F62" s="30">
        <f>IF(D$12=0,0,D62/D$12)</f>
        <v>0</v>
      </c>
      <c r="G62" s="13"/>
      <c r="H62" s="35">
        <f>+H58-H60</f>
        <v>-1393</v>
      </c>
      <c r="I62" s="13"/>
      <c r="J62" s="30">
        <f>IF(H$12=0,0,H62/H$12)</f>
        <v>0</v>
      </c>
      <c r="K62" s="16"/>
      <c r="L62" s="35">
        <f>D62-H62</f>
        <v>208.48999999999978</v>
      </c>
      <c r="M62" s="16"/>
      <c r="N62" s="30">
        <f>IF(H62=0,0,L62/H62)</f>
        <v>-0.14966977745872204</v>
      </c>
      <c r="O62" s="25"/>
      <c r="P62" s="35">
        <f>+P58-P60</f>
        <v>-1184.5100000000002</v>
      </c>
      <c r="Q62" s="13"/>
      <c r="R62" s="30">
        <f>IF(P$12=0,0,P62/P$12)</f>
        <v>0</v>
      </c>
      <c r="S62" s="13"/>
      <c r="T62" s="35">
        <f>+T58-T60</f>
        <v>-1393</v>
      </c>
      <c r="U62" s="13"/>
      <c r="V62" s="30">
        <f>IF(T$12=0,0,T62/T$12)</f>
        <v>0</v>
      </c>
      <c r="W62" s="16"/>
      <c r="X62" s="35">
        <f>P62-T62</f>
        <v>208.48999999999978</v>
      </c>
      <c r="Y62" s="16"/>
      <c r="Z62" s="30">
        <f>IF(T62=0,0,X62/T62)</f>
        <v>-0.14966977745872204</v>
      </c>
    </row>
    <row r="63" spans="1:26" ht="15" thickTop="1" x14ac:dyDescent="0.3">
      <c r="A63" s="9"/>
      <c r="B63" s="9"/>
      <c r="C63" s="9"/>
      <c r="D63" s="2"/>
      <c r="E63" s="2"/>
      <c r="F63" s="6"/>
      <c r="G63" s="2"/>
      <c r="H63" s="2"/>
      <c r="I63" s="2"/>
      <c r="J63" s="6"/>
      <c r="K63" s="2"/>
      <c r="L63" s="2"/>
      <c r="M63" s="2"/>
      <c r="N63" s="6"/>
      <c r="P63" s="2"/>
      <c r="Q63" s="2"/>
      <c r="R63" s="6"/>
      <c r="S63" s="2"/>
      <c r="T63" s="2"/>
      <c r="U63" s="2"/>
      <c r="V63" s="6"/>
      <c r="W63" s="2"/>
      <c r="X63" s="2"/>
      <c r="Y63" s="2"/>
      <c r="Z63" s="6"/>
    </row>
    <row r="64" spans="1:26" x14ac:dyDescent="0.3">
      <c r="A64" s="9"/>
      <c r="B64" s="9"/>
      <c r="C64" s="9"/>
      <c r="D64" s="2"/>
      <c r="E64" s="2"/>
      <c r="F64" s="6"/>
      <c r="G64" s="2"/>
      <c r="H64" s="2"/>
      <c r="I64" s="2"/>
      <c r="J64" s="6"/>
      <c r="K64" s="2"/>
      <c r="L64" s="2"/>
      <c r="M64" s="2"/>
      <c r="N64" s="6"/>
      <c r="P64" s="2"/>
      <c r="Q64" s="2"/>
      <c r="R64" s="6"/>
      <c r="S64" s="2"/>
      <c r="T64" s="2"/>
      <c r="U64" s="2"/>
      <c r="V64" s="6"/>
      <c r="W64" s="2"/>
      <c r="X64" s="2"/>
      <c r="Y64" s="2"/>
      <c r="Z64" s="6"/>
    </row>
    <row r="65" spans="1:26" s="23" customFormat="1" ht="15" thickBot="1" x14ac:dyDescent="0.35">
      <c r="A65" s="10"/>
      <c r="B65" s="26" t="s">
        <v>294</v>
      </c>
      <c r="C65" s="26"/>
      <c r="D65" s="33">
        <f>SUM(D62:D64)</f>
        <v>-1184.5100000000002</v>
      </c>
      <c r="E65" s="13"/>
      <c r="F65" s="31">
        <f>IF(D$12=0,0,D65/D$12)</f>
        <v>0</v>
      </c>
      <c r="G65" s="13"/>
      <c r="H65" s="33">
        <f>SUM(H62:H64)</f>
        <v>-1393</v>
      </c>
      <c r="I65" s="13"/>
      <c r="J65" s="31">
        <f>IF(H$12=0,0,H65/H$12)</f>
        <v>0</v>
      </c>
      <c r="K65" s="16"/>
      <c r="L65" s="33">
        <f>+D65-H65</f>
        <v>208.48999999999978</v>
      </c>
      <c r="M65" s="16"/>
      <c r="N65" s="31">
        <f>IF(H65=0,0,L65/H65)</f>
        <v>-0.14966977745872204</v>
      </c>
      <c r="O65" s="25"/>
      <c r="P65" s="33">
        <f>SUM(P62:P64)</f>
        <v>-1184.5100000000002</v>
      </c>
      <c r="Q65" s="13"/>
      <c r="R65" s="31">
        <f>IF(P$12=0,0,P65/P$12)</f>
        <v>0</v>
      </c>
      <c r="S65" s="13"/>
      <c r="T65" s="33">
        <f>SUM(T62:T64)</f>
        <v>-1393</v>
      </c>
      <c r="U65" s="13"/>
      <c r="V65" s="31">
        <f>IF(T$12=0,0,T65/T$12)</f>
        <v>0</v>
      </c>
      <c r="W65" s="16"/>
      <c r="X65" s="33">
        <f>+P65-T65</f>
        <v>208.48999999999978</v>
      </c>
      <c r="Y65" s="16"/>
      <c r="Z65" s="31">
        <f>IF(T65=0,0,X65/T65)</f>
        <v>-0.14966977745872204</v>
      </c>
    </row>
    <row r="66" spans="1:26" ht="15" thickTop="1" x14ac:dyDescent="0.3">
      <c r="A66" s="9"/>
      <c r="C66" s="9"/>
      <c r="D66" s="18"/>
      <c r="E66" s="18"/>
      <c r="G66" s="18"/>
      <c r="H66" s="18"/>
      <c r="I66" s="18"/>
      <c r="J66" s="43"/>
      <c r="K66" s="18"/>
      <c r="L66" s="18"/>
      <c r="M66" s="18"/>
      <c r="P66" s="18"/>
      <c r="Q66" s="18"/>
      <c r="R66" s="43"/>
      <c r="S66" s="18"/>
      <c r="T66" s="18"/>
      <c r="U66" s="18"/>
      <c r="V66" s="43"/>
      <c r="W66" s="18"/>
      <c r="X66" s="18"/>
    </row>
    <row r="67" spans="1:26" x14ac:dyDescent="0.3">
      <c r="A67" s="9"/>
      <c r="B67" s="54">
        <v>44462.64548684028</v>
      </c>
      <c r="D67" s="18"/>
      <c r="E67" s="18"/>
      <c r="G67" s="18"/>
      <c r="H67" s="18"/>
      <c r="I67" s="18"/>
      <c r="J67" s="43"/>
      <c r="K67" s="18"/>
      <c r="L67" s="18"/>
      <c r="M67" s="18"/>
      <c r="P67" s="18"/>
      <c r="Q67" s="18"/>
      <c r="R67" s="43"/>
      <c r="S67" s="18"/>
      <c r="T67" s="18"/>
      <c r="U67" s="18"/>
      <c r="V67" s="43"/>
      <c r="W67" s="18"/>
      <c r="X67" s="18"/>
    </row>
    <row r="68" spans="1:26" x14ac:dyDescent="0.3">
      <c r="A68" s="9"/>
      <c r="B68" s="59" t="s">
        <v>56</v>
      </c>
      <c r="D68" s="18"/>
      <c r="E68" s="18"/>
      <c r="G68" s="18"/>
      <c r="H68" s="18"/>
      <c r="I68" s="18"/>
      <c r="J68" s="43"/>
      <c r="K68" s="18"/>
      <c r="L68" s="18"/>
      <c r="M68" s="18"/>
      <c r="P68" s="18"/>
      <c r="Q68" s="18"/>
      <c r="R68" s="43"/>
      <c r="S68" s="18"/>
      <c r="T68" s="18"/>
      <c r="U68" s="18"/>
      <c r="V68" s="43"/>
      <c r="W68" s="18"/>
      <c r="X68" s="18"/>
    </row>
    <row r="69" spans="1:26" x14ac:dyDescent="0.3">
      <c r="A69" s="9"/>
      <c r="B69" s="55"/>
      <c r="D69" s="18"/>
      <c r="E69" s="18"/>
      <c r="G69" s="18"/>
      <c r="H69" s="18"/>
      <c r="I69" s="18"/>
      <c r="J69" s="43"/>
      <c r="K69" s="18"/>
      <c r="L69" s="18"/>
      <c r="M69" s="18"/>
      <c r="P69" s="18"/>
      <c r="Q69" s="18"/>
      <c r="R69" s="43"/>
      <c r="S69" s="18"/>
      <c r="T69" s="18"/>
      <c r="U69" s="18"/>
      <c r="V69" s="43"/>
      <c r="W69" s="18"/>
      <c r="X69" s="18"/>
    </row>
    <row r="70" spans="1:26" x14ac:dyDescent="0.3">
      <c r="D70" s="18"/>
      <c r="E70" s="18"/>
      <c r="G70" s="18"/>
      <c r="H70" s="18"/>
      <c r="I70" s="18"/>
      <c r="J70" s="43"/>
      <c r="K70" s="18"/>
      <c r="L70" s="18"/>
      <c r="M70" s="18"/>
      <c r="P70" s="18"/>
      <c r="Q70" s="18"/>
      <c r="R70" s="43"/>
      <c r="S70" s="18"/>
      <c r="T70" s="18"/>
      <c r="U70" s="18"/>
      <c r="V70" s="43"/>
      <c r="W70" s="18"/>
      <c r="X70" s="18"/>
    </row>
  </sheetData>
  <pageMargins left="0.25" right="0.25" top="0.75" bottom="0.75" header="0.3" footer="0.3"/>
  <pageSetup scale="55" fitToWidth="2" orientation="landscape"/>
  <drawing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>
    <tabColor rgb="FF92D050"/>
    <outlinePr summaryBelow="0" summaryRight="0"/>
  </sheetPr>
  <dimension ref="A2:Z83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50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7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50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7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7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7" customWidth="1" outlineLevel="1"/>
  </cols>
  <sheetData>
    <row r="2" spans="1:26" x14ac:dyDescent="0.3">
      <c r="D2" s="57" t="s">
        <v>23</v>
      </c>
    </row>
    <row r="3" spans="1:26" x14ac:dyDescent="0.3">
      <c r="D3" s="57" t="s">
        <v>237</v>
      </c>
      <c r="E3" s="17"/>
      <c r="F3" s="51"/>
      <c r="G3" s="17"/>
      <c r="H3" s="17"/>
      <c r="I3" s="17"/>
      <c r="J3" s="39"/>
      <c r="K3" s="17"/>
      <c r="L3" s="17"/>
      <c r="M3" s="17"/>
      <c r="N3" s="51"/>
      <c r="O3" s="61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3">
      <c r="D4" s="57" t="str">
        <f>CONCATENATE("Period ",RIGHT(202201,2),", ",2022)</f>
        <v>Period 01, 2022</v>
      </c>
      <c r="E4" s="17"/>
      <c r="F4" s="51"/>
      <c r="G4" s="17"/>
      <c r="H4" s="17"/>
      <c r="I4" s="17"/>
      <c r="J4" s="39"/>
      <c r="K4" s="17"/>
      <c r="L4" s="17"/>
      <c r="M4" s="17"/>
      <c r="N4" s="51"/>
      <c r="O4" s="61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3">
      <c r="A5" s="23"/>
      <c r="D5" s="64">
        <v>44408</v>
      </c>
      <c r="E5" s="17"/>
      <c r="F5" s="51"/>
      <c r="G5" s="17"/>
      <c r="H5" s="17"/>
      <c r="I5" s="17"/>
      <c r="J5" s="39"/>
      <c r="K5" s="17"/>
      <c r="L5" s="17"/>
      <c r="M5" s="17"/>
      <c r="N5" s="51"/>
      <c r="O5" s="61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3">
      <c r="A6" s="23"/>
      <c r="B6" s="47"/>
      <c r="C6" s="47"/>
      <c r="D6" s="23" t="str">
        <f>CONCATENATE("Department ","325", " - ", "Outpost C-Store")</f>
        <v>Department 325 - Outpost C-Store</v>
      </c>
      <c r="E6" s="17"/>
      <c r="F6" s="51"/>
      <c r="G6" s="17"/>
      <c r="H6" s="17"/>
      <c r="I6" s="17"/>
      <c r="J6" s="39"/>
      <c r="K6" s="17"/>
      <c r="L6" s="17"/>
      <c r="M6" s="17"/>
      <c r="N6" s="51"/>
      <c r="O6" s="60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3">
      <c r="B7" s="63"/>
    </row>
    <row r="8" spans="1:26" x14ac:dyDescent="0.3">
      <c r="B8" s="63"/>
    </row>
    <row r="9" spans="1:26" x14ac:dyDescent="0.3">
      <c r="B9" s="9"/>
      <c r="C9" s="9"/>
      <c r="D9" s="15" t="s">
        <v>292</v>
      </c>
      <c r="E9" s="15"/>
      <c r="F9" s="38"/>
      <c r="G9" s="15"/>
      <c r="H9" s="15"/>
      <c r="I9" s="15"/>
      <c r="J9" s="49"/>
      <c r="K9" s="15"/>
      <c r="L9" s="15"/>
      <c r="M9" s="15"/>
      <c r="N9" s="38"/>
      <c r="P9" s="15" t="s">
        <v>39</v>
      </c>
      <c r="Q9" s="15"/>
      <c r="R9" s="38"/>
      <c r="S9" s="15"/>
      <c r="T9" s="15"/>
      <c r="U9" s="15"/>
      <c r="V9" s="49"/>
      <c r="W9" s="15"/>
      <c r="X9" s="15"/>
      <c r="Y9" s="15"/>
      <c r="Z9" s="38"/>
    </row>
    <row r="10" spans="1:26" x14ac:dyDescent="0.3">
      <c r="A10" s="10"/>
      <c r="B10" s="53"/>
      <c r="C10" s="10"/>
      <c r="D10" s="42" t="s">
        <v>57</v>
      </c>
      <c r="E10" s="34"/>
      <c r="F10" s="40" t="s">
        <v>40</v>
      </c>
      <c r="G10" s="34"/>
      <c r="H10" s="45" t="s">
        <v>238</v>
      </c>
      <c r="I10" s="34"/>
      <c r="J10" s="48" t="s">
        <v>58</v>
      </c>
      <c r="K10" s="10"/>
      <c r="L10" s="42" t="s">
        <v>127</v>
      </c>
      <c r="M10" s="10"/>
      <c r="N10" s="40" t="s">
        <v>258</v>
      </c>
      <c r="O10" s="10"/>
      <c r="P10" s="56" t="s">
        <v>57</v>
      </c>
      <c r="Q10" s="34"/>
      <c r="R10" s="40" t="s">
        <v>40</v>
      </c>
      <c r="S10" s="34"/>
      <c r="T10" s="45" t="s">
        <v>238</v>
      </c>
      <c r="U10" s="34"/>
      <c r="V10" s="48" t="s">
        <v>58</v>
      </c>
      <c r="W10" s="10"/>
      <c r="X10" s="42" t="s">
        <v>127</v>
      </c>
      <c r="Y10" s="10"/>
      <c r="Z10" s="40" t="s">
        <v>258</v>
      </c>
    </row>
    <row r="11" spans="1:26" ht="15.6" x14ac:dyDescent="0.3">
      <c r="A11" s="9"/>
      <c r="B11" s="58"/>
      <c r="C11" s="9"/>
      <c r="D11" s="9"/>
      <c r="E11" s="9"/>
      <c r="F11" s="6"/>
      <c r="G11" s="9"/>
      <c r="H11" s="9"/>
      <c r="I11" s="9"/>
      <c r="J11" s="46"/>
      <c r="K11" s="9"/>
      <c r="L11" s="9"/>
      <c r="M11" s="9"/>
      <c r="N11" s="6"/>
      <c r="P11" s="9"/>
      <c r="Q11" s="9"/>
      <c r="R11" s="6"/>
      <c r="S11" s="9"/>
      <c r="T11" s="9"/>
      <c r="U11" s="9"/>
      <c r="V11" s="46"/>
      <c r="W11" s="9"/>
      <c r="X11" s="9"/>
      <c r="Y11" s="9"/>
      <c r="Z11" s="6"/>
    </row>
    <row r="12" spans="1:26" s="23" customFormat="1" collapsed="1" x14ac:dyDescent="0.3">
      <c r="A12" s="10"/>
      <c r="B12" s="25" t="s">
        <v>140</v>
      </c>
      <c r="C12" s="10"/>
      <c r="D12" s="4">
        <f>SUM(OSRRefD13x_0)</f>
        <v>0</v>
      </c>
      <c r="E12" s="4"/>
      <c r="F12" s="12"/>
      <c r="G12" s="4"/>
      <c r="H12" s="4">
        <f>SUM(OSRRefH13x_0)</f>
        <v>0</v>
      </c>
      <c r="I12" s="4"/>
      <c r="J12" s="12"/>
      <c r="K12" s="4"/>
      <c r="L12" s="4">
        <f t="shared" ref="L12:L13" si="0">+D12-H12</f>
        <v>0</v>
      </c>
      <c r="M12" s="4"/>
      <c r="N12" s="12">
        <f t="shared" ref="N12:N13" si="1">IF(H12=0,0,L12/H12)</f>
        <v>0</v>
      </c>
      <c r="O12" s="10"/>
      <c r="P12" s="4">
        <f>SUM(OSRRefP13x_0)</f>
        <v>0</v>
      </c>
      <c r="Q12" s="4"/>
      <c r="R12" s="12"/>
      <c r="S12" s="4"/>
      <c r="T12" s="4">
        <f>SUM(OSRRefT13x_0)</f>
        <v>0</v>
      </c>
      <c r="U12" s="4"/>
      <c r="V12" s="12"/>
      <c r="W12" s="4"/>
      <c r="X12" s="4">
        <f t="shared" ref="X12:X13" si="2">+P12-T12</f>
        <v>0</v>
      </c>
      <c r="Y12" s="4"/>
      <c r="Z12" s="12">
        <f t="shared" ref="Z12:Z13" si="3">IF(T12=0,0,X12/T12)</f>
        <v>0</v>
      </c>
    </row>
    <row r="13" spans="1:26" s="24" customFormat="1" hidden="1" outlineLevel="1" x14ac:dyDescent="0.3">
      <c r="A13" s="44"/>
      <c r="B13" s="11" t="str">
        <f>CONCATENATE("          ", "4000", " - ", "TAXABLE SALES")</f>
        <v xml:space="preserve">          4000 - TAXABLE SALES</v>
      </c>
      <c r="C13" s="11"/>
      <c r="D13" s="3">
        <f>0</f>
        <v>0</v>
      </c>
      <c r="E13" s="3"/>
      <c r="F13" s="19"/>
      <c r="G13" s="3"/>
      <c r="H13" s="3">
        <v>0</v>
      </c>
      <c r="I13" s="3"/>
      <c r="J13" s="19"/>
      <c r="K13" s="3"/>
      <c r="L13" s="3">
        <f t="shared" si="0"/>
        <v>0</v>
      </c>
      <c r="M13" s="3"/>
      <c r="N13" s="19">
        <f t="shared" si="1"/>
        <v>0</v>
      </c>
      <c r="O13" s="11"/>
      <c r="P13" s="3">
        <f>0</f>
        <v>0</v>
      </c>
      <c r="Q13" s="3"/>
      <c r="R13" s="19"/>
      <c r="S13" s="3"/>
      <c r="T13" s="3">
        <v>0</v>
      </c>
      <c r="U13" s="3"/>
      <c r="V13" s="19"/>
      <c r="W13" s="3"/>
      <c r="X13" s="3">
        <f t="shared" si="2"/>
        <v>0</v>
      </c>
      <c r="Y13" s="3"/>
      <c r="Z13" s="19">
        <f t="shared" si="3"/>
        <v>0</v>
      </c>
    </row>
    <row r="14" spans="1:26" x14ac:dyDescent="0.3">
      <c r="A14" s="9"/>
      <c r="B14" s="10"/>
      <c r="C14" s="9"/>
      <c r="D14" s="2"/>
      <c r="E14" s="2"/>
      <c r="F14" s="6"/>
      <c r="G14" s="2"/>
      <c r="H14" s="2"/>
      <c r="I14" s="2"/>
      <c r="J14" s="6"/>
      <c r="K14" s="2"/>
      <c r="L14" s="2"/>
      <c r="M14" s="2"/>
      <c r="N14" s="6"/>
      <c r="P14" s="2"/>
      <c r="Q14" s="2"/>
      <c r="R14" s="6"/>
      <c r="S14" s="2"/>
      <c r="T14" s="2"/>
      <c r="U14" s="2"/>
      <c r="V14" s="6"/>
      <c r="W14" s="2"/>
      <c r="X14" s="2"/>
      <c r="Y14" s="2"/>
      <c r="Z14" s="6"/>
    </row>
    <row r="15" spans="1:26" s="23" customFormat="1" collapsed="1" x14ac:dyDescent="0.3">
      <c r="A15" s="10"/>
      <c r="B15" s="25" t="s">
        <v>257</v>
      </c>
      <c r="C15" s="10"/>
      <c r="D15" s="4">
        <f>SUM(OSRRefD16x_0)</f>
        <v>0</v>
      </c>
      <c r="E15" s="4"/>
      <c r="F15" s="12">
        <f t="shared" ref="F15:F16" si="4">IF(D$12=0,0,D15/D$12)</f>
        <v>0</v>
      </c>
      <c r="G15" s="4"/>
      <c r="H15" s="4">
        <f>SUM(OSRRefH16x_0)</f>
        <v>0</v>
      </c>
      <c r="I15" s="4"/>
      <c r="J15" s="12">
        <f t="shared" ref="J15:J16" si="5">IF(H$12=0,0,H15/H$12)</f>
        <v>0</v>
      </c>
      <c r="K15" s="4"/>
      <c r="L15" s="4">
        <f t="shared" ref="L15:L16" si="6">+D15-H15</f>
        <v>0</v>
      </c>
      <c r="M15" s="4"/>
      <c r="N15" s="12">
        <f t="shared" ref="N15:N16" si="7">IF(H15=0,0,L15/H15)</f>
        <v>0</v>
      </c>
      <c r="O15" s="10"/>
      <c r="P15" s="4">
        <f>SUM(OSRRefP16x_0)</f>
        <v>0</v>
      </c>
      <c r="Q15" s="4"/>
      <c r="R15" s="12">
        <f t="shared" ref="R15:R16" si="8">IF(P$12=0,0,P15/P$12)</f>
        <v>0</v>
      </c>
      <c r="S15" s="4"/>
      <c r="T15" s="4">
        <f>SUM(OSRRefT16x_0)</f>
        <v>0</v>
      </c>
      <c r="U15" s="4"/>
      <c r="V15" s="12">
        <f t="shared" ref="V15:V16" si="9">IF(T$12=0,0,T15/T$12)</f>
        <v>0</v>
      </c>
      <c r="W15" s="4"/>
      <c r="X15" s="4">
        <f t="shared" ref="X15:X16" si="10">+P15-T15</f>
        <v>0</v>
      </c>
      <c r="Y15" s="4"/>
      <c r="Z15" s="12">
        <f t="shared" ref="Z15:Z16" si="11">IF(T15=0,0,X15/T15)</f>
        <v>0</v>
      </c>
    </row>
    <row r="16" spans="1:26" s="24" customFormat="1" hidden="1" outlineLevel="1" x14ac:dyDescent="0.3">
      <c r="A16" s="44"/>
      <c r="B16" s="11" t="str">
        <f>CONCATENATE("          ", "5053", " - ", "PURCHASES @ COST-FOOD")</f>
        <v xml:space="preserve">          5053 - PURCHASES @ COST-FOOD</v>
      </c>
      <c r="C16" s="11"/>
      <c r="D16" s="3">
        <v>0</v>
      </c>
      <c r="E16" s="3"/>
      <c r="F16" s="19">
        <f t="shared" si="4"/>
        <v>0</v>
      </c>
      <c r="G16" s="3"/>
      <c r="H16" s="3"/>
      <c r="I16" s="3"/>
      <c r="J16" s="19">
        <f t="shared" si="5"/>
        <v>0</v>
      </c>
      <c r="K16" s="3"/>
      <c r="L16" s="3">
        <f t="shared" si="6"/>
        <v>0</v>
      </c>
      <c r="M16" s="3"/>
      <c r="N16" s="19">
        <f t="shared" si="7"/>
        <v>0</v>
      </c>
      <c r="O16" s="11"/>
      <c r="P16" s="3">
        <v>0</v>
      </c>
      <c r="Q16" s="3"/>
      <c r="R16" s="19">
        <f t="shared" si="8"/>
        <v>0</v>
      </c>
      <c r="S16" s="3"/>
      <c r="T16" s="3"/>
      <c r="U16" s="3"/>
      <c r="V16" s="19">
        <f t="shared" si="9"/>
        <v>0</v>
      </c>
      <c r="W16" s="3"/>
      <c r="X16" s="3">
        <f t="shared" si="10"/>
        <v>0</v>
      </c>
      <c r="Y16" s="3"/>
      <c r="Z16" s="19">
        <f t="shared" si="11"/>
        <v>0</v>
      </c>
    </row>
    <row r="17" spans="1:26" x14ac:dyDescent="0.3">
      <c r="A17" s="9"/>
      <c r="B17" s="10"/>
      <c r="C17" s="10"/>
      <c r="D17" s="2"/>
      <c r="E17" s="2"/>
      <c r="F17" s="6"/>
      <c r="G17" s="2"/>
      <c r="H17" s="2"/>
      <c r="I17" s="2"/>
      <c r="J17" s="6"/>
      <c r="K17" s="2"/>
      <c r="L17" s="2"/>
      <c r="M17" s="2"/>
      <c r="N17" s="6"/>
      <c r="O17" s="10"/>
      <c r="P17" s="2"/>
      <c r="Q17" s="2"/>
      <c r="R17" s="6"/>
      <c r="S17" s="2"/>
      <c r="T17" s="2"/>
      <c r="U17" s="2"/>
      <c r="V17" s="6"/>
      <c r="W17" s="2"/>
      <c r="X17" s="2"/>
      <c r="Y17" s="2"/>
      <c r="Z17" s="6"/>
    </row>
    <row r="18" spans="1:26" s="23" customFormat="1" x14ac:dyDescent="0.3">
      <c r="A18" s="10"/>
      <c r="B18" s="26" t="s">
        <v>108</v>
      </c>
      <c r="C18" s="26"/>
      <c r="D18" s="21">
        <f>D12-D15</f>
        <v>0</v>
      </c>
      <c r="E18" s="13"/>
      <c r="F18" s="22">
        <f>IF(D$12=0,0,D18/D$12)</f>
        <v>0</v>
      </c>
      <c r="G18" s="13"/>
      <c r="H18" s="21">
        <f>H12-H15</f>
        <v>0</v>
      </c>
      <c r="I18" s="13"/>
      <c r="J18" s="22">
        <f>IF(H$12=0,0,H18/H$12)</f>
        <v>0</v>
      </c>
      <c r="K18" s="16"/>
      <c r="L18" s="21">
        <f>+D18-H18</f>
        <v>0</v>
      </c>
      <c r="M18" s="16"/>
      <c r="N18" s="22">
        <f>IF(H18=0,0,L18/H18)</f>
        <v>0</v>
      </c>
      <c r="O18" s="25"/>
      <c r="P18" s="21">
        <f>P12-P15</f>
        <v>0</v>
      </c>
      <c r="Q18" s="13"/>
      <c r="R18" s="22">
        <f>IF(P$12=0,0,P18/P$12)</f>
        <v>0</v>
      </c>
      <c r="S18" s="13"/>
      <c r="T18" s="21">
        <f>T12-T15</f>
        <v>0</v>
      </c>
      <c r="U18" s="13"/>
      <c r="V18" s="22">
        <f>IF(T$12=0,0,T18/T$12)</f>
        <v>0</v>
      </c>
      <c r="W18" s="16"/>
      <c r="X18" s="21">
        <f>+P18-T18</f>
        <v>0</v>
      </c>
      <c r="Y18" s="16"/>
      <c r="Z18" s="22">
        <f>IF(T18=0,0,X18/T18)</f>
        <v>0</v>
      </c>
    </row>
    <row r="19" spans="1:26" x14ac:dyDescent="0.3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">
      <c r="A20" s="10"/>
      <c r="B20" s="25" t="s">
        <v>295</v>
      </c>
      <c r="C20" s="10"/>
      <c r="D20" s="20">
        <f>SUM(OSRRefD22x_0)</f>
        <v>10022.300000000001</v>
      </c>
      <c r="E20" s="20"/>
      <c r="F20" s="32">
        <f t="shared" ref="F20:F29" si="12">IF(D$12=0,0,D20/D$12)</f>
        <v>0</v>
      </c>
      <c r="G20" s="20"/>
      <c r="H20" s="20">
        <f>SUM(OSRRefH22x_0)</f>
        <v>20136.248515384617</v>
      </c>
      <c r="I20" s="20"/>
      <c r="J20" s="32">
        <f t="shared" ref="J20:J29" si="13">IF(H$12=0,0,H20/H$12)</f>
        <v>0</v>
      </c>
      <c r="K20" s="4"/>
      <c r="L20" s="20">
        <f t="shared" ref="L20:L29" si="14">+D20-H20</f>
        <v>-10113.948515384616</v>
      </c>
      <c r="M20" s="4"/>
      <c r="N20" s="32">
        <f t="shared" ref="N20:N29" si="15">IF(H20=0,0,L20/H20)</f>
        <v>-0.50227570978066227</v>
      </c>
      <c r="O20" s="10"/>
      <c r="P20" s="20">
        <f>SUM(OSRRefP22x_0)</f>
        <v>10022.300000000001</v>
      </c>
      <c r="Q20" s="20"/>
      <c r="R20" s="32">
        <f t="shared" ref="R20:R29" si="16">IF(P$12=0,0,P20/P$12)</f>
        <v>0</v>
      </c>
      <c r="S20" s="20"/>
      <c r="T20" s="20">
        <f>SUM(OSRRefT22x_0)</f>
        <v>20136.248515384617</v>
      </c>
      <c r="U20" s="20"/>
      <c r="V20" s="32">
        <f t="shared" ref="V20:V29" si="17">IF(T$12=0,0,T20/T$12)</f>
        <v>0</v>
      </c>
      <c r="W20" s="4"/>
      <c r="X20" s="20">
        <f t="shared" ref="X20:X29" si="18">+P20-T20</f>
        <v>-10113.948515384616</v>
      </c>
      <c r="Y20" s="4"/>
      <c r="Z20" s="32">
        <f t="shared" ref="Z20:Z29" si="19">IF(T20=0,0,X20/T20)</f>
        <v>-0.50227570978066227</v>
      </c>
    </row>
    <row r="21" spans="1:26" s="27" customFormat="1" outlineLevel="1" collapsed="1" x14ac:dyDescent="0.3">
      <c r="A21" s="28"/>
      <c r="B21" s="14" t="str">
        <f>CONCATENATE("     ","*Benefits                                         ")</f>
        <v xml:space="preserve">     *Benefits                                         </v>
      </c>
      <c r="C21" s="14"/>
      <c r="D21" s="1">
        <f>SUM(OSRRefD22_0x_0)</f>
        <v>0</v>
      </c>
      <c r="E21" s="1"/>
      <c r="F21" s="5">
        <f t="shared" si="12"/>
        <v>0</v>
      </c>
      <c r="G21" s="1"/>
      <c r="H21" s="1">
        <f>SUM(OSRRefH22_0x_0)</f>
        <v>3726.7869769230774</v>
      </c>
      <c r="I21" s="1"/>
      <c r="J21" s="5">
        <f t="shared" si="13"/>
        <v>0</v>
      </c>
      <c r="K21" s="1"/>
      <c r="L21" s="1">
        <f t="shared" si="14"/>
        <v>-3726.7869769230774</v>
      </c>
      <c r="M21" s="1"/>
      <c r="N21" s="5">
        <f t="shared" si="15"/>
        <v>-1</v>
      </c>
      <c r="O21" s="14"/>
      <c r="P21" s="1">
        <f>SUM(OSRRefP22_0x_0)</f>
        <v>0</v>
      </c>
      <c r="Q21" s="1"/>
      <c r="R21" s="5">
        <f t="shared" si="16"/>
        <v>0</v>
      </c>
      <c r="S21" s="1"/>
      <c r="T21" s="1">
        <f>SUM(OSRRefT22_0x_0)</f>
        <v>3726.7869769230774</v>
      </c>
      <c r="U21" s="1"/>
      <c r="V21" s="5">
        <f t="shared" si="17"/>
        <v>0</v>
      </c>
      <c r="W21" s="1"/>
      <c r="X21" s="1">
        <f t="shared" si="18"/>
        <v>-3726.7869769230774</v>
      </c>
      <c r="Y21" s="1"/>
      <c r="Z21" s="5">
        <f t="shared" si="19"/>
        <v>-1</v>
      </c>
    </row>
    <row r="22" spans="1:26" s="24" customFormat="1" hidden="1" outlineLevel="2" x14ac:dyDescent="0.3">
      <c r="A22" s="29"/>
      <c r="B22" s="11" t="str">
        <f>CONCATENATE("          ", "6111", " - ", "F.I.C.A.")</f>
        <v xml:space="preserve">          6111 - F.I.C.A.</v>
      </c>
      <c r="C22" s="11"/>
      <c r="D22" s="8"/>
      <c r="E22" s="3"/>
      <c r="F22" s="7">
        <f t="shared" si="12"/>
        <v>0</v>
      </c>
      <c r="G22" s="3"/>
      <c r="H22" s="8">
        <v>442.63774615384602</v>
      </c>
      <c r="I22" s="3"/>
      <c r="J22" s="7">
        <f t="shared" si="13"/>
        <v>0</v>
      </c>
      <c r="K22" s="3"/>
      <c r="L22" s="8">
        <f t="shared" si="14"/>
        <v>-442.63774615384602</v>
      </c>
      <c r="M22" s="3"/>
      <c r="N22" s="7">
        <f t="shared" si="15"/>
        <v>-1</v>
      </c>
      <c r="O22" s="11"/>
      <c r="P22" s="8"/>
      <c r="Q22" s="3"/>
      <c r="R22" s="7">
        <f t="shared" si="16"/>
        <v>0</v>
      </c>
      <c r="S22" s="3"/>
      <c r="T22" s="8">
        <v>442.63774615384602</v>
      </c>
      <c r="U22" s="3"/>
      <c r="V22" s="7">
        <f t="shared" si="17"/>
        <v>0</v>
      </c>
      <c r="W22" s="3"/>
      <c r="X22" s="8">
        <f t="shared" si="18"/>
        <v>-442.63774615384602</v>
      </c>
      <c r="Y22" s="3"/>
      <c r="Z22" s="7">
        <f t="shared" si="19"/>
        <v>-1</v>
      </c>
    </row>
    <row r="23" spans="1:26" s="24" customFormat="1" hidden="1" outlineLevel="2" x14ac:dyDescent="0.3">
      <c r="A23" s="29"/>
      <c r="B23" s="11" t="str">
        <f>CONCATENATE("          ", "6112", " - ", "COMPENSATION INSURANCE")</f>
        <v xml:space="preserve">          6112 - COMPENSATION INSURANCE</v>
      </c>
      <c r="C23" s="11"/>
      <c r="D23" s="8"/>
      <c r="E23" s="3"/>
      <c r="F23" s="7">
        <f t="shared" si="12"/>
        <v>0</v>
      </c>
      <c r="G23" s="3"/>
      <c r="H23" s="8">
        <v>219.207769230769</v>
      </c>
      <c r="I23" s="3"/>
      <c r="J23" s="7">
        <f t="shared" si="13"/>
        <v>0</v>
      </c>
      <c r="K23" s="3"/>
      <c r="L23" s="8">
        <f t="shared" si="14"/>
        <v>-219.207769230769</v>
      </c>
      <c r="M23" s="3"/>
      <c r="N23" s="7">
        <f t="shared" si="15"/>
        <v>-1</v>
      </c>
      <c r="O23" s="11"/>
      <c r="P23" s="8"/>
      <c r="Q23" s="3"/>
      <c r="R23" s="7">
        <f t="shared" si="16"/>
        <v>0</v>
      </c>
      <c r="S23" s="3"/>
      <c r="T23" s="8">
        <v>219.207769230769</v>
      </c>
      <c r="U23" s="3"/>
      <c r="V23" s="7">
        <f t="shared" si="17"/>
        <v>0</v>
      </c>
      <c r="W23" s="3"/>
      <c r="X23" s="8">
        <f t="shared" si="18"/>
        <v>-219.207769230769</v>
      </c>
      <c r="Y23" s="3"/>
      <c r="Z23" s="7">
        <f t="shared" si="19"/>
        <v>-1</v>
      </c>
    </row>
    <row r="24" spans="1:26" s="24" customFormat="1" hidden="1" outlineLevel="2" x14ac:dyDescent="0.3">
      <c r="A24" s="29"/>
      <c r="B24" s="11" t="str">
        <f>CONCATENATE("          ", "6113", " - ", "GROUP INSURANCE")</f>
        <v xml:space="preserve">          6113 - GROUP INSURANCE</v>
      </c>
      <c r="C24" s="11"/>
      <c r="D24" s="8"/>
      <c r="E24" s="3"/>
      <c r="F24" s="7">
        <f t="shared" si="12"/>
        <v>0</v>
      </c>
      <c r="G24" s="3"/>
      <c r="H24" s="8">
        <v>1977</v>
      </c>
      <c r="I24" s="3"/>
      <c r="J24" s="7">
        <f t="shared" si="13"/>
        <v>0</v>
      </c>
      <c r="K24" s="3"/>
      <c r="L24" s="8">
        <f t="shared" si="14"/>
        <v>-1977</v>
      </c>
      <c r="M24" s="3"/>
      <c r="N24" s="7">
        <f t="shared" si="15"/>
        <v>-1</v>
      </c>
      <c r="O24" s="11"/>
      <c r="P24" s="8"/>
      <c r="Q24" s="3"/>
      <c r="R24" s="7">
        <f t="shared" si="16"/>
        <v>0</v>
      </c>
      <c r="S24" s="3"/>
      <c r="T24" s="8">
        <v>1977</v>
      </c>
      <c r="U24" s="3"/>
      <c r="V24" s="7">
        <f t="shared" si="17"/>
        <v>0</v>
      </c>
      <c r="W24" s="3"/>
      <c r="X24" s="8">
        <f t="shared" si="18"/>
        <v>-1977</v>
      </c>
      <c r="Y24" s="3"/>
      <c r="Z24" s="7">
        <f t="shared" si="19"/>
        <v>-1</v>
      </c>
    </row>
    <row r="25" spans="1:26" s="24" customFormat="1" hidden="1" outlineLevel="2" x14ac:dyDescent="0.3">
      <c r="A25" s="29"/>
      <c r="B25" s="11" t="str">
        <f>CONCATENATE("          ", "6114", " - ", "STATE UNEMPLOYMENT INSURANCE")</f>
        <v xml:space="preserve">          6114 - STATE UNEMPLOYMENT INSURANCE</v>
      </c>
      <c r="C25" s="11"/>
      <c r="D25" s="8"/>
      <c r="E25" s="3"/>
      <c r="F25" s="7">
        <f t="shared" si="12"/>
        <v>0</v>
      </c>
      <c r="G25" s="3"/>
      <c r="H25" s="8">
        <v>12.146076923076899</v>
      </c>
      <c r="I25" s="3"/>
      <c r="J25" s="7">
        <f t="shared" si="13"/>
        <v>0</v>
      </c>
      <c r="K25" s="3"/>
      <c r="L25" s="8">
        <f t="shared" si="14"/>
        <v>-12.146076923076899</v>
      </c>
      <c r="M25" s="3"/>
      <c r="N25" s="7">
        <f t="shared" si="15"/>
        <v>-1</v>
      </c>
      <c r="O25" s="11"/>
      <c r="P25" s="8"/>
      <c r="Q25" s="3"/>
      <c r="R25" s="7">
        <f t="shared" si="16"/>
        <v>0</v>
      </c>
      <c r="S25" s="3"/>
      <c r="T25" s="8">
        <v>12.146076923076899</v>
      </c>
      <c r="U25" s="3"/>
      <c r="V25" s="7">
        <f t="shared" si="17"/>
        <v>0</v>
      </c>
      <c r="W25" s="3"/>
      <c r="X25" s="8">
        <f t="shared" si="18"/>
        <v>-12.146076923076899</v>
      </c>
      <c r="Y25" s="3"/>
      <c r="Z25" s="7">
        <f t="shared" si="19"/>
        <v>-1</v>
      </c>
    </row>
    <row r="26" spans="1:26" s="24" customFormat="1" hidden="1" outlineLevel="2" x14ac:dyDescent="0.3">
      <c r="A26" s="29"/>
      <c r="B26" s="11" t="str">
        <f>CONCATENATE("          ", "6115", " - ", "P.E.R.S.")</f>
        <v xml:space="preserve">          6115 - P.E.R.S.</v>
      </c>
      <c r="C26" s="11"/>
      <c r="D26" s="8"/>
      <c r="E26" s="3"/>
      <c r="F26" s="7">
        <f t="shared" si="12"/>
        <v>0</v>
      </c>
      <c r="G26" s="3"/>
      <c r="H26" s="8">
        <v>497.41076923076901</v>
      </c>
      <c r="I26" s="3"/>
      <c r="J26" s="7">
        <f t="shared" si="13"/>
        <v>0</v>
      </c>
      <c r="K26" s="3"/>
      <c r="L26" s="8">
        <f t="shared" si="14"/>
        <v>-497.41076923076901</v>
      </c>
      <c r="M26" s="3"/>
      <c r="N26" s="7">
        <f t="shared" si="15"/>
        <v>-1</v>
      </c>
      <c r="O26" s="11"/>
      <c r="P26" s="8"/>
      <c r="Q26" s="3"/>
      <c r="R26" s="7">
        <f t="shared" si="16"/>
        <v>0</v>
      </c>
      <c r="S26" s="3"/>
      <c r="T26" s="8">
        <v>497.41076923076901</v>
      </c>
      <c r="U26" s="3"/>
      <c r="V26" s="7">
        <f t="shared" si="17"/>
        <v>0</v>
      </c>
      <c r="W26" s="3"/>
      <c r="X26" s="8">
        <f t="shared" si="18"/>
        <v>-497.41076923076901</v>
      </c>
      <c r="Y26" s="3"/>
      <c r="Z26" s="7">
        <f t="shared" si="19"/>
        <v>-1</v>
      </c>
    </row>
    <row r="27" spans="1:26" s="24" customFormat="1" hidden="1" outlineLevel="2" x14ac:dyDescent="0.3">
      <c r="A27" s="29"/>
      <c r="B27" s="11" t="str">
        <f>CONCATENATE("          ", "6116", " - ", "EDUCATIONAL BENEFITS")</f>
        <v xml:space="preserve">          6116 - EDUCATIONAL BENEFITS</v>
      </c>
      <c r="C27" s="11"/>
      <c r="D27" s="8"/>
      <c r="E27" s="3"/>
      <c r="F27" s="7">
        <f t="shared" si="12"/>
        <v>0</v>
      </c>
      <c r="G27" s="3"/>
      <c r="H27" s="8">
        <v>0</v>
      </c>
      <c r="I27" s="3"/>
      <c r="J27" s="7">
        <f t="shared" si="13"/>
        <v>0</v>
      </c>
      <c r="K27" s="3"/>
      <c r="L27" s="8">
        <f t="shared" si="14"/>
        <v>0</v>
      </c>
      <c r="M27" s="3"/>
      <c r="N27" s="7">
        <f t="shared" si="15"/>
        <v>0</v>
      </c>
      <c r="O27" s="11"/>
      <c r="P27" s="8"/>
      <c r="Q27" s="3"/>
      <c r="R27" s="7">
        <f t="shared" si="16"/>
        <v>0</v>
      </c>
      <c r="S27" s="3"/>
      <c r="T27" s="8">
        <v>0</v>
      </c>
      <c r="U27" s="3"/>
      <c r="V27" s="7">
        <f t="shared" si="17"/>
        <v>0</v>
      </c>
      <c r="W27" s="3"/>
      <c r="X27" s="8">
        <f t="shared" si="18"/>
        <v>0</v>
      </c>
      <c r="Y27" s="3"/>
      <c r="Z27" s="7">
        <f t="shared" si="19"/>
        <v>0</v>
      </c>
    </row>
    <row r="28" spans="1:26" s="24" customFormat="1" hidden="1" outlineLevel="2" x14ac:dyDescent="0.3">
      <c r="A28" s="29"/>
      <c r="B28" s="11" t="str">
        <f>CONCATENATE("          ", "6118", " - ", "VACATION")</f>
        <v xml:space="preserve">          6118 - VACATION</v>
      </c>
      <c r="C28" s="11"/>
      <c r="D28" s="8"/>
      <c r="E28" s="3"/>
      <c r="F28" s="7">
        <f t="shared" si="12"/>
        <v>0</v>
      </c>
      <c r="G28" s="3"/>
      <c r="H28" s="8">
        <v>289.19230769230802</v>
      </c>
      <c r="I28" s="3"/>
      <c r="J28" s="7">
        <f t="shared" si="13"/>
        <v>0</v>
      </c>
      <c r="K28" s="3"/>
      <c r="L28" s="8">
        <f t="shared" si="14"/>
        <v>-289.19230769230802</v>
      </c>
      <c r="M28" s="3"/>
      <c r="N28" s="7">
        <f t="shared" si="15"/>
        <v>-1</v>
      </c>
      <c r="O28" s="11"/>
      <c r="P28" s="8"/>
      <c r="Q28" s="3"/>
      <c r="R28" s="7">
        <f t="shared" si="16"/>
        <v>0</v>
      </c>
      <c r="S28" s="3"/>
      <c r="T28" s="8">
        <v>289.19230769230802</v>
      </c>
      <c r="U28" s="3"/>
      <c r="V28" s="7">
        <f t="shared" si="17"/>
        <v>0</v>
      </c>
      <c r="W28" s="3"/>
      <c r="X28" s="8">
        <f t="shared" si="18"/>
        <v>-289.19230769230802</v>
      </c>
      <c r="Y28" s="3"/>
      <c r="Z28" s="7">
        <f t="shared" si="19"/>
        <v>-1</v>
      </c>
    </row>
    <row r="29" spans="1:26" s="24" customFormat="1" hidden="1" outlineLevel="2" x14ac:dyDescent="0.3">
      <c r="A29" s="29"/>
      <c r="B29" s="11" t="str">
        <f>CONCATENATE("          ", "6119", " - ", "SICK LEAVE")</f>
        <v xml:space="preserve">          6119 - SICK LEAVE</v>
      </c>
      <c r="C29" s="11"/>
      <c r="D29" s="8"/>
      <c r="E29" s="3"/>
      <c r="F29" s="7">
        <f t="shared" si="12"/>
        <v>0</v>
      </c>
      <c r="G29" s="3"/>
      <c r="H29" s="8">
        <v>289.19230769230802</v>
      </c>
      <c r="I29" s="3"/>
      <c r="J29" s="7">
        <f t="shared" si="13"/>
        <v>0</v>
      </c>
      <c r="K29" s="3"/>
      <c r="L29" s="8">
        <f t="shared" si="14"/>
        <v>-289.19230769230802</v>
      </c>
      <c r="M29" s="3"/>
      <c r="N29" s="7">
        <f t="shared" si="15"/>
        <v>-1</v>
      </c>
      <c r="O29" s="11"/>
      <c r="P29" s="8"/>
      <c r="Q29" s="3"/>
      <c r="R29" s="7">
        <f t="shared" si="16"/>
        <v>0</v>
      </c>
      <c r="S29" s="3"/>
      <c r="T29" s="8">
        <v>289.19230769230802</v>
      </c>
      <c r="U29" s="3"/>
      <c r="V29" s="7">
        <f t="shared" si="17"/>
        <v>0</v>
      </c>
      <c r="W29" s="3"/>
      <c r="X29" s="8">
        <f t="shared" si="18"/>
        <v>-289.19230769230802</v>
      </c>
      <c r="Y29" s="3"/>
      <c r="Z29" s="7">
        <f t="shared" si="19"/>
        <v>-1</v>
      </c>
    </row>
    <row r="30" spans="1:26" s="27" customFormat="1" outlineLevel="1" collapsed="1" x14ac:dyDescent="0.3">
      <c r="A30" s="28"/>
      <c r="B30" s="14" t="str">
        <f>CONCATENATE("     ","*Payroll                                          ")</f>
        <v xml:space="preserve">     *Payroll                                          </v>
      </c>
      <c r="C30" s="14"/>
      <c r="D30" s="1">
        <f>SUM(OSRRefD22_1x_0)</f>
        <v>0</v>
      </c>
      <c r="E30" s="1"/>
      <c r="F30" s="5">
        <f t="shared" ref="F30:F40" si="20">IF(D$12=0,0,D30/D$12)</f>
        <v>0</v>
      </c>
      <c r="G30" s="1"/>
      <c r="H30" s="1">
        <f>SUM(OSRRefH22_1x_0)</f>
        <v>5205.4615384615399</v>
      </c>
      <c r="I30" s="1"/>
      <c r="J30" s="5">
        <f t="shared" ref="J30:J40" si="21">IF(H$12=0,0,H30/H$12)</f>
        <v>0</v>
      </c>
      <c r="K30" s="1"/>
      <c r="L30" s="1">
        <f t="shared" ref="L30:L40" si="22">+D30-H30</f>
        <v>-5205.4615384615399</v>
      </c>
      <c r="M30" s="1"/>
      <c r="N30" s="5">
        <f t="shared" ref="N30:N40" si="23">IF(H30=0,0,L30/H30)</f>
        <v>-1</v>
      </c>
      <c r="O30" s="14"/>
      <c r="P30" s="1">
        <f>SUM(OSRRefP22_1x_0)</f>
        <v>0</v>
      </c>
      <c r="Q30" s="1"/>
      <c r="R30" s="5">
        <f t="shared" ref="R30:R40" si="24">IF(P$12=0,0,P30/P$12)</f>
        <v>0</v>
      </c>
      <c r="S30" s="1"/>
      <c r="T30" s="1">
        <f>SUM(OSRRefT22_1x_0)</f>
        <v>5205.4615384615399</v>
      </c>
      <c r="U30" s="1"/>
      <c r="V30" s="5">
        <f t="shared" ref="V30:V40" si="25">IF(T$12=0,0,T30/T$12)</f>
        <v>0</v>
      </c>
      <c r="W30" s="1"/>
      <c r="X30" s="1">
        <f t="shared" ref="X30:X40" si="26">+P30-T30</f>
        <v>-5205.4615384615399</v>
      </c>
      <c r="Y30" s="1"/>
      <c r="Z30" s="5">
        <f t="shared" ref="Z30:Z40" si="27">IF(T30=0,0,X30/T30)</f>
        <v>-1</v>
      </c>
    </row>
    <row r="31" spans="1:26" s="24" customFormat="1" hidden="1" outlineLevel="2" x14ac:dyDescent="0.3">
      <c r="A31" s="29"/>
      <c r="B31" s="11" t="str">
        <f>CONCATENATE("          ", "6001", " - ", "ADMINISTRATIVE SALARIES")</f>
        <v xml:space="preserve">          6001 - ADMINISTRATIVE SALARIES</v>
      </c>
      <c r="C31" s="11"/>
      <c r="D31" s="8"/>
      <c r="E31" s="3"/>
      <c r="F31" s="7">
        <f t="shared" si="20"/>
        <v>0</v>
      </c>
      <c r="G31" s="3"/>
      <c r="H31" s="8">
        <v>0</v>
      </c>
      <c r="I31" s="3"/>
      <c r="J31" s="7">
        <f t="shared" si="21"/>
        <v>0</v>
      </c>
      <c r="K31" s="3"/>
      <c r="L31" s="8">
        <f t="shared" si="22"/>
        <v>0</v>
      </c>
      <c r="M31" s="3"/>
      <c r="N31" s="7">
        <f t="shared" si="23"/>
        <v>0</v>
      </c>
      <c r="O31" s="11"/>
      <c r="P31" s="8"/>
      <c r="Q31" s="3"/>
      <c r="R31" s="7">
        <f t="shared" si="24"/>
        <v>0</v>
      </c>
      <c r="S31" s="3"/>
      <c r="T31" s="8">
        <v>0</v>
      </c>
      <c r="U31" s="3"/>
      <c r="V31" s="7">
        <f t="shared" si="25"/>
        <v>0</v>
      </c>
      <c r="W31" s="3"/>
      <c r="X31" s="8">
        <f t="shared" si="26"/>
        <v>0</v>
      </c>
      <c r="Y31" s="3"/>
      <c r="Z31" s="7">
        <f t="shared" si="27"/>
        <v>0</v>
      </c>
    </row>
    <row r="32" spans="1:26" s="24" customFormat="1" hidden="1" outlineLevel="2" x14ac:dyDescent="0.3">
      <c r="A32" s="29"/>
      <c r="B32" s="11" t="str">
        <f>CONCATENATE("          ", "6002", " - ", "STAFF SALARIES")</f>
        <v xml:space="preserve">          6002 - STAFF SALARIES</v>
      </c>
      <c r="C32" s="11"/>
      <c r="D32" s="8"/>
      <c r="E32" s="3"/>
      <c r="F32" s="7">
        <f t="shared" si="20"/>
        <v>0</v>
      </c>
      <c r="G32" s="3"/>
      <c r="H32" s="8">
        <v>5205.4615384615399</v>
      </c>
      <c r="I32" s="3"/>
      <c r="J32" s="7">
        <f t="shared" si="21"/>
        <v>0</v>
      </c>
      <c r="K32" s="3"/>
      <c r="L32" s="8">
        <f t="shared" si="22"/>
        <v>-5205.4615384615399</v>
      </c>
      <c r="M32" s="3"/>
      <c r="N32" s="7">
        <f t="shared" si="23"/>
        <v>-1</v>
      </c>
      <c r="O32" s="11"/>
      <c r="P32" s="8"/>
      <c r="Q32" s="3"/>
      <c r="R32" s="7">
        <f t="shared" si="24"/>
        <v>0</v>
      </c>
      <c r="S32" s="3"/>
      <c r="T32" s="8">
        <v>5205.4615384615399</v>
      </c>
      <c r="U32" s="3"/>
      <c r="V32" s="7">
        <f t="shared" si="25"/>
        <v>0</v>
      </c>
      <c r="W32" s="3"/>
      <c r="X32" s="8">
        <f t="shared" si="26"/>
        <v>-5205.4615384615399</v>
      </c>
      <c r="Y32" s="3"/>
      <c r="Z32" s="7">
        <f t="shared" si="27"/>
        <v>-1</v>
      </c>
    </row>
    <row r="33" spans="1:26" s="24" customFormat="1" hidden="1" outlineLevel="2" x14ac:dyDescent="0.3">
      <c r="A33" s="29"/>
      <c r="B33" s="11" t="str">
        <f>CONCATENATE("          ", "6003", " - ", "STAFF HOURLY-9 MONTH")</f>
        <v xml:space="preserve">          6003 - STAFF HOURLY-9 MONTH</v>
      </c>
      <c r="C33" s="11"/>
      <c r="D33" s="8"/>
      <c r="E33" s="3"/>
      <c r="F33" s="7">
        <f t="shared" si="20"/>
        <v>0</v>
      </c>
      <c r="G33" s="3"/>
      <c r="H33" s="8">
        <v>0</v>
      </c>
      <c r="I33" s="3"/>
      <c r="J33" s="7">
        <f t="shared" si="21"/>
        <v>0</v>
      </c>
      <c r="K33" s="3"/>
      <c r="L33" s="8">
        <f t="shared" si="22"/>
        <v>0</v>
      </c>
      <c r="M33" s="3"/>
      <c r="N33" s="7">
        <f t="shared" si="23"/>
        <v>0</v>
      </c>
      <c r="O33" s="11"/>
      <c r="P33" s="8"/>
      <c r="Q33" s="3"/>
      <c r="R33" s="7">
        <f t="shared" si="24"/>
        <v>0</v>
      </c>
      <c r="S33" s="3"/>
      <c r="T33" s="8">
        <v>0</v>
      </c>
      <c r="U33" s="3"/>
      <c r="V33" s="7">
        <f t="shared" si="25"/>
        <v>0</v>
      </c>
      <c r="W33" s="3"/>
      <c r="X33" s="8">
        <f t="shared" si="26"/>
        <v>0</v>
      </c>
      <c r="Y33" s="3"/>
      <c r="Z33" s="7">
        <f t="shared" si="27"/>
        <v>0</v>
      </c>
    </row>
    <row r="34" spans="1:26" s="24" customFormat="1" hidden="1" outlineLevel="2" x14ac:dyDescent="0.3">
      <c r="A34" s="29"/>
      <c r="B34" s="11" t="str">
        <f>CONCATENATE("          ", "6004", " - ", "STAFF HOURLY")</f>
        <v xml:space="preserve">          6004 - STAFF HOURLY</v>
      </c>
      <c r="C34" s="11"/>
      <c r="D34" s="8"/>
      <c r="E34" s="3"/>
      <c r="F34" s="7">
        <f t="shared" si="20"/>
        <v>0</v>
      </c>
      <c r="G34" s="3"/>
      <c r="H34" s="8">
        <v>0</v>
      </c>
      <c r="I34" s="3"/>
      <c r="J34" s="7">
        <f t="shared" si="21"/>
        <v>0</v>
      </c>
      <c r="K34" s="3"/>
      <c r="L34" s="8">
        <f t="shared" si="22"/>
        <v>0</v>
      </c>
      <c r="M34" s="3"/>
      <c r="N34" s="7">
        <f t="shared" si="23"/>
        <v>0</v>
      </c>
      <c r="O34" s="11"/>
      <c r="P34" s="8"/>
      <c r="Q34" s="3"/>
      <c r="R34" s="7">
        <f t="shared" si="24"/>
        <v>0</v>
      </c>
      <c r="S34" s="3"/>
      <c r="T34" s="8">
        <v>0</v>
      </c>
      <c r="U34" s="3"/>
      <c r="V34" s="7">
        <f t="shared" si="25"/>
        <v>0</v>
      </c>
      <c r="W34" s="3"/>
      <c r="X34" s="8">
        <f t="shared" si="26"/>
        <v>0</v>
      </c>
      <c r="Y34" s="3"/>
      <c r="Z34" s="7">
        <f t="shared" si="27"/>
        <v>0</v>
      </c>
    </row>
    <row r="35" spans="1:26" s="24" customFormat="1" hidden="1" outlineLevel="2" x14ac:dyDescent="0.3">
      <c r="A35" s="29"/>
      <c r="B35" s="11" t="str">
        <f>CONCATENATE("          ", "6005", " - ", "TEMPORARY WAGES-HOURLY")</f>
        <v xml:space="preserve">          6005 - TEMPORARY WAGES-HOURLY</v>
      </c>
      <c r="C35" s="11"/>
      <c r="D35" s="8"/>
      <c r="E35" s="3"/>
      <c r="F35" s="7">
        <f t="shared" si="20"/>
        <v>0</v>
      </c>
      <c r="G35" s="3"/>
      <c r="H35" s="8">
        <v>0</v>
      </c>
      <c r="I35" s="3"/>
      <c r="J35" s="7">
        <f t="shared" si="21"/>
        <v>0</v>
      </c>
      <c r="K35" s="3"/>
      <c r="L35" s="8">
        <f t="shared" si="22"/>
        <v>0</v>
      </c>
      <c r="M35" s="3"/>
      <c r="N35" s="7">
        <f t="shared" si="23"/>
        <v>0</v>
      </c>
      <c r="O35" s="11"/>
      <c r="P35" s="8"/>
      <c r="Q35" s="3"/>
      <c r="R35" s="7">
        <f t="shared" si="24"/>
        <v>0</v>
      </c>
      <c r="S35" s="3"/>
      <c r="T35" s="8">
        <v>0</v>
      </c>
      <c r="U35" s="3"/>
      <c r="V35" s="7">
        <f t="shared" si="25"/>
        <v>0</v>
      </c>
      <c r="W35" s="3"/>
      <c r="X35" s="8">
        <f t="shared" si="26"/>
        <v>0</v>
      </c>
      <c r="Y35" s="3"/>
      <c r="Z35" s="7">
        <f t="shared" si="27"/>
        <v>0</v>
      </c>
    </row>
    <row r="36" spans="1:26" s="24" customFormat="1" hidden="1" outlineLevel="2" x14ac:dyDescent="0.3">
      <c r="A36" s="29"/>
      <c r="B36" s="11" t="str">
        <f>CONCATENATE("          ", "6006", " - ", "TEMPORARY PART TIME")</f>
        <v xml:space="preserve">          6006 - TEMPORARY PART TIME</v>
      </c>
      <c r="C36" s="11"/>
      <c r="D36" s="8"/>
      <c r="E36" s="3"/>
      <c r="F36" s="7">
        <f t="shared" si="20"/>
        <v>0</v>
      </c>
      <c r="G36" s="3"/>
      <c r="H36" s="8">
        <v>0</v>
      </c>
      <c r="I36" s="3"/>
      <c r="J36" s="7">
        <f t="shared" si="21"/>
        <v>0</v>
      </c>
      <c r="K36" s="3"/>
      <c r="L36" s="8">
        <f t="shared" si="22"/>
        <v>0</v>
      </c>
      <c r="M36" s="3"/>
      <c r="N36" s="7">
        <f t="shared" si="23"/>
        <v>0</v>
      </c>
      <c r="O36" s="11"/>
      <c r="P36" s="8"/>
      <c r="Q36" s="3"/>
      <c r="R36" s="7">
        <f t="shared" si="24"/>
        <v>0</v>
      </c>
      <c r="S36" s="3"/>
      <c r="T36" s="8">
        <v>0</v>
      </c>
      <c r="U36" s="3"/>
      <c r="V36" s="7">
        <f t="shared" si="25"/>
        <v>0</v>
      </c>
      <c r="W36" s="3"/>
      <c r="X36" s="8">
        <f t="shared" si="26"/>
        <v>0</v>
      </c>
      <c r="Y36" s="3"/>
      <c r="Z36" s="7">
        <f t="shared" si="27"/>
        <v>0</v>
      </c>
    </row>
    <row r="37" spans="1:26" s="24" customFormat="1" hidden="1" outlineLevel="2" x14ac:dyDescent="0.3">
      <c r="A37" s="29"/>
      <c r="B37" s="11" t="str">
        <f>CONCATENATE("          ", "6007", " - ", "STUDENT HOURLY")</f>
        <v xml:space="preserve">          6007 - STUDENT HOURLY</v>
      </c>
      <c r="C37" s="11"/>
      <c r="D37" s="8"/>
      <c r="E37" s="3"/>
      <c r="F37" s="7">
        <f t="shared" si="20"/>
        <v>0</v>
      </c>
      <c r="G37" s="3"/>
      <c r="H37" s="8">
        <v>0</v>
      </c>
      <c r="I37" s="3"/>
      <c r="J37" s="7">
        <f t="shared" si="21"/>
        <v>0</v>
      </c>
      <c r="K37" s="3"/>
      <c r="L37" s="8">
        <f t="shared" si="22"/>
        <v>0</v>
      </c>
      <c r="M37" s="3"/>
      <c r="N37" s="7">
        <f t="shared" si="23"/>
        <v>0</v>
      </c>
      <c r="O37" s="11"/>
      <c r="P37" s="8"/>
      <c r="Q37" s="3"/>
      <c r="R37" s="7">
        <f t="shared" si="24"/>
        <v>0</v>
      </c>
      <c r="S37" s="3"/>
      <c r="T37" s="8">
        <v>0</v>
      </c>
      <c r="U37" s="3"/>
      <c r="V37" s="7">
        <f t="shared" si="25"/>
        <v>0</v>
      </c>
      <c r="W37" s="3"/>
      <c r="X37" s="8">
        <f t="shared" si="26"/>
        <v>0</v>
      </c>
      <c r="Y37" s="3"/>
      <c r="Z37" s="7">
        <f t="shared" si="27"/>
        <v>0</v>
      </c>
    </row>
    <row r="38" spans="1:26" s="24" customFormat="1" hidden="1" outlineLevel="2" x14ac:dyDescent="0.3">
      <c r="A38" s="29"/>
      <c r="B38" s="11" t="str">
        <f>CONCATENATE("          ", "6008", " - ", "STUDENT HOURLY-FICA EXEMPT")</f>
        <v xml:space="preserve">          6008 - STUDENT HOURLY-FICA EXEMPT</v>
      </c>
      <c r="C38" s="11"/>
      <c r="D38" s="8"/>
      <c r="E38" s="3"/>
      <c r="F38" s="7">
        <f t="shared" si="20"/>
        <v>0</v>
      </c>
      <c r="G38" s="3"/>
      <c r="H38" s="8">
        <v>0</v>
      </c>
      <c r="I38" s="3"/>
      <c r="J38" s="7">
        <f t="shared" si="21"/>
        <v>0</v>
      </c>
      <c r="K38" s="3"/>
      <c r="L38" s="8">
        <f t="shared" si="22"/>
        <v>0</v>
      </c>
      <c r="M38" s="3"/>
      <c r="N38" s="7">
        <f t="shared" si="23"/>
        <v>0</v>
      </c>
      <c r="O38" s="11"/>
      <c r="P38" s="8"/>
      <c r="Q38" s="3"/>
      <c r="R38" s="7">
        <f t="shared" si="24"/>
        <v>0</v>
      </c>
      <c r="S38" s="3"/>
      <c r="T38" s="8">
        <v>0</v>
      </c>
      <c r="U38" s="3"/>
      <c r="V38" s="7">
        <f t="shared" si="25"/>
        <v>0</v>
      </c>
      <c r="W38" s="3"/>
      <c r="X38" s="8">
        <f t="shared" si="26"/>
        <v>0</v>
      </c>
      <c r="Y38" s="3"/>
      <c r="Z38" s="7">
        <f t="shared" si="27"/>
        <v>0</v>
      </c>
    </row>
    <row r="39" spans="1:26" s="24" customFormat="1" hidden="1" outlineLevel="2" x14ac:dyDescent="0.3">
      <c r="A39" s="29"/>
      <c r="B39" s="11" t="str">
        <f>CONCATENATE("          ", "6009", " - ", "TEMPORARY-SEASONAL")</f>
        <v xml:space="preserve">          6009 - TEMPORARY-SEASONAL</v>
      </c>
      <c r="C39" s="11"/>
      <c r="D39" s="8"/>
      <c r="E39" s="3"/>
      <c r="F39" s="7">
        <f t="shared" si="20"/>
        <v>0</v>
      </c>
      <c r="G39" s="3"/>
      <c r="H39" s="8">
        <v>0</v>
      </c>
      <c r="I39" s="3"/>
      <c r="J39" s="7">
        <f t="shared" si="21"/>
        <v>0</v>
      </c>
      <c r="K39" s="3"/>
      <c r="L39" s="8">
        <f t="shared" si="22"/>
        <v>0</v>
      </c>
      <c r="M39" s="3"/>
      <c r="N39" s="7">
        <f t="shared" si="23"/>
        <v>0</v>
      </c>
      <c r="O39" s="11"/>
      <c r="P39" s="8"/>
      <c r="Q39" s="3"/>
      <c r="R39" s="7">
        <f t="shared" si="24"/>
        <v>0</v>
      </c>
      <c r="S39" s="3"/>
      <c r="T39" s="8">
        <v>0</v>
      </c>
      <c r="U39" s="3"/>
      <c r="V39" s="7">
        <f t="shared" si="25"/>
        <v>0</v>
      </c>
      <c r="W39" s="3"/>
      <c r="X39" s="8">
        <f t="shared" si="26"/>
        <v>0</v>
      </c>
      <c r="Y39" s="3"/>
      <c r="Z39" s="7">
        <f t="shared" si="27"/>
        <v>0</v>
      </c>
    </row>
    <row r="40" spans="1:26" s="24" customFormat="1" hidden="1" outlineLevel="2" x14ac:dyDescent="0.3">
      <c r="A40" s="29"/>
      <c r="B40" s="11" t="str">
        <f>CONCATENATE("          ", "6010", " - ", "GRATUITY")</f>
        <v xml:space="preserve">          6010 - GRATUITY</v>
      </c>
      <c r="C40" s="11"/>
      <c r="D40" s="8"/>
      <c r="E40" s="3"/>
      <c r="F40" s="7">
        <f t="shared" si="20"/>
        <v>0</v>
      </c>
      <c r="G40" s="3"/>
      <c r="H40" s="8">
        <v>0</v>
      </c>
      <c r="I40" s="3"/>
      <c r="J40" s="7">
        <f t="shared" si="21"/>
        <v>0</v>
      </c>
      <c r="K40" s="3"/>
      <c r="L40" s="8">
        <f t="shared" si="22"/>
        <v>0</v>
      </c>
      <c r="M40" s="3"/>
      <c r="N40" s="7">
        <f t="shared" si="23"/>
        <v>0</v>
      </c>
      <c r="O40" s="11"/>
      <c r="P40" s="8"/>
      <c r="Q40" s="3"/>
      <c r="R40" s="7">
        <f t="shared" si="24"/>
        <v>0</v>
      </c>
      <c r="S40" s="3"/>
      <c r="T40" s="8">
        <v>0</v>
      </c>
      <c r="U40" s="3"/>
      <c r="V40" s="7">
        <f t="shared" si="25"/>
        <v>0</v>
      </c>
      <c r="W40" s="3"/>
      <c r="X40" s="8">
        <f t="shared" si="26"/>
        <v>0</v>
      </c>
      <c r="Y40" s="3"/>
      <c r="Z40" s="7">
        <f t="shared" si="27"/>
        <v>0</v>
      </c>
    </row>
    <row r="41" spans="1:26" s="27" customFormat="1" outlineLevel="1" collapsed="1" x14ac:dyDescent="0.3">
      <c r="A41" s="28"/>
      <c r="B41" s="14" t="str">
        <f>CONCATENATE("     ","Bad Debts/Over/Short                              ")</f>
        <v xml:space="preserve">     Bad Debts/Over/Short                              </v>
      </c>
      <c r="C41" s="14"/>
      <c r="D41" s="1">
        <f>SUM(OSRRefD22_2x_0)</f>
        <v>0</v>
      </c>
      <c r="E41" s="1"/>
      <c r="F41" s="5">
        <f t="shared" ref="F41:F47" si="28">IF(D$12=0,0,D41/D$12)</f>
        <v>0</v>
      </c>
      <c r="G41" s="1"/>
      <c r="H41" s="1">
        <f>SUM(OSRRefH22_2x_0)</f>
        <v>0</v>
      </c>
      <c r="I41" s="1"/>
      <c r="J41" s="5">
        <f t="shared" ref="J41:J47" si="29">IF(H$12=0,0,H41/H$12)</f>
        <v>0</v>
      </c>
      <c r="K41" s="1"/>
      <c r="L41" s="1">
        <f t="shared" ref="L41:L47" si="30">+D41-H41</f>
        <v>0</v>
      </c>
      <c r="M41" s="1"/>
      <c r="N41" s="5">
        <f t="shared" ref="N41:N47" si="31">IF(H41=0,0,L41/H41)</f>
        <v>0</v>
      </c>
      <c r="O41" s="14"/>
      <c r="P41" s="1">
        <f>SUM(OSRRefP22_2x_0)</f>
        <v>0</v>
      </c>
      <c r="Q41" s="1"/>
      <c r="R41" s="5">
        <f t="shared" ref="R41:R47" si="32">IF(P$12=0,0,P41/P$12)</f>
        <v>0</v>
      </c>
      <c r="S41" s="1"/>
      <c r="T41" s="1">
        <f>SUM(OSRRefT22_2x_0)</f>
        <v>0</v>
      </c>
      <c r="U41" s="1"/>
      <c r="V41" s="5">
        <f t="shared" ref="V41:V47" si="33">IF(T$12=0,0,T41/T$12)</f>
        <v>0</v>
      </c>
      <c r="W41" s="1"/>
      <c r="X41" s="1">
        <f t="shared" ref="X41:X47" si="34">+P41-T41</f>
        <v>0</v>
      </c>
      <c r="Y41" s="1"/>
      <c r="Z41" s="5">
        <f t="shared" ref="Z41:Z47" si="35">IF(T41=0,0,X41/T41)</f>
        <v>0</v>
      </c>
    </row>
    <row r="42" spans="1:26" s="24" customFormat="1" hidden="1" outlineLevel="2" x14ac:dyDescent="0.3">
      <c r="A42" s="29"/>
      <c r="B42" s="11" t="str">
        <f>CONCATENATE("          ", "6272", " - ", "CASH (OVER/SHORT)")</f>
        <v xml:space="preserve">          6272 - CASH (OVER/SHORT)</v>
      </c>
      <c r="C42" s="11"/>
      <c r="D42" s="8"/>
      <c r="E42" s="3"/>
      <c r="F42" s="7">
        <f t="shared" si="28"/>
        <v>0</v>
      </c>
      <c r="G42" s="3"/>
      <c r="H42" s="8">
        <v>0</v>
      </c>
      <c r="I42" s="3"/>
      <c r="J42" s="7">
        <f t="shared" si="29"/>
        <v>0</v>
      </c>
      <c r="K42" s="3"/>
      <c r="L42" s="8">
        <f t="shared" si="30"/>
        <v>0</v>
      </c>
      <c r="M42" s="3"/>
      <c r="N42" s="7">
        <f t="shared" si="31"/>
        <v>0</v>
      </c>
      <c r="O42" s="11"/>
      <c r="P42" s="8"/>
      <c r="Q42" s="3"/>
      <c r="R42" s="7">
        <f t="shared" si="32"/>
        <v>0</v>
      </c>
      <c r="S42" s="3"/>
      <c r="T42" s="8">
        <v>0</v>
      </c>
      <c r="U42" s="3"/>
      <c r="V42" s="7">
        <f t="shared" si="33"/>
        <v>0</v>
      </c>
      <c r="W42" s="3"/>
      <c r="X42" s="8">
        <f t="shared" si="34"/>
        <v>0</v>
      </c>
      <c r="Y42" s="3"/>
      <c r="Z42" s="7">
        <f t="shared" si="35"/>
        <v>0</v>
      </c>
    </row>
    <row r="43" spans="1:26" s="27" customFormat="1" outlineLevel="1" collapsed="1" x14ac:dyDescent="0.3">
      <c r="A43" s="28"/>
      <c r="B43" s="14" t="str">
        <f>CONCATENATE("     ","Bank/card Fees                                    ")</f>
        <v xml:space="preserve">     Bank/card Fees                                    </v>
      </c>
      <c r="C43" s="14"/>
      <c r="D43" s="1">
        <f>SUM(OSRRefD22_3x_0)</f>
        <v>0.34</v>
      </c>
      <c r="E43" s="1"/>
      <c r="F43" s="5">
        <f t="shared" si="28"/>
        <v>0</v>
      </c>
      <c r="G43" s="1"/>
      <c r="H43" s="1">
        <f>SUM(OSRRefH22_3x_0)</f>
        <v>0</v>
      </c>
      <c r="I43" s="1"/>
      <c r="J43" s="5">
        <f t="shared" si="29"/>
        <v>0</v>
      </c>
      <c r="K43" s="1"/>
      <c r="L43" s="1">
        <f t="shared" si="30"/>
        <v>0.34</v>
      </c>
      <c r="M43" s="1"/>
      <c r="N43" s="5">
        <f t="shared" si="31"/>
        <v>0</v>
      </c>
      <c r="O43" s="14"/>
      <c r="P43" s="1">
        <f>SUM(OSRRefP22_3x_0)</f>
        <v>0.34</v>
      </c>
      <c r="Q43" s="1"/>
      <c r="R43" s="5">
        <f t="shared" si="32"/>
        <v>0</v>
      </c>
      <c r="S43" s="1"/>
      <c r="T43" s="1">
        <f>SUM(OSRRefT22_3x_0)</f>
        <v>0</v>
      </c>
      <c r="U43" s="1"/>
      <c r="V43" s="5">
        <f t="shared" si="33"/>
        <v>0</v>
      </c>
      <c r="W43" s="1"/>
      <c r="X43" s="1">
        <f t="shared" si="34"/>
        <v>0.34</v>
      </c>
      <c r="Y43" s="1"/>
      <c r="Z43" s="5">
        <f t="shared" si="35"/>
        <v>0</v>
      </c>
    </row>
    <row r="44" spans="1:26" s="24" customFormat="1" hidden="1" outlineLevel="2" x14ac:dyDescent="0.3">
      <c r="A44" s="29"/>
      <c r="B44" s="11" t="str">
        <f>CONCATENATE("          ", "6381", " - ", "BANK/CREDIT CARD FEES")</f>
        <v xml:space="preserve">          6381 - BANK/CREDIT CARD FEES</v>
      </c>
      <c r="C44" s="11"/>
      <c r="D44" s="8">
        <v>0.34</v>
      </c>
      <c r="E44" s="3"/>
      <c r="F44" s="7">
        <f t="shared" si="28"/>
        <v>0</v>
      </c>
      <c r="G44" s="3"/>
      <c r="H44" s="8">
        <v>0</v>
      </c>
      <c r="I44" s="3"/>
      <c r="J44" s="7">
        <f t="shared" si="29"/>
        <v>0</v>
      </c>
      <c r="K44" s="3"/>
      <c r="L44" s="8">
        <f t="shared" si="30"/>
        <v>0.34</v>
      </c>
      <c r="M44" s="3"/>
      <c r="N44" s="7">
        <f t="shared" si="31"/>
        <v>0</v>
      </c>
      <c r="O44" s="11"/>
      <c r="P44" s="8">
        <v>0.34</v>
      </c>
      <c r="Q44" s="3"/>
      <c r="R44" s="7">
        <f t="shared" si="32"/>
        <v>0</v>
      </c>
      <c r="S44" s="3"/>
      <c r="T44" s="8">
        <v>0</v>
      </c>
      <c r="U44" s="3"/>
      <c r="V44" s="7">
        <f t="shared" si="33"/>
        <v>0</v>
      </c>
      <c r="W44" s="3"/>
      <c r="X44" s="8">
        <f t="shared" si="34"/>
        <v>0.34</v>
      </c>
      <c r="Y44" s="3"/>
      <c r="Z44" s="7">
        <f t="shared" si="35"/>
        <v>0</v>
      </c>
    </row>
    <row r="45" spans="1:26" s="27" customFormat="1" outlineLevel="1" collapsed="1" x14ac:dyDescent="0.3">
      <c r="A45" s="28"/>
      <c r="B45" s="14" t="str">
        <f>CONCATENATE("     ","Depreciation                                      ")</f>
        <v xml:space="preserve">     Depreciation                                      </v>
      </c>
      <c r="C45" s="14"/>
      <c r="D45" s="1">
        <f>SUM(OSRRefD22_4x_0)</f>
        <v>5471.21</v>
      </c>
      <c r="E45" s="1"/>
      <c r="F45" s="5">
        <f t="shared" si="28"/>
        <v>0</v>
      </c>
      <c r="G45" s="1"/>
      <c r="H45" s="1">
        <f>SUM(OSRRefH22_4x_0)</f>
        <v>5471</v>
      </c>
      <c r="I45" s="1"/>
      <c r="J45" s="5">
        <f t="shared" si="29"/>
        <v>0</v>
      </c>
      <c r="K45" s="1"/>
      <c r="L45" s="1">
        <f t="shared" si="30"/>
        <v>0.21000000000003638</v>
      </c>
      <c r="M45" s="1"/>
      <c r="N45" s="5">
        <f t="shared" si="31"/>
        <v>3.8384207640291792E-5</v>
      </c>
      <c r="O45" s="14"/>
      <c r="P45" s="1">
        <f>SUM(OSRRefP22_4x_0)</f>
        <v>5471.21</v>
      </c>
      <c r="Q45" s="1"/>
      <c r="R45" s="5">
        <f t="shared" si="32"/>
        <v>0</v>
      </c>
      <c r="S45" s="1"/>
      <c r="T45" s="1">
        <f>SUM(OSRRefT22_4x_0)</f>
        <v>5471</v>
      </c>
      <c r="U45" s="1"/>
      <c r="V45" s="5">
        <f t="shared" si="33"/>
        <v>0</v>
      </c>
      <c r="W45" s="1"/>
      <c r="X45" s="1">
        <f t="shared" si="34"/>
        <v>0.21000000000003638</v>
      </c>
      <c r="Y45" s="1"/>
      <c r="Z45" s="5">
        <f t="shared" si="35"/>
        <v>3.8384207640291792E-5</v>
      </c>
    </row>
    <row r="46" spans="1:26" s="24" customFormat="1" hidden="1" outlineLevel="2" x14ac:dyDescent="0.3">
      <c r="A46" s="29"/>
      <c r="B46" s="11" t="str">
        <f>CONCATENATE("          ", "6321", " - ", "BUILDING DEPRECIATION")</f>
        <v xml:space="preserve">          6321 - BUILDING DEPRECIATION</v>
      </c>
      <c r="C46" s="11"/>
      <c r="D46" s="8">
        <v>5080.51</v>
      </c>
      <c r="E46" s="3"/>
      <c r="F46" s="7">
        <f t="shared" si="28"/>
        <v>0</v>
      </c>
      <c r="G46" s="3"/>
      <c r="H46" s="8"/>
      <c r="I46" s="3"/>
      <c r="J46" s="7">
        <f t="shared" si="29"/>
        <v>0</v>
      </c>
      <c r="K46" s="3"/>
      <c r="L46" s="8">
        <f t="shared" si="30"/>
        <v>5080.51</v>
      </c>
      <c r="M46" s="3"/>
      <c r="N46" s="7">
        <f t="shared" si="31"/>
        <v>0</v>
      </c>
      <c r="O46" s="11"/>
      <c r="P46" s="8">
        <v>5080.51</v>
      </c>
      <c r="Q46" s="3"/>
      <c r="R46" s="7">
        <f t="shared" si="32"/>
        <v>0</v>
      </c>
      <c r="S46" s="3"/>
      <c r="T46" s="8"/>
      <c r="U46" s="3"/>
      <c r="V46" s="7">
        <f t="shared" si="33"/>
        <v>0</v>
      </c>
      <c r="W46" s="3"/>
      <c r="X46" s="8">
        <f t="shared" si="34"/>
        <v>5080.51</v>
      </c>
      <c r="Y46" s="3"/>
      <c r="Z46" s="7">
        <f t="shared" si="35"/>
        <v>0</v>
      </c>
    </row>
    <row r="47" spans="1:26" s="24" customFormat="1" hidden="1" outlineLevel="2" x14ac:dyDescent="0.3">
      <c r="A47" s="29"/>
      <c r="B47" s="11" t="str">
        <f>CONCATENATE("          ", "6322", " - ", "EQUIPMENT DEPRECIATION EXPENSE")</f>
        <v xml:space="preserve">          6322 - EQUIPMENT DEPRECIATION EXPENSE</v>
      </c>
      <c r="C47" s="11"/>
      <c r="D47" s="8">
        <v>390.7</v>
      </c>
      <c r="E47" s="3"/>
      <c r="F47" s="7">
        <f t="shared" si="28"/>
        <v>0</v>
      </c>
      <c r="G47" s="3"/>
      <c r="H47" s="8">
        <v>5471</v>
      </c>
      <c r="I47" s="3"/>
      <c r="J47" s="7">
        <f t="shared" si="29"/>
        <v>0</v>
      </c>
      <c r="K47" s="3"/>
      <c r="L47" s="8">
        <f t="shared" si="30"/>
        <v>-5080.3</v>
      </c>
      <c r="M47" s="3"/>
      <c r="N47" s="7">
        <f t="shared" si="31"/>
        <v>-0.92858709559495523</v>
      </c>
      <c r="O47" s="11"/>
      <c r="P47" s="8">
        <v>390.7</v>
      </c>
      <c r="Q47" s="3"/>
      <c r="R47" s="7">
        <f t="shared" si="32"/>
        <v>0</v>
      </c>
      <c r="S47" s="3"/>
      <c r="T47" s="8">
        <v>5471</v>
      </c>
      <c r="U47" s="3"/>
      <c r="V47" s="7">
        <f t="shared" si="33"/>
        <v>0</v>
      </c>
      <c r="W47" s="3"/>
      <c r="X47" s="8">
        <f t="shared" si="34"/>
        <v>-5080.3</v>
      </c>
      <c r="Y47" s="3"/>
      <c r="Z47" s="7">
        <f t="shared" si="35"/>
        <v>-0.92858709559495523</v>
      </c>
    </row>
    <row r="48" spans="1:26" s="27" customFormat="1" outlineLevel="1" collapsed="1" x14ac:dyDescent="0.3">
      <c r="A48" s="28"/>
      <c r="B48" s="14" t="str">
        <f>CONCATENATE("     ","Equipment Rental                                  ")</f>
        <v xml:space="preserve">     Equipment Rental                                  </v>
      </c>
      <c r="C48" s="14"/>
      <c r="D48" s="1">
        <f>SUM(OSRRefD22_5x_0)</f>
        <v>0</v>
      </c>
      <c r="E48" s="1"/>
      <c r="F48" s="5">
        <f t="shared" ref="F48:F56" si="36">IF(D$12=0,0,D48/D$12)</f>
        <v>0</v>
      </c>
      <c r="G48" s="1"/>
      <c r="H48" s="1">
        <f>SUM(OSRRefH22_5x_0)</f>
        <v>176</v>
      </c>
      <c r="I48" s="1"/>
      <c r="J48" s="5">
        <f t="shared" ref="J48:J56" si="37">IF(H$12=0,0,H48/H$12)</f>
        <v>0</v>
      </c>
      <c r="K48" s="1"/>
      <c r="L48" s="1">
        <f t="shared" ref="L48:L56" si="38">+D48-H48</f>
        <v>-176</v>
      </c>
      <c r="M48" s="1"/>
      <c r="N48" s="5">
        <f t="shared" ref="N48:N56" si="39">IF(H48=0,0,L48/H48)</f>
        <v>-1</v>
      </c>
      <c r="O48" s="14"/>
      <c r="P48" s="1">
        <f>SUM(OSRRefP22_5x_0)</f>
        <v>0</v>
      </c>
      <c r="Q48" s="1"/>
      <c r="R48" s="5">
        <f t="shared" ref="R48:R56" si="40">IF(P$12=0,0,P48/P$12)</f>
        <v>0</v>
      </c>
      <c r="S48" s="1"/>
      <c r="T48" s="1">
        <f>SUM(OSRRefT22_5x_0)</f>
        <v>176</v>
      </c>
      <c r="U48" s="1"/>
      <c r="V48" s="5">
        <f t="shared" ref="V48:V56" si="41">IF(T$12=0,0,T48/T$12)</f>
        <v>0</v>
      </c>
      <c r="W48" s="1"/>
      <c r="X48" s="1">
        <f t="shared" ref="X48:X56" si="42">+P48-T48</f>
        <v>-176</v>
      </c>
      <c r="Y48" s="1"/>
      <c r="Z48" s="5">
        <f t="shared" ref="Z48:Z56" si="43">IF(T48=0,0,X48/T48)</f>
        <v>-1</v>
      </c>
    </row>
    <row r="49" spans="1:26" s="24" customFormat="1" hidden="1" outlineLevel="2" x14ac:dyDescent="0.3">
      <c r="A49" s="29"/>
      <c r="B49" s="11" t="str">
        <f>CONCATENATE("          ", "6351", " - ", "EQUIPMENT RENTAL")</f>
        <v xml:space="preserve">          6351 - EQUIPMENT RENTAL</v>
      </c>
      <c r="C49" s="11"/>
      <c r="D49" s="8"/>
      <c r="E49" s="3"/>
      <c r="F49" s="7">
        <f t="shared" si="36"/>
        <v>0</v>
      </c>
      <c r="G49" s="3"/>
      <c r="H49" s="8">
        <v>176</v>
      </c>
      <c r="I49" s="3"/>
      <c r="J49" s="7">
        <f t="shared" si="37"/>
        <v>0</v>
      </c>
      <c r="K49" s="3"/>
      <c r="L49" s="8">
        <f t="shared" si="38"/>
        <v>-176</v>
      </c>
      <c r="M49" s="3"/>
      <c r="N49" s="7">
        <f t="shared" si="39"/>
        <v>-1</v>
      </c>
      <c r="O49" s="11"/>
      <c r="P49" s="8"/>
      <c r="Q49" s="3"/>
      <c r="R49" s="7">
        <f t="shared" si="40"/>
        <v>0</v>
      </c>
      <c r="S49" s="3"/>
      <c r="T49" s="8">
        <v>176</v>
      </c>
      <c r="U49" s="3"/>
      <c r="V49" s="7">
        <f t="shared" si="41"/>
        <v>0</v>
      </c>
      <c r="W49" s="3"/>
      <c r="X49" s="8">
        <f t="shared" si="42"/>
        <v>-176</v>
      </c>
      <c r="Y49" s="3"/>
      <c r="Z49" s="7">
        <f t="shared" si="43"/>
        <v>-1</v>
      </c>
    </row>
    <row r="50" spans="1:26" s="27" customFormat="1" outlineLevel="1" collapsed="1" x14ac:dyDescent="0.3">
      <c r="A50" s="28"/>
      <c r="B50" s="14" t="str">
        <f>CONCATENATE("     ","Insurance                                         ")</f>
        <v xml:space="preserve">     Insurance                                         </v>
      </c>
      <c r="C50" s="14"/>
      <c r="D50" s="1">
        <f>SUM(OSRRefD22_6x_0)</f>
        <v>331.01</v>
      </c>
      <c r="E50" s="1"/>
      <c r="F50" s="5">
        <f t="shared" si="36"/>
        <v>0</v>
      </c>
      <c r="G50" s="1"/>
      <c r="H50" s="1">
        <f>SUM(OSRRefH22_6x_0)</f>
        <v>330</v>
      </c>
      <c r="I50" s="1"/>
      <c r="J50" s="5">
        <f t="shared" si="37"/>
        <v>0</v>
      </c>
      <c r="K50" s="1"/>
      <c r="L50" s="1">
        <f t="shared" si="38"/>
        <v>1.0099999999999909</v>
      </c>
      <c r="M50" s="1"/>
      <c r="N50" s="5">
        <f t="shared" si="39"/>
        <v>3.0606060606060332E-3</v>
      </c>
      <c r="O50" s="14"/>
      <c r="P50" s="1">
        <f>SUM(OSRRefP22_6x_0)</f>
        <v>331.01</v>
      </c>
      <c r="Q50" s="1"/>
      <c r="R50" s="5">
        <f t="shared" si="40"/>
        <v>0</v>
      </c>
      <c r="S50" s="1"/>
      <c r="T50" s="1">
        <f>SUM(OSRRefT22_6x_0)</f>
        <v>330</v>
      </c>
      <c r="U50" s="1"/>
      <c r="V50" s="5">
        <f t="shared" si="41"/>
        <v>0</v>
      </c>
      <c r="W50" s="1"/>
      <c r="X50" s="1">
        <f t="shared" si="42"/>
        <v>1.0099999999999909</v>
      </c>
      <c r="Y50" s="1"/>
      <c r="Z50" s="5">
        <f t="shared" si="43"/>
        <v>3.0606060606060332E-3</v>
      </c>
    </row>
    <row r="51" spans="1:26" s="24" customFormat="1" hidden="1" outlineLevel="2" x14ac:dyDescent="0.3">
      <c r="A51" s="29"/>
      <c r="B51" s="11" t="str">
        <f>CONCATENATE("          ", "6314", " - ", "LIABILITY INSURANCE")</f>
        <v xml:space="preserve">          6314 - LIABILITY INSURANCE</v>
      </c>
      <c r="C51" s="11"/>
      <c r="D51" s="8">
        <v>331.01</v>
      </c>
      <c r="E51" s="3"/>
      <c r="F51" s="7">
        <f t="shared" si="36"/>
        <v>0</v>
      </c>
      <c r="G51" s="3"/>
      <c r="H51" s="8">
        <v>330</v>
      </c>
      <c r="I51" s="3"/>
      <c r="J51" s="7">
        <f t="shared" si="37"/>
        <v>0</v>
      </c>
      <c r="K51" s="3"/>
      <c r="L51" s="8">
        <f t="shared" si="38"/>
        <v>1.0099999999999909</v>
      </c>
      <c r="M51" s="3"/>
      <c r="N51" s="7">
        <f t="shared" si="39"/>
        <v>3.0606060606060332E-3</v>
      </c>
      <c r="O51" s="11"/>
      <c r="P51" s="8">
        <v>331.01</v>
      </c>
      <c r="Q51" s="3"/>
      <c r="R51" s="7">
        <f t="shared" si="40"/>
        <v>0</v>
      </c>
      <c r="S51" s="3"/>
      <c r="T51" s="8">
        <v>330</v>
      </c>
      <c r="U51" s="3"/>
      <c r="V51" s="7">
        <f t="shared" si="41"/>
        <v>0</v>
      </c>
      <c r="W51" s="3"/>
      <c r="X51" s="8">
        <f t="shared" si="42"/>
        <v>1.0099999999999909</v>
      </c>
      <c r="Y51" s="3"/>
      <c r="Z51" s="7">
        <f t="shared" si="43"/>
        <v>3.0606060606060332E-3</v>
      </c>
    </row>
    <row r="52" spans="1:26" s="27" customFormat="1" outlineLevel="1" collapsed="1" x14ac:dyDescent="0.3">
      <c r="A52" s="28"/>
      <c r="B52" s="14" t="str">
        <f>CONCATENATE("     ","Interest                                          ")</f>
        <v xml:space="preserve">     Interest                                          </v>
      </c>
      <c r="C52" s="14"/>
      <c r="D52" s="1">
        <f>SUM(OSRRefD22_7x_0)</f>
        <v>3905</v>
      </c>
      <c r="E52" s="1"/>
      <c r="F52" s="5">
        <f t="shared" si="36"/>
        <v>0</v>
      </c>
      <c r="G52" s="1"/>
      <c r="H52" s="1">
        <f>SUM(OSRRefH22_7x_0)</f>
        <v>3905</v>
      </c>
      <c r="I52" s="1"/>
      <c r="J52" s="5">
        <f t="shared" si="37"/>
        <v>0</v>
      </c>
      <c r="K52" s="1"/>
      <c r="L52" s="1">
        <f t="shared" si="38"/>
        <v>0</v>
      </c>
      <c r="M52" s="1"/>
      <c r="N52" s="5">
        <f t="shared" si="39"/>
        <v>0</v>
      </c>
      <c r="O52" s="14"/>
      <c r="P52" s="1">
        <f>SUM(OSRRefP22_7x_0)</f>
        <v>3905</v>
      </c>
      <c r="Q52" s="1"/>
      <c r="R52" s="5">
        <f t="shared" si="40"/>
        <v>0</v>
      </c>
      <c r="S52" s="1"/>
      <c r="T52" s="1">
        <f>SUM(OSRRefT22_7x_0)</f>
        <v>3905</v>
      </c>
      <c r="U52" s="1"/>
      <c r="V52" s="5">
        <f t="shared" si="41"/>
        <v>0</v>
      </c>
      <c r="W52" s="1"/>
      <c r="X52" s="1">
        <f t="shared" si="42"/>
        <v>0</v>
      </c>
      <c r="Y52" s="1"/>
      <c r="Z52" s="5">
        <f t="shared" si="43"/>
        <v>0</v>
      </c>
    </row>
    <row r="53" spans="1:26" s="24" customFormat="1" hidden="1" outlineLevel="2" x14ac:dyDescent="0.3">
      <c r="A53" s="29"/>
      <c r="B53" s="11" t="str">
        <f>CONCATENATE("          ", "6401", " - ", "INTEREST EXPENSE")</f>
        <v xml:space="preserve">          6401 - INTEREST EXPENSE</v>
      </c>
      <c r="C53" s="11"/>
      <c r="D53" s="8">
        <v>3905</v>
      </c>
      <c r="E53" s="3"/>
      <c r="F53" s="7">
        <f t="shared" si="36"/>
        <v>0</v>
      </c>
      <c r="G53" s="3"/>
      <c r="H53" s="8">
        <v>3905</v>
      </c>
      <c r="I53" s="3"/>
      <c r="J53" s="7">
        <f t="shared" si="37"/>
        <v>0</v>
      </c>
      <c r="K53" s="3"/>
      <c r="L53" s="8">
        <f t="shared" si="38"/>
        <v>0</v>
      </c>
      <c r="M53" s="3"/>
      <c r="N53" s="7">
        <f t="shared" si="39"/>
        <v>0</v>
      </c>
      <c r="O53" s="11"/>
      <c r="P53" s="8">
        <v>3905</v>
      </c>
      <c r="Q53" s="3"/>
      <c r="R53" s="7">
        <f t="shared" si="40"/>
        <v>0</v>
      </c>
      <c r="S53" s="3"/>
      <c r="T53" s="8">
        <v>3905</v>
      </c>
      <c r="U53" s="3"/>
      <c r="V53" s="7">
        <f t="shared" si="41"/>
        <v>0</v>
      </c>
      <c r="W53" s="3"/>
      <c r="X53" s="8">
        <f t="shared" si="42"/>
        <v>0</v>
      </c>
      <c r="Y53" s="3"/>
      <c r="Z53" s="7">
        <f t="shared" si="43"/>
        <v>0</v>
      </c>
    </row>
    <row r="54" spans="1:26" s="27" customFormat="1" outlineLevel="1" collapsed="1" x14ac:dyDescent="0.3">
      <c r="A54" s="28"/>
      <c r="B54" s="14" t="str">
        <f>CONCATENATE("     ","Repair and Maintenance                            ")</f>
        <v xml:space="preserve">     Repair and Maintenance                            </v>
      </c>
      <c r="C54" s="14"/>
      <c r="D54" s="1">
        <f>SUM(OSRRefD22_8x_0)</f>
        <v>0</v>
      </c>
      <c r="E54" s="1"/>
      <c r="F54" s="5">
        <f t="shared" si="36"/>
        <v>0</v>
      </c>
      <c r="G54" s="1"/>
      <c r="H54" s="1">
        <f>SUM(OSRRefH22_8x_0)</f>
        <v>1197</v>
      </c>
      <c r="I54" s="1"/>
      <c r="J54" s="5">
        <f t="shared" si="37"/>
        <v>0</v>
      </c>
      <c r="K54" s="1"/>
      <c r="L54" s="1">
        <f t="shared" si="38"/>
        <v>-1197</v>
      </c>
      <c r="M54" s="1"/>
      <c r="N54" s="5">
        <f t="shared" si="39"/>
        <v>-1</v>
      </c>
      <c r="O54" s="14"/>
      <c r="P54" s="1">
        <f>SUM(OSRRefP22_8x_0)</f>
        <v>0</v>
      </c>
      <c r="Q54" s="1"/>
      <c r="R54" s="5">
        <f t="shared" si="40"/>
        <v>0</v>
      </c>
      <c r="S54" s="1"/>
      <c r="T54" s="1">
        <f>SUM(OSRRefT22_8x_0)</f>
        <v>1197</v>
      </c>
      <c r="U54" s="1"/>
      <c r="V54" s="5">
        <f t="shared" si="41"/>
        <v>0</v>
      </c>
      <c r="W54" s="1"/>
      <c r="X54" s="1">
        <f t="shared" si="42"/>
        <v>-1197</v>
      </c>
      <c r="Y54" s="1"/>
      <c r="Z54" s="5">
        <f t="shared" si="43"/>
        <v>-1</v>
      </c>
    </row>
    <row r="55" spans="1:26" s="24" customFormat="1" hidden="1" outlineLevel="2" x14ac:dyDescent="0.3">
      <c r="A55" s="29"/>
      <c r="B55" s="11" t="str">
        <f>CONCATENATE("          ", "6373", " - ", "MAINTENANCE CONTRACTS")</f>
        <v xml:space="preserve">          6373 - MAINTENANCE CONTRACTS</v>
      </c>
      <c r="C55" s="11"/>
      <c r="D55" s="8"/>
      <c r="E55" s="3"/>
      <c r="F55" s="7">
        <f t="shared" si="36"/>
        <v>0</v>
      </c>
      <c r="G55" s="3"/>
      <c r="H55" s="8">
        <v>260</v>
      </c>
      <c r="I55" s="3"/>
      <c r="J55" s="7">
        <f t="shared" si="37"/>
        <v>0</v>
      </c>
      <c r="K55" s="3"/>
      <c r="L55" s="8">
        <f t="shared" si="38"/>
        <v>-260</v>
      </c>
      <c r="M55" s="3"/>
      <c r="N55" s="7">
        <f t="shared" si="39"/>
        <v>-1</v>
      </c>
      <c r="O55" s="11"/>
      <c r="P55" s="8"/>
      <c r="Q55" s="3"/>
      <c r="R55" s="7">
        <f t="shared" si="40"/>
        <v>0</v>
      </c>
      <c r="S55" s="3"/>
      <c r="T55" s="8">
        <v>260</v>
      </c>
      <c r="U55" s="3"/>
      <c r="V55" s="7">
        <f t="shared" si="41"/>
        <v>0</v>
      </c>
      <c r="W55" s="3"/>
      <c r="X55" s="8">
        <f t="shared" si="42"/>
        <v>-260</v>
      </c>
      <c r="Y55" s="3"/>
      <c r="Z55" s="7">
        <f t="shared" si="43"/>
        <v>-1</v>
      </c>
    </row>
    <row r="56" spans="1:26" s="24" customFormat="1" hidden="1" outlineLevel="2" x14ac:dyDescent="0.3">
      <c r="A56" s="29"/>
      <c r="B56" s="11" t="str">
        <f>CONCATENATE("          ", "6375", " - ", "OUTSIDE REPAIRS &amp; MAINTENANCE")</f>
        <v xml:space="preserve">          6375 - OUTSIDE REPAIRS &amp; MAINTENANCE</v>
      </c>
      <c r="C56" s="11"/>
      <c r="D56" s="8"/>
      <c r="E56" s="3"/>
      <c r="F56" s="7">
        <f t="shared" si="36"/>
        <v>0</v>
      </c>
      <c r="G56" s="3"/>
      <c r="H56" s="8">
        <v>937</v>
      </c>
      <c r="I56" s="3"/>
      <c r="J56" s="7">
        <f t="shared" si="37"/>
        <v>0</v>
      </c>
      <c r="K56" s="3"/>
      <c r="L56" s="8">
        <f t="shared" si="38"/>
        <v>-937</v>
      </c>
      <c r="M56" s="3"/>
      <c r="N56" s="7">
        <f t="shared" si="39"/>
        <v>-1</v>
      </c>
      <c r="O56" s="11"/>
      <c r="P56" s="8"/>
      <c r="Q56" s="3"/>
      <c r="R56" s="7">
        <f t="shared" si="40"/>
        <v>0</v>
      </c>
      <c r="S56" s="3"/>
      <c r="T56" s="8">
        <v>937</v>
      </c>
      <c r="U56" s="3"/>
      <c r="V56" s="7">
        <f t="shared" si="41"/>
        <v>0</v>
      </c>
      <c r="W56" s="3"/>
      <c r="X56" s="8">
        <f t="shared" si="42"/>
        <v>-937</v>
      </c>
      <c r="Y56" s="3"/>
      <c r="Z56" s="7">
        <f t="shared" si="43"/>
        <v>-1</v>
      </c>
    </row>
    <row r="57" spans="1:26" s="27" customFormat="1" outlineLevel="1" collapsed="1" x14ac:dyDescent="0.3">
      <c r="A57" s="28"/>
      <c r="B57" s="14" t="str">
        <f>CONCATENATE("     ","Supplies                                          ")</f>
        <v xml:space="preserve">     Supplies                                          </v>
      </c>
      <c r="C57" s="14"/>
      <c r="D57" s="1">
        <f>SUM(OSRRefD22_9x_0)</f>
        <v>107.74</v>
      </c>
      <c r="E57" s="1"/>
      <c r="F57" s="5">
        <f t="shared" ref="F57:F62" si="44">IF(D$12=0,0,D57/D$12)</f>
        <v>0</v>
      </c>
      <c r="G57" s="1"/>
      <c r="H57" s="1">
        <f>SUM(OSRRefH22_9x_0)</f>
        <v>0</v>
      </c>
      <c r="I57" s="1"/>
      <c r="J57" s="5">
        <f t="shared" ref="J57:J62" si="45">IF(H$12=0,0,H57/H$12)</f>
        <v>0</v>
      </c>
      <c r="K57" s="1"/>
      <c r="L57" s="1">
        <f t="shared" ref="L57:L62" si="46">+D57-H57</f>
        <v>107.74</v>
      </c>
      <c r="M57" s="1"/>
      <c r="N57" s="5">
        <f t="shared" ref="N57:N62" si="47">IF(H57=0,0,L57/H57)</f>
        <v>0</v>
      </c>
      <c r="O57" s="14"/>
      <c r="P57" s="1">
        <f>SUM(OSRRefP22_9x_0)</f>
        <v>107.74</v>
      </c>
      <c r="Q57" s="1"/>
      <c r="R57" s="5">
        <f t="shared" ref="R57:R62" si="48">IF(P$12=0,0,P57/P$12)</f>
        <v>0</v>
      </c>
      <c r="S57" s="1"/>
      <c r="T57" s="1">
        <f>SUM(OSRRefT22_9x_0)</f>
        <v>0</v>
      </c>
      <c r="U57" s="1"/>
      <c r="V57" s="5">
        <f t="shared" ref="V57:V62" si="49">IF(T$12=0,0,T57/T$12)</f>
        <v>0</v>
      </c>
      <c r="W57" s="1"/>
      <c r="X57" s="1">
        <f t="shared" ref="X57:X62" si="50">+P57-T57</f>
        <v>107.74</v>
      </c>
      <c r="Y57" s="1"/>
      <c r="Z57" s="5">
        <f t="shared" ref="Z57:Z62" si="51">IF(T57=0,0,X57/T57)</f>
        <v>0</v>
      </c>
    </row>
    <row r="58" spans="1:26" s="24" customFormat="1" hidden="1" outlineLevel="2" x14ac:dyDescent="0.3">
      <c r="A58" s="29"/>
      <c r="B58" s="11" t="str">
        <f>CONCATENATE("          ", "6234", " - ", "EXPENDABLE SUPPLIES &amp; EQUIPMEN")</f>
        <v xml:space="preserve">          6234 - EXPENDABLE SUPPLIES &amp; EQUIPMEN</v>
      </c>
      <c r="C58" s="11"/>
      <c r="D58" s="8"/>
      <c r="E58" s="3"/>
      <c r="F58" s="7">
        <f t="shared" si="44"/>
        <v>0</v>
      </c>
      <c r="G58" s="3"/>
      <c r="H58" s="8">
        <v>0</v>
      </c>
      <c r="I58" s="3"/>
      <c r="J58" s="7">
        <f t="shared" si="45"/>
        <v>0</v>
      </c>
      <c r="K58" s="3"/>
      <c r="L58" s="8">
        <f t="shared" si="46"/>
        <v>0</v>
      </c>
      <c r="M58" s="3"/>
      <c r="N58" s="7">
        <f t="shared" si="47"/>
        <v>0</v>
      </c>
      <c r="O58" s="11"/>
      <c r="P58" s="8"/>
      <c r="Q58" s="3"/>
      <c r="R58" s="7">
        <f t="shared" si="48"/>
        <v>0</v>
      </c>
      <c r="S58" s="3"/>
      <c r="T58" s="8">
        <v>0</v>
      </c>
      <c r="U58" s="3"/>
      <c r="V58" s="7">
        <f t="shared" si="49"/>
        <v>0</v>
      </c>
      <c r="W58" s="3"/>
      <c r="X58" s="8">
        <f t="shared" si="50"/>
        <v>0</v>
      </c>
      <c r="Y58" s="3"/>
      <c r="Z58" s="7">
        <f t="shared" si="51"/>
        <v>0</v>
      </c>
    </row>
    <row r="59" spans="1:26" s="24" customFormat="1" hidden="1" outlineLevel="2" x14ac:dyDescent="0.3">
      <c r="A59" s="29"/>
      <c r="B59" s="11" t="str">
        <f>CONCATENATE("          ", "6237", " - ", "JANITORIAL SUPPLIES")</f>
        <v xml:space="preserve">          6237 - JANITORIAL SUPPLIES</v>
      </c>
      <c r="C59" s="11"/>
      <c r="D59" s="8"/>
      <c r="E59" s="3"/>
      <c r="F59" s="7">
        <f t="shared" si="44"/>
        <v>0</v>
      </c>
      <c r="G59" s="3"/>
      <c r="H59" s="8">
        <v>0</v>
      </c>
      <c r="I59" s="3"/>
      <c r="J59" s="7">
        <f t="shared" si="45"/>
        <v>0</v>
      </c>
      <c r="K59" s="3"/>
      <c r="L59" s="8">
        <f t="shared" si="46"/>
        <v>0</v>
      </c>
      <c r="M59" s="3"/>
      <c r="N59" s="7">
        <f t="shared" si="47"/>
        <v>0</v>
      </c>
      <c r="O59" s="11"/>
      <c r="P59" s="8"/>
      <c r="Q59" s="3"/>
      <c r="R59" s="7">
        <f t="shared" si="48"/>
        <v>0</v>
      </c>
      <c r="S59" s="3"/>
      <c r="T59" s="8">
        <v>0</v>
      </c>
      <c r="U59" s="3"/>
      <c r="V59" s="7">
        <f t="shared" si="49"/>
        <v>0</v>
      </c>
      <c r="W59" s="3"/>
      <c r="X59" s="8">
        <f t="shared" si="50"/>
        <v>0</v>
      </c>
      <c r="Y59" s="3"/>
      <c r="Z59" s="7">
        <f t="shared" si="51"/>
        <v>0</v>
      </c>
    </row>
    <row r="60" spans="1:26" s="24" customFormat="1" hidden="1" outlineLevel="2" x14ac:dyDescent="0.3">
      <c r="A60" s="29"/>
      <c r="B60" s="11" t="str">
        <f>CONCATENATE("          ", "6241", " - ", "OFFICE EXPENSE")</f>
        <v xml:space="preserve">          6241 - OFFICE EXPENSE</v>
      </c>
      <c r="C60" s="11"/>
      <c r="D60" s="8">
        <v>107.74</v>
      </c>
      <c r="E60" s="3"/>
      <c r="F60" s="7">
        <f t="shared" si="44"/>
        <v>0</v>
      </c>
      <c r="G60" s="3"/>
      <c r="H60" s="8"/>
      <c r="I60" s="3"/>
      <c r="J60" s="7">
        <f t="shared" si="45"/>
        <v>0</v>
      </c>
      <c r="K60" s="3"/>
      <c r="L60" s="8">
        <f t="shared" si="46"/>
        <v>107.74</v>
      </c>
      <c r="M60" s="3"/>
      <c r="N60" s="7">
        <f t="shared" si="47"/>
        <v>0</v>
      </c>
      <c r="O60" s="11"/>
      <c r="P60" s="8">
        <v>107.74</v>
      </c>
      <c r="Q60" s="3"/>
      <c r="R60" s="7">
        <f t="shared" si="48"/>
        <v>0</v>
      </c>
      <c r="S60" s="3"/>
      <c r="T60" s="8"/>
      <c r="U60" s="3"/>
      <c r="V60" s="7">
        <f t="shared" si="49"/>
        <v>0</v>
      </c>
      <c r="W60" s="3"/>
      <c r="X60" s="8">
        <f t="shared" si="50"/>
        <v>107.74</v>
      </c>
      <c r="Y60" s="3"/>
      <c r="Z60" s="7">
        <f t="shared" si="51"/>
        <v>0</v>
      </c>
    </row>
    <row r="61" spans="1:26" s="24" customFormat="1" hidden="1" outlineLevel="2" x14ac:dyDescent="0.3">
      <c r="A61" s="29"/>
      <c r="B61" s="11" t="str">
        <f>CONCATENATE("          ", "6243", " - ", "PAPER SUPPLIES")</f>
        <v xml:space="preserve">          6243 - PAPER SUPPLIES</v>
      </c>
      <c r="C61" s="11"/>
      <c r="D61" s="8"/>
      <c r="E61" s="3"/>
      <c r="F61" s="7">
        <f t="shared" si="44"/>
        <v>0</v>
      </c>
      <c r="G61" s="3"/>
      <c r="H61" s="8">
        <v>0</v>
      </c>
      <c r="I61" s="3"/>
      <c r="J61" s="7">
        <f t="shared" si="45"/>
        <v>0</v>
      </c>
      <c r="K61" s="3"/>
      <c r="L61" s="8">
        <f t="shared" si="46"/>
        <v>0</v>
      </c>
      <c r="M61" s="3"/>
      <c r="N61" s="7">
        <f t="shared" si="47"/>
        <v>0</v>
      </c>
      <c r="O61" s="11"/>
      <c r="P61" s="8"/>
      <c r="Q61" s="3"/>
      <c r="R61" s="7">
        <f t="shared" si="48"/>
        <v>0</v>
      </c>
      <c r="S61" s="3"/>
      <c r="T61" s="8">
        <v>0</v>
      </c>
      <c r="U61" s="3"/>
      <c r="V61" s="7">
        <f t="shared" si="49"/>
        <v>0</v>
      </c>
      <c r="W61" s="3"/>
      <c r="X61" s="8">
        <f t="shared" si="50"/>
        <v>0</v>
      </c>
      <c r="Y61" s="3"/>
      <c r="Z61" s="7">
        <f t="shared" si="51"/>
        <v>0</v>
      </c>
    </row>
    <row r="62" spans="1:26" s="24" customFormat="1" hidden="1" outlineLevel="2" x14ac:dyDescent="0.3">
      <c r="A62" s="29"/>
      <c r="B62" s="11" t="str">
        <f>CONCATENATE("          ", "6247", " - ", "STORE SUPPLIES")</f>
        <v xml:space="preserve">          6247 - STORE SUPPLIES</v>
      </c>
      <c r="C62" s="11"/>
      <c r="D62" s="8"/>
      <c r="E62" s="3"/>
      <c r="F62" s="7">
        <f t="shared" si="44"/>
        <v>0</v>
      </c>
      <c r="G62" s="3"/>
      <c r="H62" s="8">
        <v>0</v>
      </c>
      <c r="I62" s="3"/>
      <c r="J62" s="7">
        <f t="shared" si="45"/>
        <v>0</v>
      </c>
      <c r="K62" s="3"/>
      <c r="L62" s="8">
        <f t="shared" si="46"/>
        <v>0</v>
      </c>
      <c r="M62" s="3"/>
      <c r="N62" s="7">
        <f t="shared" si="47"/>
        <v>0</v>
      </c>
      <c r="O62" s="11"/>
      <c r="P62" s="8"/>
      <c r="Q62" s="3"/>
      <c r="R62" s="7">
        <f t="shared" si="48"/>
        <v>0</v>
      </c>
      <c r="S62" s="3"/>
      <c r="T62" s="8">
        <v>0</v>
      </c>
      <c r="U62" s="3"/>
      <c r="V62" s="7">
        <f t="shared" si="49"/>
        <v>0</v>
      </c>
      <c r="W62" s="3"/>
      <c r="X62" s="8">
        <f t="shared" si="50"/>
        <v>0</v>
      </c>
      <c r="Y62" s="3"/>
      <c r="Z62" s="7">
        <f t="shared" si="51"/>
        <v>0</v>
      </c>
    </row>
    <row r="63" spans="1:26" s="27" customFormat="1" outlineLevel="1" collapsed="1" x14ac:dyDescent="0.3">
      <c r="A63" s="28"/>
      <c r="B63" s="14" t="str">
        <f>CONCATENATE("     ","Telephone/Data Lines                              ")</f>
        <v xml:space="preserve">     Telephone/Data Lines                              </v>
      </c>
      <c r="C63" s="14"/>
      <c r="D63" s="1">
        <f>SUM(OSRRefD22_10x_0)</f>
        <v>107</v>
      </c>
      <c r="E63" s="1"/>
      <c r="F63" s="5">
        <f t="shared" ref="F63:F65" si="52">IF(D$12=0,0,D63/D$12)</f>
        <v>0</v>
      </c>
      <c r="G63" s="1"/>
      <c r="H63" s="1">
        <f>SUM(OSRRefH22_10x_0)</f>
        <v>125</v>
      </c>
      <c r="I63" s="1"/>
      <c r="J63" s="5">
        <f t="shared" ref="J63:J65" si="53">IF(H$12=0,0,H63/H$12)</f>
        <v>0</v>
      </c>
      <c r="K63" s="1"/>
      <c r="L63" s="1">
        <f t="shared" ref="L63:L65" si="54">+D63-H63</f>
        <v>-18</v>
      </c>
      <c r="M63" s="1"/>
      <c r="N63" s="5">
        <f t="shared" ref="N63:N65" si="55">IF(H63=0,0,L63/H63)</f>
        <v>-0.14399999999999999</v>
      </c>
      <c r="O63" s="14"/>
      <c r="P63" s="1">
        <f>SUM(OSRRefP22_10x_0)</f>
        <v>107</v>
      </c>
      <c r="Q63" s="1"/>
      <c r="R63" s="5">
        <f t="shared" ref="R63:R65" si="56">IF(P$12=0,0,P63/P$12)</f>
        <v>0</v>
      </c>
      <c r="S63" s="1"/>
      <c r="T63" s="1">
        <f>SUM(OSRRefT22_10x_0)</f>
        <v>125</v>
      </c>
      <c r="U63" s="1"/>
      <c r="V63" s="5">
        <f t="shared" ref="V63:V65" si="57">IF(T$12=0,0,T63/T$12)</f>
        <v>0</v>
      </c>
      <c r="W63" s="1"/>
      <c r="X63" s="1">
        <f t="shared" ref="X63:X65" si="58">+P63-T63</f>
        <v>-18</v>
      </c>
      <c r="Y63" s="1"/>
      <c r="Z63" s="5">
        <f t="shared" ref="Z63:Z65" si="59">IF(T63=0,0,X63/T63)</f>
        <v>-0.14399999999999999</v>
      </c>
    </row>
    <row r="64" spans="1:26" s="24" customFormat="1" hidden="1" outlineLevel="2" x14ac:dyDescent="0.3">
      <c r="A64" s="29"/>
      <c r="B64" s="11" t="str">
        <f>CONCATENATE("          ", "6303", " - ", "DATA PHONE LINES")</f>
        <v xml:space="preserve">          6303 - DATA PHONE LINES</v>
      </c>
      <c r="C64" s="11"/>
      <c r="D64" s="8"/>
      <c r="E64" s="3"/>
      <c r="F64" s="7">
        <f t="shared" si="52"/>
        <v>0</v>
      </c>
      <c r="G64" s="3"/>
      <c r="H64" s="8">
        <v>50</v>
      </c>
      <c r="I64" s="3"/>
      <c r="J64" s="7">
        <f t="shared" si="53"/>
        <v>0</v>
      </c>
      <c r="K64" s="3"/>
      <c r="L64" s="8">
        <f t="shared" si="54"/>
        <v>-50</v>
      </c>
      <c r="M64" s="3"/>
      <c r="N64" s="7">
        <f t="shared" si="55"/>
        <v>-1</v>
      </c>
      <c r="O64" s="11"/>
      <c r="P64" s="8"/>
      <c r="Q64" s="3"/>
      <c r="R64" s="7">
        <f t="shared" si="56"/>
        <v>0</v>
      </c>
      <c r="S64" s="3"/>
      <c r="T64" s="8">
        <v>50</v>
      </c>
      <c r="U64" s="3"/>
      <c r="V64" s="7">
        <f t="shared" si="57"/>
        <v>0</v>
      </c>
      <c r="W64" s="3"/>
      <c r="X64" s="8">
        <f t="shared" si="58"/>
        <v>-50</v>
      </c>
      <c r="Y64" s="3"/>
      <c r="Z64" s="7">
        <f t="shared" si="59"/>
        <v>-1</v>
      </c>
    </row>
    <row r="65" spans="1:26" s="24" customFormat="1" hidden="1" outlineLevel="2" x14ac:dyDescent="0.3">
      <c r="A65" s="29"/>
      <c r="B65" s="11" t="str">
        <f>CONCATENATE("          ", "6309", " - ", "TELEPHONE")</f>
        <v xml:space="preserve">          6309 - TELEPHONE</v>
      </c>
      <c r="C65" s="11"/>
      <c r="D65" s="8">
        <v>107</v>
      </c>
      <c r="E65" s="3"/>
      <c r="F65" s="7">
        <f t="shared" si="52"/>
        <v>0</v>
      </c>
      <c r="G65" s="3"/>
      <c r="H65" s="8">
        <v>75</v>
      </c>
      <c r="I65" s="3"/>
      <c r="J65" s="7">
        <f t="shared" si="53"/>
        <v>0</v>
      </c>
      <c r="K65" s="3"/>
      <c r="L65" s="8">
        <f t="shared" si="54"/>
        <v>32</v>
      </c>
      <c r="M65" s="3"/>
      <c r="N65" s="7">
        <f t="shared" si="55"/>
        <v>0.42666666666666669</v>
      </c>
      <c r="O65" s="11"/>
      <c r="P65" s="8">
        <v>107</v>
      </c>
      <c r="Q65" s="3"/>
      <c r="R65" s="7">
        <f t="shared" si="56"/>
        <v>0</v>
      </c>
      <c r="S65" s="3"/>
      <c r="T65" s="8">
        <v>75</v>
      </c>
      <c r="U65" s="3"/>
      <c r="V65" s="7">
        <f t="shared" si="57"/>
        <v>0</v>
      </c>
      <c r="W65" s="3"/>
      <c r="X65" s="8">
        <f t="shared" si="58"/>
        <v>32</v>
      </c>
      <c r="Y65" s="3"/>
      <c r="Z65" s="7">
        <f t="shared" si="59"/>
        <v>0.42666666666666669</v>
      </c>
    </row>
    <row r="66" spans="1:26" s="27" customFormat="1" outlineLevel="1" collapsed="1" x14ac:dyDescent="0.3">
      <c r="A66" s="28"/>
      <c r="B66" s="14" t="str">
        <f>CONCATENATE("     ","Utilities                                         ")</f>
        <v xml:space="preserve">     Utilities                                         </v>
      </c>
      <c r="C66" s="14"/>
      <c r="D66" s="1">
        <f>SUM(OSRRefD22_11x_0)</f>
        <v>100</v>
      </c>
      <c r="E66" s="1"/>
      <c r="F66" s="5">
        <f t="shared" ref="F66:F67" si="60">IF(D$12=0,0,D66/D$12)</f>
        <v>0</v>
      </c>
      <c r="G66" s="1"/>
      <c r="H66" s="1">
        <f>SUM(OSRRefH22_11x_0)</f>
        <v>0</v>
      </c>
      <c r="I66" s="1"/>
      <c r="J66" s="5">
        <f t="shared" ref="J66:J67" si="61">IF(H$12=0,0,H66/H$12)</f>
        <v>0</v>
      </c>
      <c r="K66" s="1"/>
      <c r="L66" s="1">
        <f t="shared" ref="L66:L67" si="62">+D66-H66</f>
        <v>100</v>
      </c>
      <c r="M66" s="1"/>
      <c r="N66" s="5">
        <f t="shared" ref="N66:N67" si="63">IF(H66=0,0,L66/H66)</f>
        <v>0</v>
      </c>
      <c r="O66" s="14"/>
      <c r="P66" s="1">
        <f>SUM(OSRRefP22_11x_0)</f>
        <v>100</v>
      </c>
      <c r="Q66" s="1"/>
      <c r="R66" s="5">
        <f t="shared" ref="R66:R67" si="64">IF(P$12=0,0,P66/P$12)</f>
        <v>0</v>
      </c>
      <c r="S66" s="1"/>
      <c r="T66" s="1">
        <f>SUM(OSRRefT22_11x_0)</f>
        <v>0</v>
      </c>
      <c r="U66" s="1"/>
      <c r="V66" s="5">
        <f t="shared" ref="V66:V67" si="65">IF(T$12=0,0,T66/T$12)</f>
        <v>0</v>
      </c>
      <c r="W66" s="1"/>
      <c r="X66" s="1">
        <f t="shared" ref="X66:X67" si="66">+P66-T66</f>
        <v>100</v>
      </c>
      <c r="Y66" s="1"/>
      <c r="Z66" s="5">
        <f t="shared" ref="Z66:Z67" si="67">IF(T66=0,0,X66/T66)</f>
        <v>0</v>
      </c>
    </row>
    <row r="67" spans="1:26" s="24" customFormat="1" hidden="1" outlineLevel="2" x14ac:dyDescent="0.3">
      <c r="A67" s="29"/>
      <c r="B67" s="11" t="str">
        <f>CONCATENATE("          ", "6274", " - ", "UTILITIES")</f>
        <v xml:space="preserve">          6274 - UTILITIES</v>
      </c>
      <c r="C67" s="11"/>
      <c r="D67" s="8">
        <v>100</v>
      </c>
      <c r="E67" s="3"/>
      <c r="F67" s="7">
        <f t="shared" si="60"/>
        <v>0</v>
      </c>
      <c r="G67" s="3"/>
      <c r="H67" s="8">
        <v>0</v>
      </c>
      <c r="I67" s="3"/>
      <c r="J67" s="7">
        <f t="shared" si="61"/>
        <v>0</v>
      </c>
      <c r="K67" s="3"/>
      <c r="L67" s="8">
        <f t="shared" si="62"/>
        <v>100</v>
      </c>
      <c r="M67" s="3"/>
      <c r="N67" s="7">
        <f t="shared" si="63"/>
        <v>0</v>
      </c>
      <c r="O67" s="11"/>
      <c r="P67" s="8">
        <v>100</v>
      </c>
      <c r="Q67" s="3"/>
      <c r="R67" s="7">
        <f t="shared" si="64"/>
        <v>0</v>
      </c>
      <c r="S67" s="3"/>
      <c r="T67" s="8">
        <v>0</v>
      </c>
      <c r="U67" s="3"/>
      <c r="V67" s="7">
        <f t="shared" si="65"/>
        <v>0</v>
      </c>
      <c r="W67" s="3"/>
      <c r="X67" s="8">
        <f t="shared" si="66"/>
        <v>100</v>
      </c>
      <c r="Y67" s="3"/>
      <c r="Z67" s="7">
        <f t="shared" si="67"/>
        <v>0</v>
      </c>
    </row>
    <row r="68" spans="1:26" s="62" customFormat="1" x14ac:dyDescent="0.3">
      <c r="A68" s="36"/>
      <c r="B68" s="36"/>
      <c r="C68" s="36"/>
      <c r="D68" s="1"/>
      <c r="E68" s="1"/>
      <c r="F68" s="5"/>
      <c r="G68" s="1"/>
      <c r="H68" s="1"/>
      <c r="I68" s="1"/>
      <c r="J68" s="5"/>
      <c r="K68" s="1"/>
      <c r="L68" s="1"/>
      <c r="M68" s="1"/>
      <c r="N68" s="5"/>
      <c r="O68" s="36"/>
      <c r="P68" s="1"/>
      <c r="Q68" s="1"/>
      <c r="R68" s="5"/>
      <c r="S68" s="1"/>
      <c r="T68" s="1"/>
      <c r="U68" s="1"/>
      <c r="V68" s="5"/>
      <c r="W68" s="1"/>
      <c r="X68" s="1"/>
      <c r="Y68" s="1"/>
      <c r="Z68" s="5"/>
    </row>
    <row r="69" spans="1:26" s="23" customFormat="1" x14ac:dyDescent="0.3">
      <c r="A69" s="10"/>
      <c r="B69" s="25" t="s">
        <v>293</v>
      </c>
      <c r="C69" s="10"/>
      <c r="D69" s="4">
        <f>SUM(0)</f>
        <v>0</v>
      </c>
      <c r="E69" s="4"/>
      <c r="F69" s="12">
        <f>IF(D$12=0,0,D69/D$12)</f>
        <v>0</v>
      </c>
      <c r="G69" s="4"/>
      <c r="H69" s="4">
        <f>SUM(0)</f>
        <v>0</v>
      </c>
      <c r="I69" s="4"/>
      <c r="J69" s="12">
        <f>IF(H$12=0,0,H69/H$12)</f>
        <v>0</v>
      </c>
      <c r="K69" s="4"/>
      <c r="L69" s="4">
        <f>+D69-H69</f>
        <v>0</v>
      </c>
      <c r="M69" s="4"/>
      <c r="N69" s="12">
        <f>IF(H69=0,0,L69/H69)</f>
        <v>0</v>
      </c>
      <c r="O69" s="10"/>
      <c r="P69" s="4">
        <f>SUM(0)</f>
        <v>0</v>
      </c>
      <c r="Q69" s="4"/>
      <c r="R69" s="12">
        <f>IF(P$12=0,0,P69/P$12)</f>
        <v>0</v>
      </c>
      <c r="S69" s="4"/>
      <c r="T69" s="4">
        <f>SUM(0)</f>
        <v>0</v>
      </c>
      <c r="U69" s="4"/>
      <c r="V69" s="12">
        <f>IF(T$12=0,0,T69/T$12)</f>
        <v>0</v>
      </c>
      <c r="W69" s="4"/>
      <c r="X69" s="4">
        <f>+P69-T69</f>
        <v>0</v>
      </c>
      <c r="Y69" s="4"/>
      <c r="Z69" s="12">
        <f>IF(T69=0,0,X69/T69)</f>
        <v>0</v>
      </c>
    </row>
    <row r="70" spans="1:26" x14ac:dyDescent="0.3">
      <c r="A70" s="9"/>
      <c r="B70" s="10"/>
      <c r="C70" s="10"/>
      <c r="D70" s="2"/>
      <c r="E70" s="2"/>
      <c r="F70" s="6"/>
      <c r="G70" s="2"/>
      <c r="H70" s="2"/>
      <c r="I70" s="2"/>
      <c r="J70" s="6"/>
      <c r="K70" s="2"/>
      <c r="L70" s="2"/>
      <c r="M70" s="2"/>
      <c r="N70" s="6"/>
      <c r="O70" s="10"/>
      <c r="P70" s="2"/>
      <c r="Q70" s="2"/>
      <c r="R70" s="6"/>
      <c r="S70" s="2"/>
      <c r="T70" s="2"/>
      <c r="U70" s="2"/>
      <c r="V70" s="6"/>
      <c r="W70" s="2"/>
      <c r="X70" s="2"/>
      <c r="Y70" s="2"/>
      <c r="Z70" s="6"/>
    </row>
    <row r="71" spans="1:26" s="23" customFormat="1" x14ac:dyDescent="0.3">
      <c r="A71" s="10"/>
      <c r="B71" s="26" t="s">
        <v>277</v>
      </c>
      <c r="C71" s="26"/>
      <c r="D71" s="21">
        <f>+D18-D20+D69</f>
        <v>-10022.300000000001</v>
      </c>
      <c r="E71" s="13"/>
      <c r="F71" s="22">
        <f>IF(D$12=0,0,D71/D$12)</f>
        <v>0</v>
      </c>
      <c r="G71" s="13"/>
      <c r="H71" s="21">
        <f>+H18-H20+H69</f>
        <v>-20136.248515384617</v>
      </c>
      <c r="I71" s="13"/>
      <c r="J71" s="22">
        <f>IF(H$12=0,0,H71/H$12)</f>
        <v>0</v>
      </c>
      <c r="K71" s="16"/>
      <c r="L71" s="21">
        <f>+D71-H71</f>
        <v>10113.948515384616</v>
      </c>
      <c r="M71" s="16"/>
      <c r="N71" s="22">
        <f>IF(H71=0,0,L71/H71)</f>
        <v>-0.50227570978066227</v>
      </c>
      <c r="O71" s="25"/>
      <c r="P71" s="21">
        <f>+P18-P20+P69</f>
        <v>-10022.300000000001</v>
      </c>
      <c r="Q71" s="13"/>
      <c r="R71" s="22">
        <f>IF(P$12=0,0,P71/P$12)</f>
        <v>0</v>
      </c>
      <c r="S71" s="13"/>
      <c r="T71" s="21">
        <f>+T18-T20+T69</f>
        <v>-20136.248515384617</v>
      </c>
      <c r="U71" s="13"/>
      <c r="V71" s="22">
        <f>IF(T$12=0,0,T71/T$12)</f>
        <v>0</v>
      </c>
      <c r="W71" s="16"/>
      <c r="X71" s="21">
        <f>+P71-T71</f>
        <v>10113.948515384616</v>
      </c>
      <c r="Y71" s="16"/>
      <c r="Z71" s="22">
        <f>IF(T71=0,0,X71/T71)</f>
        <v>-0.50227570978066227</v>
      </c>
    </row>
    <row r="72" spans="1:26" x14ac:dyDescent="0.3">
      <c r="A72" s="9"/>
      <c r="B72" s="10"/>
      <c r="C72" s="9"/>
      <c r="D72" s="2"/>
      <c r="E72" s="2"/>
      <c r="F72" s="6"/>
      <c r="G72" s="2"/>
      <c r="H72" s="2"/>
      <c r="I72" s="2"/>
      <c r="J72" s="6"/>
      <c r="K72" s="2"/>
      <c r="L72" s="2"/>
      <c r="M72" s="2"/>
      <c r="N72" s="6"/>
      <c r="P72" s="2"/>
      <c r="Q72" s="2"/>
      <c r="R72" s="6"/>
      <c r="S72" s="2"/>
      <c r="T72" s="2"/>
      <c r="U72" s="2"/>
      <c r="V72" s="6"/>
      <c r="W72" s="2"/>
      <c r="X72" s="2"/>
      <c r="Y72" s="2"/>
      <c r="Z72" s="6"/>
    </row>
    <row r="73" spans="1:26" s="23" customFormat="1" x14ac:dyDescent="0.3">
      <c r="A73" s="52"/>
      <c r="B73" s="10" t="s">
        <v>128</v>
      </c>
      <c r="C73" s="10"/>
      <c r="D73" s="4"/>
      <c r="E73" s="4"/>
      <c r="F73" s="12">
        <f>IF(D$12=0,0,D73/D$12)</f>
        <v>0</v>
      </c>
      <c r="G73" s="4"/>
      <c r="H73" s="4">
        <v>0</v>
      </c>
      <c r="I73" s="4"/>
      <c r="J73" s="12">
        <f>IF(H$12=0,0,H73/H$12)</f>
        <v>0</v>
      </c>
      <c r="K73" s="4"/>
      <c r="L73" s="4">
        <f>+D73-H73</f>
        <v>0</v>
      </c>
      <c r="M73" s="4"/>
      <c r="N73" s="12">
        <f>IF(H73=0,0,L73/H73)</f>
        <v>0</v>
      </c>
      <c r="O73" s="10"/>
      <c r="P73" s="4"/>
      <c r="Q73" s="4"/>
      <c r="R73" s="12">
        <f>IF(P$12=0,0,P73/P$12)</f>
        <v>0</v>
      </c>
      <c r="S73" s="4"/>
      <c r="T73" s="4">
        <v>0</v>
      </c>
      <c r="U73" s="4"/>
      <c r="V73" s="12">
        <f>IF(T$12=0,0,T73/T$12)</f>
        <v>0</v>
      </c>
      <c r="W73" s="4"/>
      <c r="X73" s="4">
        <f>+P73-T73</f>
        <v>0</v>
      </c>
      <c r="Y73" s="4"/>
      <c r="Z73" s="12">
        <f>IF(T73=0,0,X73/T73)</f>
        <v>0</v>
      </c>
    </row>
    <row r="74" spans="1:26" x14ac:dyDescent="0.3">
      <c r="A74" s="9"/>
      <c r="B74" s="10"/>
      <c r="C74" s="10"/>
      <c r="D74" s="2"/>
      <c r="E74" s="2"/>
      <c r="F74" s="6"/>
      <c r="G74" s="2"/>
      <c r="H74" s="2"/>
      <c r="I74" s="2"/>
      <c r="J74" s="6"/>
      <c r="K74" s="2"/>
      <c r="L74" s="2"/>
      <c r="M74" s="2"/>
      <c r="N74" s="6"/>
      <c r="O74" s="10"/>
      <c r="P74" s="2"/>
      <c r="Q74" s="2"/>
      <c r="R74" s="6"/>
      <c r="S74" s="2"/>
      <c r="T74" s="2"/>
      <c r="U74" s="2"/>
      <c r="V74" s="6"/>
      <c r="W74" s="2"/>
      <c r="X74" s="2"/>
      <c r="Y74" s="2"/>
      <c r="Z74" s="6"/>
    </row>
    <row r="75" spans="1:26" s="23" customFormat="1" ht="15" thickBot="1" x14ac:dyDescent="0.35">
      <c r="A75" s="10"/>
      <c r="B75" s="26" t="s">
        <v>126</v>
      </c>
      <c r="C75" s="26"/>
      <c r="D75" s="35">
        <f>+D71-D73</f>
        <v>-10022.300000000001</v>
      </c>
      <c r="E75" s="13"/>
      <c r="F75" s="30">
        <f>IF(D$12=0,0,D75/D$12)</f>
        <v>0</v>
      </c>
      <c r="G75" s="13"/>
      <c r="H75" s="35">
        <f>+H71-H73</f>
        <v>-20136.248515384617</v>
      </c>
      <c r="I75" s="13"/>
      <c r="J75" s="30">
        <f>IF(H$12=0,0,H75/H$12)</f>
        <v>0</v>
      </c>
      <c r="K75" s="16"/>
      <c r="L75" s="35">
        <f>D75-H75</f>
        <v>10113.948515384616</v>
      </c>
      <c r="M75" s="16"/>
      <c r="N75" s="30">
        <f>IF(H75=0,0,L75/H75)</f>
        <v>-0.50227570978066227</v>
      </c>
      <c r="O75" s="25"/>
      <c r="P75" s="35">
        <f>+P71-P73</f>
        <v>-10022.300000000001</v>
      </c>
      <c r="Q75" s="13"/>
      <c r="R75" s="30">
        <f>IF(P$12=0,0,P75/P$12)</f>
        <v>0</v>
      </c>
      <c r="S75" s="13"/>
      <c r="T75" s="35">
        <f>+T71-T73</f>
        <v>-20136.248515384617</v>
      </c>
      <c r="U75" s="13"/>
      <c r="V75" s="30">
        <f>IF(T$12=0,0,T75/T$12)</f>
        <v>0</v>
      </c>
      <c r="W75" s="16"/>
      <c r="X75" s="35">
        <f>P75-T75</f>
        <v>10113.948515384616</v>
      </c>
      <c r="Y75" s="16"/>
      <c r="Z75" s="30">
        <f>IF(T75=0,0,X75/T75)</f>
        <v>-0.50227570978066227</v>
      </c>
    </row>
    <row r="76" spans="1:26" ht="15" thickTop="1" x14ac:dyDescent="0.3">
      <c r="A76" s="9"/>
      <c r="B76" s="9"/>
      <c r="C76" s="9"/>
      <c r="D76" s="2"/>
      <c r="E76" s="2"/>
      <c r="F76" s="6"/>
      <c r="G76" s="2"/>
      <c r="H76" s="2"/>
      <c r="I76" s="2"/>
      <c r="J76" s="6"/>
      <c r="K76" s="2"/>
      <c r="L76" s="2"/>
      <c r="M76" s="2"/>
      <c r="N76" s="6"/>
      <c r="P76" s="2"/>
      <c r="Q76" s="2"/>
      <c r="R76" s="6"/>
      <c r="S76" s="2"/>
      <c r="T76" s="2"/>
      <c r="U76" s="2"/>
      <c r="V76" s="6"/>
      <c r="W76" s="2"/>
      <c r="X76" s="2"/>
      <c r="Y76" s="2"/>
      <c r="Z76" s="6"/>
    </row>
    <row r="77" spans="1:26" x14ac:dyDescent="0.3">
      <c r="A77" s="9"/>
      <c r="B77" s="9"/>
      <c r="C77" s="9"/>
      <c r="D77" s="2"/>
      <c r="E77" s="2"/>
      <c r="F77" s="6"/>
      <c r="G77" s="2"/>
      <c r="H77" s="2"/>
      <c r="I77" s="2"/>
      <c r="J77" s="6"/>
      <c r="K77" s="2"/>
      <c r="L77" s="2"/>
      <c r="M77" s="2"/>
      <c r="N77" s="6"/>
      <c r="P77" s="2"/>
      <c r="Q77" s="2"/>
      <c r="R77" s="6"/>
      <c r="S77" s="2"/>
      <c r="T77" s="2"/>
      <c r="U77" s="2"/>
      <c r="V77" s="6"/>
      <c r="W77" s="2"/>
      <c r="X77" s="2"/>
      <c r="Y77" s="2"/>
      <c r="Z77" s="6"/>
    </row>
    <row r="78" spans="1:26" s="23" customFormat="1" ht="15" thickBot="1" x14ac:dyDescent="0.35">
      <c r="A78" s="10"/>
      <c r="B78" s="26" t="s">
        <v>294</v>
      </c>
      <c r="C78" s="26"/>
      <c r="D78" s="33">
        <f>SUM(D75:D77)</f>
        <v>-10022.300000000001</v>
      </c>
      <c r="E78" s="13"/>
      <c r="F78" s="31">
        <f>IF(D$12=0,0,D78/D$12)</f>
        <v>0</v>
      </c>
      <c r="G78" s="13"/>
      <c r="H78" s="33">
        <f>SUM(H75:H77)</f>
        <v>-20136.248515384617</v>
      </c>
      <c r="I78" s="13"/>
      <c r="J78" s="31">
        <f>IF(H$12=0,0,H78/H$12)</f>
        <v>0</v>
      </c>
      <c r="K78" s="16"/>
      <c r="L78" s="33">
        <f>+D78-H78</f>
        <v>10113.948515384616</v>
      </c>
      <c r="M78" s="16"/>
      <c r="N78" s="31">
        <f>IF(H78=0,0,L78/H78)</f>
        <v>-0.50227570978066227</v>
      </c>
      <c r="O78" s="25"/>
      <c r="P78" s="33">
        <f>SUM(P75:P77)</f>
        <v>-10022.300000000001</v>
      </c>
      <c r="Q78" s="13"/>
      <c r="R78" s="31">
        <f>IF(P$12=0,0,P78/P$12)</f>
        <v>0</v>
      </c>
      <c r="S78" s="13"/>
      <c r="T78" s="33">
        <f>SUM(T75:T77)</f>
        <v>-20136.248515384617</v>
      </c>
      <c r="U78" s="13"/>
      <c r="V78" s="31">
        <f>IF(T$12=0,0,T78/T$12)</f>
        <v>0</v>
      </c>
      <c r="W78" s="16"/>
      <c r="X78" s="33">
        <f>+P78-T78</f>
        <v>10113.948515384616</v>
      </c>
      <c r="Y78" s="16"/>
      <c r="Z78" s="31">
        <f>IF(T78=0,0,X78/T78)</f>
        <v>-0.50227570978066227</v>
      </c>
    </row>
    <row r="79" spans="1:26" ht="15" thickTop="1" x14ac:dyDescent="0.3">
      <c r="A79" s="9"/>
      <c r="C79" s="9"/>
      <c r="D79" s="18"/>
      <c r="E79" s="18"/>
      <c r="G79" s="18"/>
      <c r="H79" s="18"/>
      <c r="I79" s="18"/>
      <c r="J79" s="43"/>
      <c r="K79" s="18"/>
      <c r="L79" s="18"/>
      <c r="M79" s="18"/>
      <c r="P79" s="18"/>
      <c r="Q79" s="18"/>
      <c r="R79" s="43"/>
      <c r="S79" s="18"/>
      <c r="T79" s="18"/>
      <c r="U79" s="18"/>
      <c r="V79" s="43"/>
      <c r="W79" s="18"/>
      <c r="X79" s="18"/>
    </row>
    <row r="80" spans="1:26" x14ac:dyDescent="0.3">
      <c r="A80" s="9"/>
      <c r="B80" s="54">
        <v>44462.64548684028</v>
      </c>
      <c r="D80" s="18"/>
      <c r="E80" s="18"/>
      <c r="G80" s="18"/>
      <c r="H80" s="18"/>
      <c r="I80" s="18"/>
      <c r="J80" s="43"/>
      <c r="K80" s="18"/>
      <c r="L80" s="18"/>
      <c r="M80" s="18"/>
      <c r="P80" s="18"/>
      <c r="Q80" s="18"/>
      <c r="R80" s="43"/>
      <c r="S80" s="18"/>
      <c r="T80" s="18"/>
      <c r="U80" s="18"/>
      <c r="V80" s="43"/>
      <c r="W80" s="18"/>
      <c r="X80" s="18"/>
    </row>
    <row r="81" spans="1:24" x14ac:dyDescent="0.3">
      <c r="A81" s="9"/>
      <c r="B81" s="59" t="s">
        <v>56</v>
      </c>
      <c r="D81" s="18"/>
      <c r="E81" s="18"/>
      <c r="G81" s="18"/>
      <c r="H81" s="18"/>
      <c r="I81" s="18"/>
      <c r="J81" s="43"/>
      <c r="K81" s="18"/>
      <c r="L81" s="18"/>
      <c r="M81" s="18"/>
      <c r="P81" s="18"/>
      <c r="Q81" s="18"/>
      <c r="R81" s="43"/>
      <c r="S81" s="18"/>
      <c r="T81" s="18"/>
      <c r="U81" s="18"/>
      <c r="V81" s="43"/>
      <c r="W81" s="18"/>
      <c r="X81" s="18"/>
    </row>
    <row r="82" spans="1:24" x14ac:dyDescent="0.3">
      <c r="A82" s="9"/>
      <c r="B82" s="55"/>
      <c r="D82" s="18"/>
      <c r="E82" s="18"/>
      <c r="G82" s="18"/>
      <c r="H82" s="18"/>
      <c r="I82" s="18"/>
      <c r="J82" s="43"/>
      <c r="K82" s="18"/>
      <c r="L82" s="18"/>
      <c r="M82" s="18"/>
      <c r="P82" s="18"/>
      <c r="Q82" s="18"/>
      <c r="R82" s="43"/>
      <c r="S82" s="18"/>
      <c r="T82" s="18"/>
      <c r="U82" s="18"/>
      <c r="V82" s="43"/>
      <c r="W82" s="18"/>
      <c r="X82" s="18"/>
    </row>
    <row r="83" spans="1:24" x14ac:dyDescent="0.3">
      <c r="D83" s="18"/>
      <c r="E83" s="18"/>
      <c r="G83" s="18"/>
      <c r="H83" s="18"/>
      <c r="I83" s="18"/>
      <c r="J83" s="43"/>
      <c r="K83" s="18"/>
      <c r="L83" s="18"/>
      <c r="M83" s="18"/>
      <c r="P83" s="18"/>
      <c r="Q83" s="18"/>
      <c r="R83" s="43"/>
      <c r="S83" s="18"/>
      <c r="T83" s="18"/>
      <c r="U83" s="18"/>
      <c r="V83" s="43"/>
      <c r="W83" s="18"/>
      <c r="X83" s="18"/>
    </row>
  </sheetData>
  <pageMargins left="0.25" right="0.25" top="0.75" bottom="0.75" header="0.3" footer="0.3"/>
  <pageSetup scale="55" fitToWidth="2" orientation="landscape"/>
  <drawing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tabColor rgb="FFFFC000"/>
    <outlinePr summaryBelow="0" summaryRight="0"/>
  </sheetPr>
  <dimension ref="A2:Z119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50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7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50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7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7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7" customWidth="1" outlineLevel="1"/>
  </cols>
  <sheetData>
    <row r="2" spans="1:26" x14ac:dyDescent="0.3">
      <c r="D2" s="57" t="s">
        <v>23</v>
      </c>
    </row>
    <row r="3" spans="1:26" x14ac:dyDescent="0.3">
      <c r="D3" s="57" t="s">
        <v>237</v>
      </c>
      <c r="E3" s="17"/>
      <c r="F3" s="51"/>
      <c r="G3" s="17"/>
      <c r="H3" s="17"/>
      <c r="I3" s="17"/>
      <c r="J3" s="39"/>
      <c r="K3" s="17"/>
      <c r="L3" s="17"/>
      <c r="M3" s="17"/>
      <c r="N3" s="51"/>
      <c r="O3" s="61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3">
      <c r="D4" s="57" t="str">
        <f>CONCATENATE("Period ",RIGHT(202201,2),", ",2022)</f>
        <v>Period 01, 2022</v>
      </c>
      <c r="E4" s="17"/>
      <c r="F4" s="51"/>
      <c r="G4" s="17"/>
      <c r="H4" s="17"/>
      <c r="I4" s="17"/>
      <c r="J4" s="39"/>
      <c r="K4" s="17"/>
      <c r="L4" s="17"/>
      <c r="M4" s="17"/>
      <c r="N4" s="51"/>
      <c r="O4" s="61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3">
      <c r="A5" s="23"/>
      <c r="D5" s="64">
        <v>44408</v>
      </c>
      <c r="E5" s="17"/>
      <c r="F5" s="51"/>
      <c r="G5" s="17"/>
      <c r="H5" s="17"/>
      <c r="I5" s="17"/>
      <c r="J5" s="39"/>
      <c r="K5" s="17"/>
      <c r="L5" s="17"/>
      <c r="M5" s="17"/>
      <c r="N5" s="51"/>
      <c r="O5" s="61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3">
      <c r="A6" s="23"/>
      <c r="B6" s="47"/>
      <c r="C6" s="47"/>
      <c r="D6" s="23" t="s">
        <v>200</v>
      </c>
      <c r="E6" s="17"/>
      <c r="F6" s="51"/>
      <c r="G6" s="17"/>
      <c r="H6" s="17"/>
      <c r="I6" s="17"/>
      <c r="J6" s="39"/>
      <c r="K6" s="17"/>
      <c r="L6" s="17"/>
      <c r="M6" s="17"/>
      <c r="N6" s="51"/>
      <c r="O6" s="60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3">
      <c r="B7" s="63"/>
    </row>
    <row r="8" spans="1:26" x14ac:dyDescent="0.3">
      <c r="B8" s="63"/>
    </row>
    <row r="9" spans="1:26" x14ac:dyDescent="0.3">
      <c r="B9" s="9"/>
      <c r="C9" s="9"/>
      <c r="D9" s="15" t="s">
        <v>292</v>
      </c>
      <c r="E9" s="15"/>
      <c r="F9" s="38"/>
      <c r="G9" s="15"/>
      <c r="H9" s="15"/>
      <c r="I9" s="15"/>
      <c r="J9" s="49"/>
      <c r="K9" s="15"/>
      <c r="L9" s="15"/>
      <c r="M9" s="15"/>
      <c r="N9" s="38"/>
      <c r="P9" s="15" t="s">
        <v>39</v>
      </c>
      <c r="Q9" s="15"/>
      <c r="R9" s="38"/>
      <c r="S9" s="15"/>
      <c r="T9" s="15"/>
      <c r="U9" s="15"/>
      <c r="V9" s="49"/>
      <c r="W9" s="15"/>
      <c r="X9" s="15"/>
      <c r="Y9" s="15"/>
      <c r="Z9" s="38"/>
    </row>
    <row r="10" spans="1:26" x14ac:dyDescent="0.3">
      <c r="A10" s="10"/>
      <c r="B10" s="53"/>
      <c r="C10" s="10"/>
      <c r="D10" s="42" t="s">
        <v>57</v>
      </c>
      <c r="E10" s="34"/>
      <c r="F10" s="40" t="s">
        <v>40</v>
      </c>
      <c r="G10" s="34"/>
      <c r="H10" s="45" t="s">
        <v>238</v>
      </c>
      <c r="I10" s="34"/>
      <c r="J10" s="48" t="s">
        <v>58</v>
      </c>
      <c r="K10" s="10"/>
      <c r="L10" s="42" t="s">
        <v>127</v>
      </c>
      <c r="M10" s="10"/>
      <c r="N10" s="40" t="s">
        <v>258</v>
      </c>
      <c r="O10" s="10"/>
      <c r="P10" s="56" t="s">
        <v>57</v>
      </c>
      <c r="Q10" s="34"/>
      <c r="R10" s="40" t="s">
        <v>40</v>
      </c>
      <c r="S10" s="34"/>
      <c r="T10" s="45" t="s">
        <v>238</v>
      </c>
      <c r="U10" s="34"/>
      <c r="V10" s="48" t="s">
        <v>58</v>
      </c>
      <c r="W10" s="10"/>
      <c r="X10" s="42" t="s">
        <v>127</v>
      </c>
      <c r="Y10" s="10"/>
      <c r="Z10" s="40" t="s">
        <v>258</v>
      </c>
    </row>
    <row r="11" spans="1:26" ht="15.6" x14ac:dyDescent="0.3">
      <c r="A11" s="9"/>
      <c r="B11" s="58"/>
      <c r="C11" s="9"/>
      <c r="D11" s="9"/>
      <c r="E11" s="9"/>
      <c r="F11" s="6"/>
      <c r="G11" s="9"/>
      <c r="H11" s="9"/>
      <c r="I11" s="9"/>
      <c r="J11" s="46"/>
      <c r="K11" s="9"/>
      <c r="L11" s="9"/>
      <c r="M11" s="9"/>
      <c r="N11" s="6"/>
      <c r="P11" s="9"/>
      <c r="Q11" s="9"/>
      <c r="R11" s="6"/>
      <c r="S11" s="9"/>
      <c r="T11" s="9"/>
      <c r="U11" s="9"/>
      <c r="V11" s="46"/>
      <c r="W11" s="9"/>
      <c r="X11" s="9"/>
      <c r="Y11" s="9"/>
      <c r="Z11" s="6"/>
    </row>
    <row r="12" spans="1:26" s="23" customFormat="1" collapsed="1" x14ac:dyDescent="0.3">
      <c r="A12" s="10"/>
      <c r="B12" s="25" t="s">
        <v>140</v>
      </c>
      <c r="C12" s="10"/>
      <c r="D12" s="4">
        <f>SUM(OSRRefD13x_0)</f>
        <v>42689.659999999996</v>
      </c>
      <c r="E12" s="4"/>
      <c r="F12" s="12"/>
      <c r="G12" s="4"/>
      <c r="H12" s="4">
        <f>SUM(OSRRefH13x_0)</f>
        <v>8515</v>
      </c>
      <c r="I12" s="4"/>
      <c r="J12" s="12"/>
      <c r="K12" s="4"/>
      <c r="L12" s="4">
        <f t="shared" ref="L12:L18" si="0">+D12-H12</f>
        <v>34174.659999999996</v>
      </c>
      <c r="M12" s="4"/>
      <c r="N12" s="12">
        <f t="shared" ref="N12:N18" si="1">IF(H12=0,0,L12/H12)</f>
        <v>4.0134656488549618</v>
      </c>
      <c r="O12" s="10"/>
      <c r="P12" s="4">
        <f>SUM(OSRRefP13x_0)</f>
        <v>42689.659999999996</v>
      </c>
      <c r="Q12" s="4"/>
      <c r="R12" s="12"/>
      <c r="S12" s="4"/>
      <c r="T12" s="4">
        <f>SUM(OSRRefT13x_0)</f>
        <v>8515</v>
      </c>
      <c r="U12" s="4"/>
      <c r="V12" s="12"/>
      <c r="W12" s="4"/>
      <c r="X12" s="4">
        <f t="shared" ref="X12:X18" si="2">+P12-T12</f>
        <v>34174.659999999996</v>
      </c>
      <c r="Y12" s="4"/>
      <c r="Z12" s="12">
        <f t="shared" ref="Z12:Z18" si="3">IF(T12=0,0,X12/T12)</f>
        <v>4.0134656488549618</v>
      </c>
    </row>
    <row r="13" spans="1:26" s="24" customFormat="1" hidden="1" outlineLevel="1" x14ac:dyDescent="0.3">
      <c r="A13" s="44"/>
      <c r="B13" s="11" t="str">
        <f>CONCATENATE("          ", "4000", " - ", "TAXABLE SALES")</f>
        <v xml:space="preserve">          4000 - TAXABLE SALES</v>
      </c>
      <c r="C13" s="11"/>
      <c r="D13" s="3">
        <f>0</f>
        <v>0</v>
      </c>
      <c r="E13" s="3"/>
      <c r="F13" s="19"/>
      <c r="G13" s="3"/>
      <c r="H13" s="3">
        <v>2762</v>
      </c>
      <c r="I13" s="3"/>
      <c r="J13" s="19"/>
      <c r="K13" s="3"/>
      <c r="L13" s="3">
        <f t="shared" si="0"/>
        <v>-2762</v>
      </c>
      <c r="M13" s="3"/>
      <c r="N13" s="19">
        <f t="shared" si="1"/>
        <v>-1</v>
      </c>
      <c r="O13" s="11"/>
      <c r="P13" s="3">
        <f>0</f>
        <v>0</v>
      </c>
      <c r="Q13" s="3"/>
      <c r="R13" s="19"/>
      <c r="S13" s="3"/>
      <c r="T13" s="3">
        <v>2762</v>
      </c>
      <c r="U13" s="3"/>
      <c r="V13" s="19"/>
      <c r="W13" s="3"/>
      <c r="X13" s="3">
        <f t="shared" si="2"/>
        <v>-2762</v>
      </c>
      <c r="Y13" s="3"/>
      <c r="Z13" s="19">
        <f t="shared" si="3"/>
        <v>-1</v>
      </c>
    </row>
    <row r="14" spans="1:26" s="24" customFormat="1" hidden="1" outlineLevel="1" x14ac:dyDescent="0.3">
      <c r="A14" s="44"/>
      <c r="B14" s="11" t="str">
        <f>CONCATENATE("          ", "4051", " - ", "TAXABLE SALES-FOOD")</f>
        <v xml:space="preserve">          4051 - TAXABLE SALES-FOOD</v>
      </c>
      <c r="C14" s="11"/>
      <c r="D14" s="3">
        <f>--10630.93</f>
        <v>10630.93</v>
      </c>
      <c r="E14" s="3"/>
      <c r="F14" s="19"/>
      <c r="G14" s="3"/>
      <c r="H14" s="3"/>
      <c r="I14" s="3"/>
      <c r="J14" s="19"/>
      <c r="K14" s="3"/>
      <c r="L14" s="3">
        <f t="shared" si="0"/>
        <v>10630.93</v>
      </c>
      <c r="M14" s="3"/>
      <c r="N14" s="19">
        <f t="shared" si="1"/>
        <v>0</v>
      </c>
      <c r="O14" s="11"/>
      <c r="P14" s="3">
        <f>--10630.93</f>
        <v>10630.93</v>
      </c>
      <c r="Q14" s="3"/>
      <c r="R14" s="19"/>
      <c r="S14" s="3"/>
      <c r="T14" s="3"/>
      <c r="U14" s="3"/>
      <c r="V14" s="19"/>
      <c r="W14" s="3"/>
      <c r="X14" s="3">
        <f t="shared" si="2"/>
        <v>10630.93</v>
      </c>
      <c r="Y14" s="3"/>
      <c r="Z14" s="19">
        <f t="shared" si="3"/>
        <v>0</v>
      </c>
    </row>
    <row r="15" spans="1:26" s="24" customFormat="1" hidden="1" outlineLevel="1" x14ac:dyDescent="0.3">
      <c r="A15" s="44"/>
      <c r="B15" s="11" t="str">
        <f>CONCATENATE("          ", "4053", " - ", "TAXABLE SALES-FOOD")</f>
        <v xml:space="preserve">          4053 - TAXABLE SALES-FOOD</v>
      </c>
      <c r="C15" s="11"/>
      <c r="D15" s="3">
        <f>--106.64</f>
        <v>106.64</v>
      </c>
      <c r="E15" s="3"/>
      <c r="F15" s="19"/>
      <c r="G15" s="3"/>
      <c r="H15" s="3"/>
      <c r="I15" s="3"/>
      <c r="J15" s="19"/>
      <c r="K15" s="3"/>
      <c r="L15" s="3">
        <f t="shared" si="0"/>
        <v>106.64</v>
      </c>
      <c r="M15" s="3"/>
      <c r="N15" s="19">
        <f t="shared" si="1"/>
        <v>0</v>
      </c>
      <c r="O15" s="11"/>
      <c r="P15" s="3">
        <f>--106.64</f>
        <v>106.64</v>
      </c>
      <c r="Q15" s="3"/>
      <c r="R15" s="19"/>
      <c r="S15" s="3"/>
      <c r="T15" s="3"/>
      <c r="U15" s="3"/>
      <c r="V15" s="19"/>
      <c r="W15" s="3"/>
      <c r="X15" s="3">
        <f t="shared" si="2"/>
        <v>106.64</v>
      </c>
      <c r="Y15" s="3"/>
      <c r="Z15" s="19">
        <f t="shared" si="3"/>
        <v>0</v>
      </c>
    </row>
    <row r="16" spans="1:26" s="24" customFormat="1" hidden="1" outlineLevel="1" x14ac:dyDescent="0.3">
      <c r="A16" s="44"/>
      <c r="B16" s="11" t="str">
        <f>CONCATENATE("          ", "4100", " - ", "NON-TAXABLE SALES")</f>
        <v xml:space="preserve">          4100 - NON-TAXABLE SALES</v>
      </c>
      <c r="C16" s="11"/>
      <c r="D16" s="3">
        <f>0</f>
        <v>0</v>
      </c>
      <c r="E16" s="3"/>
      <c r="F16" s="19"/>
      <c r="G16" s="3"/>
      <c r="H16" s="3">
        <v>5753</v>
      </c>
      <c r="I16" s="3"/>
      <c r="J16" s="19"/>
      <c r="K16" s="3"/>
      <c r="L16" s="3">
        <f t="shared" si="0"/>
        <v>-5753</v>
      </c>
      <c r="M16" s="3"/>
      <c r="N16" s="19">
        <f t="shared" si="1"/>
        <v>-1</v>
      </c>
      <c r="O16" s="11"/>
      <c r="P16" s="3">
        <f>0</f>
        <v>0</v>
      </c>
      <c r="Q16" s="3"/>
      <c r="R16" s="19"/>
      <c r="S16" s="3"/>
      <c r="T16" s="3">
        <v>5753</v>
      </c>
      <c r="U16" s="3"/>
      <c r="V16" s="19"/>
      <c r="W16" s="3"/>
      <c r="X16" s="3">
        <f t="shared" si="2"/>
        <v>-5753</v>
      </c>
      <c r="Y16" s="3"/>
      <c r="Z16" s="19">
        <f t="shared" si="3"/>
        <v>-1</v>
      </c>
    </row>
    <row r="17" spans="1:26" s="24" customFormat="1" hidden="1" outlineLevel="1" x14ac:dyDescent="0.3">
      <c r="A17" s="44"/>
      <c r="B17" s="11" t="str">
        <f>CONCATENATE("          ", "4151", " - ", "NON-TAXABLE SALES-FOOD")</f>
        <v xml:space="preserve">          4151 - NON-TAXABLE SALES-FOOD</v>
      </c>
      <c r="C17" s="11"/>
      <c r="D17" s="3">
        <f>--28671.38</f>
        <v>28671.38</v>
      </c>
      <c r="E17" s="3"/>
      <c r="F17" s="19"/>
      <c r="G17" s="3"/>
      <c r="H17" s="3"/>
      <c r="I17" s="3"/>
      <c r="J17" s="19"/>
      <c r="K17" s="3"/>
      <c r="L17" s="3">
        <f t="shared" si="0"/>
        <v>28671.38</v>
      </c>
      <c r="M17" s="3"/>
      <c r="N17" s="19">
        <f t="shared" si="1"/>
        <v>0</v>
      </c>
      <c r="O17" s="11"/>
      <c r="P17" s="3">
        <f>--28671.38</f>
        <v>28671.38</v>
      </c>
      <c r="Q17" s="3"/>
      <c r="R17" s="19"/>
      <c r="S17" s="3"/>
      <c r="T17" s="3"/>
      <c r="U17" s="3"/>
      <c r="V17" s="19"/>
      <c r="W17" s="3"/>
      <c r="X17" s="3">
        <f t="shared" si="2"/>
        <v>28671.38</v>
      </c>
      <c r="Y17" s="3"/>
      <c r="Z17" s="19">
        <f t="shared" si="3"/>
        <v>0</v>
      </c>
    </row>
    <row r="18" spans="1:26" s="24" customFormat="1" hidden="1" outlineLevel="1" x14ac:dyDescent="0.3">
      <c r="A18" s="44"/>
      <c r="B18" s="11" t="str">
        <f>CONCATENATE("          ", "4153", " - ", "NON-TAXABLE SALES-FOOD")</f>
        <v xml:space="preserve">          4153 - NON-TAXABLE SALES-FOOD</v>
      </c>
      <c r="C18" s="11"/>
      <c r="D18" s="3">
        <f>--3280.71</f>
        <v>3280.71</v>
      </c>
      <c r="E18" s="3"/>
      <c r="F18" s="19"/>
      <c r="G18" s="3"/>
      <c r="H18" s="3"/>
      <c r="I18" s="3"/>
      <c r="J18" s="19"/>
      <c r="K18" s="3"/>
      <c r="L18" s="3">
        <f t="shared" si="0"/>
        <v>3280.71</v>
      </c>
      <c r="M18" s="3"/>
      <c r="N18" s="19">
        <f t="shared" si="1"/>
        <v>0</v>
      </c>
      <c r="O18" s="11"/>
      <c r="P18" s="3">
        <f>--3280.71</f>
        <v>3280.71</v>
      </c>
      <c r="Q18" s="3"/>
      <c r="R18" s="19"/>
      <c r="S18" s="3"/>
      <c r="T18" s="3"/>
      <c r="U18" s="3"/>
      <c r="V18" s="19"/>
      <c r="W18" s="3"/>
      <c r="X18" s="3">
        <f t="shared" si="2"/>
        <v>3280.71</v>
      </c>
      <c r="Y18" s="3"/>
      <c r="Z18" s="19">
        <f t="shared" si="3"/>
        <v>0</v>
      </c>
    </row>
    <row r="19" spans="1:26" x14ac:dyDescent="0.3">
      <c r="A19" s="9"/>
      <c r="B19" s="10"/>
      <c r="C19" s="9"/>
      <c r="D19" s="2"/>
      <c r="E19" s="2"/>
      <c r="F19" s="6"/>
      <c r="G19" s="2"/>
      <c r="H19" s="2"/>
      <c r="I19" s="2"/>
      <c r="J19" s="6"/>
      <c r="K19" s="2"/>
      <c r="L19" s="2"/>
      <c r="M19" s="2"/>
      <c r="N19" s="6"/>
      <c r="P19" s="2"/>
      <c r="Q19" s="2"/>
      <c r="R19" s="6"/>
      <c r="S19" s="2"/>
      <c r="T19" s="2"/>
      <c r="U19" s="2"/>
      <c r="V19" s="6"/>
      <c r="W19" s="2"/>
      <c r="X19" s="2"/>
      <c r="Y19" s="2"/>
      <c r="Z19" s="6"/>
    </row>
    <row r="20" spans="1:26" s="23" customFormat="1" collapsed="1" x14ac:dyDescent="0.3">
      <c r="A20" s="10"/>
      <c r="B20" s="25" t="s">
        <v>257</v>
      </c>
      <c r="C20" s="10"/>
      <c r="D20" s="4">
        <f>SUM(OSRRefD16x_0)</f>
        <v>22188.22</v>
      </c>
      <c r="E20" s="4"/>
      <c r="F20" s="12">
        <f t="shared" ref="F20:F23" si="4">IF(D$12=0,0,D20/D$12)</f>
        <v>0.51975630632804293</v>
      </c>
      <c r="G20" s="4"/>
      <c r="H20" s="4">
        <f>SUM(OSRRefH16x_0)</f>
        <v>3249</v>
      </c>
      <c r="I20" s="4"/>
      <c r="J20" s="12">
        <f t="shared" ref="J20:J23" si="5">IF(H$12=0,0,H20/H$12)</f>
        <v>0.38156194950088079</v>
      </c>
      <c r="K20" s="4"/>
      <c r="L20" s="4">
        <f t="shared" ref="L20:L23" si="6">+D20-H20</f>
        <v>18939.22</v>
      </c>
      <c r="M20" s="4"/>
      <c r="N20" s="12">
        <f t="shared" ref="N20:N23" si="7">IF(H20=0,0,L20/H20)</f>
        <v>5.8292459218220998</v>
      </c>
      <c r="O20" s="10"/>
      <c r="P20" s="4">
        <f>SUM(OSRRefP16x_0)</f>
        <v>22188.22</v>
      </c>
      <c r="Q20" s="4"/>
      <c r="R20" s="12">
        <f t="shared" ref="R20:R23" si="8">IF(P$12=0,0,P20/P$12)</f>
        <v>0.51975630632804293</v>
      </c>
      <c r="S20" s="4"/>
      <c r="T20" s="4">
        <f>SUM(OSRRefT16x_0)</f>
        <v>3249</v>
      </c>
      <c r="U20" s="4"/>
      <c r="V20" s="12">
        <f t="shared" ref="V20:V23" si="9">IF(T$12=0,0,T20/T$12)</f>
        <v>0.38156194950088079</v>
      </c>
      <c r="W20" s="4"/>
      <c r="X20" s="4">
        <f t="shared" ref="X20:X23" si="10">+P20-T20</f>
        <v>18939.22</v>
      </c>
      <c r="Y20" s="4"/>
      <c r="Z20" s="12">
        <f t="shared" ref="Z20:Z23" si="11">IF(T20=0,0,X20/T20)</f>
        <v>5.8292459218220998</v>
      </c>
    </row>
    <row r="21" spans="1:26" s="24" customFormat="1" hidden="1" outlineLevel="1" x14ac:dyDescent="0.3">
      <c r="A21" s="44"/>
      <c r="B21" s="11" t="str">
        <f>CONCATENATE("          ", "5000", " - ", "PURCHASES @ COST")</f>
        <v xml:space="preserve">          5000 - PURCHASES @ COST</v>
      </c>
      <c r="C21" s="11"/>
      <c r="D21" s="3"/>
      <c r="E21" s="3"/>
      <c r="F21" s="19">
        <f t="shared" si="4"/>
        <v>0</v>
      </c>
      <c r="G21" s="3"/>
      <c r="H21" s="3">
        <v>3249</v>
      </c>
      <c r="I21" s="3"/>
      <c r="J21" s="19">
        <f t="shared" si="5"/>
        <v>0.38156194950088079</v>
      </c>
      <c r="K21" s="3"/>
      <c r="L21" s="3">
        <f t="shared" si="6"/>
        <v>-3249</v>
      </c>
      <c r="M21" s="3"/>
      <c r="N21" s="19">
        <f t="shared" si="7"/>
        <v>-1</v>
      </c>
      <c r="O21" s="11"/>
      <c r="P21" s="3"/>
      <c r="Q21" s="3"/>
      <c r="R21" s="19">
        <f t="shared" si="8"/>
        <v>0</v>
      </c>
      <c r="S21" s="3"/>
      <c r="T21" s="3">
        <v>3249</v>
      </c>
      <c r="U21" s="3"/>
      <c r="V21" s="19">
        <f t="shared" si="9"/>
        <v>0.38156194950088079</v>
      </c>
      <c r="W21" s="3"/>
      <c r="X21" s="3">
        <f t="shared" si="10"/>
        <v>-3249</v>
      </c>
      <c r="Y21" s="3"/>
      <c r="Z21" s="19">
        <f t="shared" si="11"/>
        <v>-1</v>
      </c>
    </row>
    <row r="22" spans="1:26" s="24" customFormat="1" hidden="1" outlineLevel="1" x14ac:dyDescent="0.3">
      <c r="A22" s="44"/>
      <c r="B22" s="11" t="str">
        <f>CONCATENATE("          ", "5053", " - ", "PURCHASES @ COST-FOOD")</f>
        <v xml:space="preserve">          5053 - PURCHASES @ COST-FOOD</v>
      </c>
      <c r="C22" s="11"/>
      <c r="D22" s="3">
        <v>26193.22</v>
      </c>
      <c r="E22" s="3"/>
      <c r="F22" s="19">
        <f t="shared" si="4"/>
        <v>0.61357293546024971</v>
      </c>
      <c r="G22" s="3"/>
      <c r="H22" s="3"/>
      <c r="I22" s="3"/>
      <c r="J22" s="19">
        <f t="shared" si="5"/>
        <v>0</v>
      </c>
      <c r="K22" s="3"/>
      <c r="L22" s="3">
        <f t="shared" si="6"/>
        <v>26193.22</v>
      </c>
      <c r="M22" s="3"/>
      <c r="N22" s="19">
        <f t="shared" si="7"/>
        <v>0</v>
      </c>
      <c r="O22" s="11"/>
      <c r="P22" s="3">
        <v>26193.22</v>
      </c>
      <c r="Q22" s="3"/>
      <c r="R22" s="19">
        <f t="shared" si="8"/>
        <v>0.61357293546024971</v>
      </c>
      <c r="S22" s="3"/>
      <c r="T22" s="3"/>
      <c r="U22" s="3"/>
      <c r="V22" s="19">
        <f t="shared" si="9"/>
        <v>0</v>
      </c>
      <c r="W22" s="3"/>
      <c r="X22" s="3">
        <f t="shared" si="10"/>
        <v>26193.22</v>
      </c>
      <c r="Y22" s="3"/>
      <c r="Z22" s="19">
        <f t="shared" si="11"/>
        <v>0</v>
      </c>
    </row>
    <row r="23" spans="1:26" s="24" customFormat="1" hidden="1" outlineLevel="1" x14ac:dyDescent="0.3">
      <c r="A23" s="44"/>
      <c r="B23" s="11" t="str">
        <f>CONCATENATE("          ", "5059", " - ", "PURCHASES @ COST-FOOD")</f>
        <v xml:space="preserve">          5059 - PURCHASES @ COST-FOOD</v>
      </c>
      <c r="C23" s="11"/>
      <c r="D23" s="3">
        <v>-4005</v>
      </c>
      <c r="E23" s="3"/>
      <c r="F23" s="19">
        <f t="shared" si="4"/>
        <v>-9.381662913220673E-2</v>
      </c>
      <c r="G23" s="3"/>
      <c r="H23" s="3"/>
      <c r="I23" s="3"/>
      <c r="J23" s="19">
        <f t="shared" si="5"/>
        <v>0</v>
      </c>
      <c r="K23" s="3"/>
      <c r="L23" s="3">
        <f t="shared" si="6"/>
        <v>-4005</v>
      </c>
      <c r="M23" s="3"/>
      <c r="N23" s="19">
        <f t="shared" si="7"/>
        <v>0</v>
      </c>
      <c r="O23" s="11"/>
      <c r="P23" s="3">
        <v>-4005</v>
      </c>
      <c r="Q23" s="3"/>
      <c r="R23" s="19">
        <f t="shared" si="8"/>
        <v>-9.381662913220673E-2</v>
      </c>
      <c r="S23" s="3"/>
      <c r="T23" s="3"/>
      <c r="U23" s="3"/>
      <c r="V23" s="19">
        <f t="shared" si="9"/>
        <v>0</v>
      </c>
      <c r="W23" s="3"/>
      <c r="X23" s="3">
        <f t="shared" si="10"/>
        <v>-4005</v>
      </c>
      <c r="Y23" s="3"/>
      <c r="Z23" s="19">
        <f t="shared" si="11"/>
        <v>0</v>
      </c>
    </row>
    <row r="24" spans="1:26" x14ac:dyDescent="0.3">
      <c r="A24" s="9"/>
      <c r="B24" s="10"/>
      <c r="C24" s="10"/>
      <c r="D24" s="2"/>
      <c r="E24" s="2"/>
      <c r="F24" s="6"/>
      <c r="G24" s="2"/>
      <c r="H24" s="2"/>
      <c r="I24" s="2"/>
      <c r="J24" s="6"/>
      <c r="K24" s="2"/>
      <c r="L24" s="2"/>
      <c r="M24" s="2"/>
      <c r="N24" s="6"/>
      <c r="O24" s="10"/>
      <c r="P24" s="2"/>
      <c r="Q24" s="2"/>
      <c r="R24" s="6"/>
      <c r="S24" s="2"/>
      <c r="T24" s="2"/>
      <c r="U24" s="2"/>
      <c r="V24" s="6"/>
      <c r="W24" s="2"/>
      <c r="X24" s="2"/>
      <c r="Y24" s="2"/>
      <c r="Z24" s="6"/>
    </row>
    <row r="25" spans="1:26" s="23" customFormat="1" x14ac:dyDescent="0.3">
      <c r="A25" s="10"/>
      <c r="B25" s="26" t="s">
        <v>108</v>
      </c>
      <c r="C25" s="26"/>
      <c r="D25" s="21">
        <f>D12-D20</f>
        <v>20501.439999999995</v>
      </c>
      <c r="E25" s="13"/>
      <c r="F25" s="22">
        <f>IF(D$12=0,0,D25/D$12)</f>
        <v>0.48024369367195702</v>
      </c>
      <c r="G25" s="13"/>
      <c r="H25" s="21">
        <f>H12-H20</f>
        <v>5266</v>
      </c>
      <c r="I25" s="13"/>
      <c r="J25" s="22">
        <f>IF(H$12=0,0,H25/H$12)</f>
        <v>0.61843805049911915</v>
      </c>
      <c r="K25" s="16"/>
      <c r="L25" s="21">
        <f>+D25-H25</f>
        <v>15235.439999999995</v>
      </c>
      <c r="M25" s="16"/>
      <c r="N25" s="22">
        <f>IF(H25=0,0,L25/H25)</f>
        <v>2.8931712875047464</v>
      </c>
      <c r="O25" s="25"/>
      <c r="P25" s="21">
        <f>P12-P20</f>
        <v>20501.439999999995</v>
      </c>
      <c r="Q25" s="13"/>
      <c r="R25" s="22">
        <f>IF(P$12=0,0,P25/P$12)</f>
        <v>0.48024369367195702</v>
      </c>
      <c r="S25" s="13"/>
      <c r="T25" s="21">
        <f>T12-T20</f>
        <v>5266</v>
      </c>
      <c r="U25" s="13"/>
      <c r="V25" s="22">
        <f>IF(T$12=0,0,T25/T$12)</f>
        <v>0.61843805049911915</v>
      </c>
      <c r="W25" s="16"/>
      <c r="X25" s="21">
        <f>+P25-T25</f>
        <v>15235.439999999995</v>
      </c>
      <c r="Y25" s="16"/>
      <c r="Z25" s="22">
        <f>IF(T25=0,0,X25/T25)</f>
        <v>2.8931712875047464</v>
      </c>
    </row>
    <row r="26" spans="1:26" x14ac:dyDescent="0.3">
      <c r="A26" s="9"/>
      <c r="B26" s="10"/>
      <c r="C26" s="9"/>
      <c r="D26" s="1"/>
      <c r="E26" s="1"/>
      <c r="F26" s="5"/>
      <c r="G26" s="1"/>
      <c r="H26" s="1"/>
      <c r="I26" s="1"/>
      <c r="J26" s="5"/>
      <c r="K26" s="1"/>
      <c r="L26" s="1"/>
      <c r="M26" s="1"/>
      <c r="N26" s="5"/>
      <c r="O26" s="36"/>
      <c r="P26" s="1"/>
      <c r="Q26" s="1"/>
      <c r="R26" s="5"/>
      <c r="S26" s="1"/>
      <c r="T26" s="1"/>
      <c r="U26" s="1"/>
      <c r="V26" s="5"/>
      <c r="W26" s="1"/>
      <c r="X26" s="1"/>
      <c r="Y26" s="1"/>
      <c r="Z26" s="5"/>
    </row>
    <row r="27" spans="1:26" s="23" customFormat="1" x14ac:dyDescent="0.3">
      <c r="A27" s="10"/>
      <c r="B27" s="25" t="s">
        <v>295</v>
      </c>
      <c r="C27" s="10"/>
      <c r="D27" s="20">
        <f>SUM(OSRRefD22x_0)</f>
        <v>340481.01999999996</v>
      </c>
      <c r="E27" s="20"/>
      <c r="F27" s="32">
        <f t="shared" ref="F27:F38" si="12">IF(D$12=0,0,D27/D$12)</f>
        <v>7.9757257378016124</v>
      </c>
      <c r="G27" s="20"/>
      <c r="H27" s="20">
        <f>SUM(OSRRefH22x_0)</f>
        <v>506568.05307240377</v>
      </c>
      <c r="I27" s="20"/>
      <c r="J27" s="32">
        <f t="shared" ref="J27:J38" si="13">IF(H$12=0,0,H27/H$12)</f>
        <v>59.491256966811953</v>
      </c>
      <c r="K27" s="4"/>
      <c r="L27" s="20">
        <f t="shared" ref="L27:L38" si="14">+D27-H27</f>
        <v>-166087.03307240381</v>
      </c>
      <c r="M27" s="4"/>
      <c r="N27" s="32">
        <f t="shared" ref="N27:N38" si="15">IF(H27=0,0,L27/H27)</f>
        <v>-0.32786716822165052</v>
      </c>
      <c r="O27" s="10"/>
      <c r="P27" s="20">
        <f>SUM(OSRRefP22x_0)</f>
        <v>340481.01999999996</v>
      </c>
      <c r="Q27" s="20"/>
      <c r="R27" s="32">
        <f t="shared" ref="R27:R38" si="16">IF(P$12=0,0,P27/P$12)</f>
        <v>7.9757257378016124</v>
      </c>
      <c r="S27" s="20"/>
      <c r="T27" s="20">
        <f>SUM(OSRRefT22x_0)</f>
        <v>506568.05307240377</v>
      </c>
      <c r="U27" s="20"/>
      <c r="V27" s="32">
        <f t="shared" ref="V27:V38" si="17">IF(T$12=0,0,T27/T$12)</f>
        <v>59.491256966811953</v>
      </c>
      <c r="W27" s="4"/>
      <c r="X27" s="20">
        <f t="shared" ref="X27:X38" si="18">+P27-T27</f>
        <v>-166087.03307240381</v>
      </c>
      <c r="Y27" s="4"/>
      <c r="Z27" s="32">
        <f t="shared" ref="Z27:Z38" si="19">IF(T27=0,0,X27/T27)</f>
        <v>-0.32786716822165052</v>
      </c>
    </row>
    <row r="28" spans="1:26" s="27" customFormat="1" outlineLevel="1" collapsed="1" x14ac:dyDescent="0.3">
      <c r="A28" s="28"/>
      <c r="B28" s="14" t="str">
        <f>CONCATENATE("     ","*Benefits                                         ")</f>
        <v xml:space="preserve">     *Benefits                                         </v>
      </c>
      <c r="C28" s="14"/>
      <c r="D28" s="1">
        <f>SUM(OSRRefD22_0x_0)</f>
        <v>93134.58</v>
      </c>
      <c r="E28" s="1"/>
      <c r="F28" s="5">
        <f t="shared" si="12"/>
        <v>2.1816660053043293</v>
      </c>
      <c r="G28" s="1"/>
      <c r="H28" s="1">
        <f>SUM(OSRRefH22_0x_0)</f>
        <v>143995.29225509617</v>
      </c>
      <c r="I28" s="1"/>
      <c r="J28" s="5">
        <f t="shared" si="13"/>
        <v>16.910780065190391</v>
      </c>
      <c r="K28" s="1"/>
      <c r="L28" s="1">
        <f t="shared" si="14"/>
        <v>-50860.712255096165</v>
      </c>
      <c r="M28" s="1"/>
      <c r="N28" s="5">
        <f t="shared" si="15"/>
        <v>-0.35321093807006837</v>
      </c>
      <c r="O28" s="14"/>
      <c r="P28" s="1">
        <f>SUM(OSRRefP22_0x_0)</f>
        <v>93134.58</v>
      </c>
      <c r="Q28" s="1"/>
      <c r="R28" s="5">
        <f t="shared" si="16"/>
        <v>2.1816660053043293</v>
      </c>
      <c r="S28" s="1"/>
      <c r="T28" s="1">
        <f>SUM(OSRRefT22_0x_0)</f>
        <v>143995.29225509617</v>
      </c>
      <c r="U28" s="1"/>
      <c r="V28" s="5">
        <f t="shared" si="17"/>
        <v>16.910780065190391</v>
      </c>
      <c r="W28" s="1"/>
      <c r="X28" s="1">
        <f t="shared" si="18"/>
        <v>-50860.712255096165</v>
      </c>
      <c r="Y28" s="1"/>
      <c r="Z28" s="5">
        <f t="shared" si="19"/>
        <v>-0.35321093807006837</v>
      </c>
    </row>
    <row r="29" spans="1:26" s="24" customFormat="1" hidden="1" outlineLevel="2" x14ac:dyDescent="0.3">
      <c r="A29" s="29"/>
      <c r="B29" s="11" t="str">
        <f>CONCATENATE("          ", "6111", " - ", "F.I.C.A.")</f>
        <v xml:space="preserve">          6111 - F.I.C.A.</v>
      </c>
      <c r="C29" s="11"/>
      <c r="D29" s="8">
        <v>9828.1299999999992</v>
      </c>
      <c r="E29" s="3"/>
      <c r="F29" s="7">
        <f t="shared" si="12"/>
        <v>0.230222728407769</v>
      </c>
      <c r="G29" s="3"/>
      <c r="H29" s="8">
        <v>17116.303168557701</v>
      </c>
      <c r="I29" s="3"/>
      <c r="J29" s="7">
        <f t="shared" si="13"/>
        <v>2.0101354278987316</v>
      </c>
      <c r="K29" s="3"/>
      <c r="L29" s="8">
        <f t="shared" si="14"/>
        <v>-7288.1731685577015</v>
      </c>
      <c r="M29" s="3"/>
      <c r="N29" s="7">
        <f t="shared" si="15"/>
        <v>-0.42580299593816068</v>
      </c>
      <c r="O29" s="11"/>
      <c r="P29" s="8">
        <v>9828.1299999999992</v>
      </c>
      <c r="Q29" s="3"/>
      <c r="R29" s="7">
        <f t="shared" si="16"/>
        <v>0.230222728407769</v>
      </c>
      <c r="S29" s="3"/>
      <c r="T29" s="8">
        <v>17116.303168557701</v>
      </c>
      <c r="U29" s="3"/>
      <c r="V29" s="7">
        <f t="shared" si="17"/>
        <v>2.0101354278987316</v>
      </c>
      <c r="W29" s="3"/>
      <c r="X29" s="8">
        <f t="shared" si="18"/>
        <v>-7288.1731685577015</v>
      </c>
      <c r="Y29" s="3"/>
      <c r="Z29" s="7">
        <f t="shared" si="19"/>
        <v>-0.42580299593816068</v>
      </c>
    </row>
    <row r="30" spans="1:26" s="24" customFormat="1" hidden="1" outlineLevel="2" x14ac:dyDescent="0.3">
      <c r="A30" s="29"/>
      <c r="B30" s="11" t="str">
        <f>CONCATENATE("          ", "6112", " - ", "COMPENSATION INSURANCE")</f>
        <v xml:space="preserve">          6112 - COMPENSATION INSURANCE</v>
      </c>
      <c r="C30" s="11"/>
      <c r="D30" s="8">
        <v>4219.59</v>
      </c>
      <c r="E30" s="3"/>
      <c r="F30" s="7">
        <f t="shared" si="12"/>
        <v>9.8843373313350358E-2</v>
      </c>
      <c r="G30" s="3"/>
      <c r="H30" s="8">
        <v>8494.0273759615502</v>
      </c>
      <c r="I30" s="3"/>
      <c r="J30" s="7">
        <f t="shared" si="13"/>
        <v>0.99753697897375815</v>
      </c>
      <c r="K30" s="3"/>
      <c r="L30" s="8">
        <f t="shared" si="14"/>
        <v>-4274.4373759615501</v>
      </c>
      <c r="M30" s="3"/>
      <c r="N30" s="7">
        <f t="shared" si="15"/>
        <v>-0.50322858483578536</v>
      </c>
      <c r="O30" s="11"/>
      <c r="P30" s="8">
        <v>4219.59</v>
      </c>
      <c r="Q30" s="3"/>
      <c r="R30" s="7">
        <f t="shared" si="16"/>
        <v>9.8843373313350358E-2</v>
      </c>
      <c r="S30" s="3"/>
      <c r="T30" s="8">
        <v>8494.0273759615502</v>
      </c>
      <c r="U30" s="3"/>
      <c r="V30" s="7">
        <f t="shared" si="17"/>
        <v>0.99753697897375815</v>
      </c>
      <c r="W30" s="3"/>
      <c r="X30" s="8">
        <f t="shared" si="18"/>
        <v>-4274.4373759615501</v>
      </c>
      <c r="Y30" s="3"/>
      <c r="Z30" s="7">
        <f t="shared" si="19"/>
        <v>-0.50322858483578536</v>
      </c>
    </row>
    <row r="31" spans="1:26" s="24" customFormat="1" hidden="1" outlineLevel="2" x14ac:dyDescent="0.3">
      <c r="A31" s="29"/>
      <c r="B31" s="11" t="str">
        <f>CONCATENATE("          ", "6113", " - ", "GROUP INSURANCE")</f>
        <v xml:space="preserve">          6113 - GROUP INSURANCE</v>
      </c>
      <c r="C31" s="11"/>
      <c r="D31" s="8">
        <v>52698.36</v>
      </c>
      <c r="E31" s="3"/>
      <c r="F31" s="7">
        <f t="shared" si="12"/>
        <v>1.2344525583010033</v>
      </c>
      <c r="G31" s="3"/>
      <c r="H31" s="8">
        <v>88052.584615384607</v>
      </c>
      <c r="I31" s="3"/>
      <c r="J31" s="7">
        <f t="shared" si="13"/>
        <v>10.340878991824381</v>
      </c>
      <c r="K31" s="3"/>
      <c r="L31" s="8">
        <f t="shared" si="14"/>
        <v>-35354.224615384606</v>
      </c>
      <c r="M31" s="3"/>
      <c r="N31" s="7">
        <f t="shared" si="15"/>
        <v>-0.40151262759421025</v>
      </c>
      <c r="O31" s="11"/>
      <c r="P31" s="8">
        <v>52698.36</v>
      </c>
      <c r="Q31" s="3"/>
      <c r="R31" s="7">
        <f t="shared" si="16"/>
        <v>1.2344525583010033</v>
      </c>
      <c r="S31" s="3"/>
      <c r="T31" s="8">
        <v>88052.584615384607</v>
      </c>
      <c r="U31" s="3"/>
      <c r="V31" s="7">
        <f t="shared" si="17"/>
        <v>10.340878991824381</v>
      </c>
      <c r="W31" s="3"/>
      <c r="X31" s="8">
        <f t="shared" si="18"/>
        <v>-35354.224615384606</v>
      </c>
      <c r="Y31" s="3"/>
      <c r="Z31" s="7">
        <f t="shared" si="19"/>
        <v>-0.40151262759421025</v>
      </c>
    </row>
    <row r="32" spans="1:26" s="24" customFormat="1" hidden="1" outlineLevel="2" x14ac:dyDescent="0.3">
      <c r="A32" s="29"/>
      <c r="B32" s="11" t="str">
        <f>CONCATENATE("          ", "6114", " - ", "STATE UNEMPLOYMENT INSURANCE")</f>
        <v xml:space="preserve">          6114 - STATE UNEMPLOYMENT INSURANCE</v>
      </c>
      <c r="C32" s="11"/>
      <c r="D32" s="8">
        <v>333.52</v>
      </c>
      <c r="E32" s="3"/>
      <c r="F32" s="7">
        <f t="shared" si="12"/>
        <v>7.8126647061606963E-3</v>
      </c>
      <c r="G32" s="3"/>
      <c r="H32" s="8">
        <v>470.64531634615503</v>
      </c>
      <c r="I32" s="3"/>
      <c r="J32" s="7">
        <f t="shared" si="13"/>
        <v>5.527249751569642E-2</v>
      </c>
      <c r="K32" s="3"/>
      <c r="L32" s="8">
        <f t="shared" si="14"/>
        <v>-137.12531634615505</v>
      </c>
      <c r="M32" s="3"/>
      <c r="N32" s="7">
        <f t="shared" si="15"/>
        <v>-0.29135595656347874</v>
      </c>
      <c r="O32" s="11"/>
      <c r="P32" s="8">
        <v>333.52</v>
      </c>
      <c r="Q32" s="3"/>
      <c r="R32" s="7">
        <f t="shared" si="16"/>
        <v>7.8126647061606963E-3</v>
      </c>
      <c r="S32" s="3"/>
      <c r="T32" s="8">
        <v>470.64531634615503</v>
      </c>
      <c r="U32" s="3"/>
      <c r="V32" s="7">
        <f t="shared" si="17"/>
        <v>5.527249751569642E-2</v>
      </c>
      <c r="W32" s="3"/>
      <c r="X32" s="8">
        <f t="shared" si="18"/>
        <v>-137.12531634615505</v>
      </c>
      <c r="Y32" s="3"/>
      <c r="Z32" s="7">
        <f t="shared" si="19"/>
        <v>-0.29135595656347874</v>
      </c>
    </row>
    <row r="33" spans="1:26" s="24" customFormat="1" hidden="1" outlineLevel="2" x14ac:dyDescent="0.3">
      <c r="A33" s="29"/>
      <c r="B33" s="11" t="str">
        <f>CONCATENATE("          ", "6115", " - ", "P.E.R.S.")</f>
        <v xml:space="preserve">          6115 - P.E.R.S.</v>
      </c>
      <c r="C33" s="11"/>
      <c r="D33" s="8">
        <v>6526.56</v>
      </c>
      <c r="E33" s="3"/>
      <c r="F33" s="7">
        <f t="shared" si="12"/>
        <v>0.15288385993235834</v>
      </c>
      <c r="G33" s="3"/>
      <c r="H33" s="8">
        <v>7725.9877884615498</v>
      </c>
      <c r="I33" s="3"/>
      <c r="J33" s="7">
        <f t="shared" si="13"/>
        <v>0.90733855413523778</v>
      </c>
      <c r="K33" s="3"/>
      <c r="L33" s="8">
        <f t="shared" si="14"/>
        <v>-1199.4277884615494</v>
      </c>
      <c r="M33" s="3"/>
      <c r="N33" s="7">
        <f t="shared" si="15"/>
        <v>-0.15524588198972386</v>
      </c>
      <c r="O33" s="11"/>
      <c r="P33" s="8">
        <v>6526.56</v>
      </c>
      <c r="Q33" s="3"/>
      <c r="R33" s="7">
        <f t="shared" si="16"/>
        <v>0.15288385993235834</v>
      </c>
      <c r="S33" s="3"/>
      <c r="T33" s="8">
        <v>7725.9877884615498</v>
      </c>
      <c r="U33" s="3"/>
      <c r="V33" s="7">
        <f t="shared" si="17"/>
        <v>0.90733855413523778</v>
      </c>
      <c r="W33" s="3"/>
      <c r="X33" s="8">
        <f t="shared" si="18"/>
        <v>-1199.4277884615494</v>
      </c>
      <c r="Y33" s="3"/>
      <c r="Z33" s="7">
        <f t="shared" si="19"/>
        <v>-0.15524588198972386</v>
      </c>
    </row>
    <row r="34" spans="1:26" s="24" customFormat="1" hidden="1" outlineLevel="2" x14ac:dyDescent="0.3">
      <c r="A34" s="29"/>
      <c r="B34" s="11" t="str">
        <f>CONCATENATE("          ", "6116", " - ", "EDUCATIONAL BENEFITS")</f>
        <v xml:space="preserve">          6116 - EDUCATIONAL BENEFITS</v>
      </c>
      <c r="C34" s="11"/>
      <c r="D34" s="8"/>
      <c r="E34" s="3"/>
      <c r="F34" s="7">
        <f t="shared" si="12"/>
        <v>0</v>
      </c>
      <c r="G34" s="3"/>
      <c r="H34" s="8">
        <v>0</v>
      </c>
      <c r="I34" s="3"/>
      <c r="J34" s="7">
        <f t="shared" si="13"/>
        <v>0</v>
      </c>
      <c r="K34" s="3"/>
      <c r="L34" s="8">
        <f t="shared" si="14"/>
        <v>0</v>
      </c>
      <c r="M34" s="3"/>
      <c r="N34" s="7">
        <f t="shared" si="15"/>
        <v>0</v>
      </c>
      <c r="O34" s="11"/>
      <c r="P34" s="8"/>
      <c r="Q34" s="3"/>
      <c r="R34" s="7">
        <f t="shared" si="16"/>
        <v>0</v>
      </c>
      <c r="S34" s="3"/>
      <c r="T34" s="8">
        <v>0</v>
      </c>
      <c r="U34" s="3"/>
      <c r="V34" s="7">
        <f t="shared" si="17"/>
        <v>0</v>
      </c>
      <c r="W34" s="3"/>
      <c r="X34" s="8">
        <f t="shared" si="18"/>
        <v>0</v>
      </c>
      <c r="Y34" s="3"/>
      <c r="Z34" s="7">
        <f t="shared" si="19"/>
        <v>0</v>
      </c>
    </row>
    <row r="35" spans="1:26" s="24" customFormat="1" hidden="1" outlineLevel="2" x14ac:dyDescent="0.3">
      <c r="A35" s="29"/>
      <c r="B35" s="11" t="str">
        <f>CONCATENATE("          ", "6117", " - ", "RETIREMENT STAFF HOURLY")</f>
        <v xml:space="preserve">          6117 - RETIREMENT STAFF HOURLY</v>
      </c>
      <c r="C35" s="11"/>
      <c r="D35" s="8">
        <v>1281.6400000000001</v>
      </c>
      <c r="E35" s="3"/>
      <c r="F35" s="7">
        <f t="shared" si="12"/>
        <v>3.0022258317353667E-2</v>
      </c>
      <c r="G35" s="3"/>
      <c r="H35" s="8"/>
      <c r="I35" s="3"/>
      <c r="J35" s="7">
        <f t="shared" si="13"/>
        <v>0</v>
      </c>
      <c r="K35" s="3"/>
      <c r="L35" s="8">
        <f t="shared" si="14"/>
        <v>1281.6400000000001</v>
      </c>
      <c r="M35" s="3"/>
      <c r="N35" s="7">
        <f t="shared" si="15"/>
        <v>0</v>
      </c>
      <c r="O35" s="11"/>
      <c r="P35" s="8">
        <v>1281.6400000000001</v>
      </c>
      <c r="Q35" s="3"/>
      <c r="R35" s="7">
        <f t="shared" si="16"/>
        <v>3.0022258317353667E-2</v>
      </c>
      <c r="S35" s="3"/>
      <c r="T35" s="8"/>
      <c r="U35" s="3"/>
      <c r="V35" s="7">
        <f t="shared" si="17"/>
        <v>0</v>
      </c>
      <c r="W35" s="3"/>
      <c r="X35" s="8">
        <f t="shared" si="18"/>
        <v>1281.6400000000001</v>
      </c>
      <c r="Y35" s="3"/>
      <c r="Z35" s="7">
        <f t="shared" si="19"/>
        <v>0</v>
      </c>
    </row>
    <row r="36" spans="1:26" s="24" customFormat="1" hidden="1" outlineLevel="2" x14ac:dyDescent="0.3">
      <c r="A36" s="29"/>
      <c r="B36" s="11" t="str">
        <f>CONCATENATE("          ", "6118", " - ", "VACATION")</f>
        <v xml:space="preserve">          6118 - VACATION</v>
      </c>
      <c r="C36" s="11"/>
      <c r="D36" s="8">
        <v>8985.02</v>
      </c>
      <c r="E36" s="3"/>
      <c r="F36" s="7">
        <f t="shared" si="12"/>
        <v>0.21047298104505871</v>
      </c>
      <c r="G36" s="3"/>
      <c r="H36" s="8">
        <v>9907.2771576923005</v>
      </c>
      <c r="I36" s="3"/>
      <c r="J36" s="7">
        <f t="shared" si="13"/>
        <v>1.1635087677853553</v>
      </c>
      <c r="K36" s="3"/>
      <c r="L36" s="8">
        <f t="shared" si="14"/>
        <v>-922.2571576923001</v>
      </c>
      <c r="M36" s="3"/>
      <c r="N36" s="7">
        <f t="shared" si="15"/>
        <v>-9.3088862157876803E-2</v>
      </c>
      <c r="O36" s="11"/>
      <c r="P36" s="8">
        <v>8985.02</v>
      </c>
      <c r="Q36" s="3"/>
      <c r="R36" s="7">
        <f t="shared" si="16"/>
        <v>0.21047298104505871</v>
      </c>
      <c r="S36" s="3"/>
      <c r="T36" s="8">
        <v>9907.2771576923005</v>
      </c>
      <c r="U36" s="3"/>
      <c r="V36" s="7">
        <f t="shared" si="17"/>
        <v>1.1635087677853553</v>
      </c>
      <c r="W36" s="3"/>
      <c r="X36" s="8">
        <f t="shared" si="18"/>
        <v>-922.2571576923001</v>
      </c>
      <c r="Y36" s="3"/>
      <c r="Z36" s="7">
        <f t="shared" si="19"/>
        <v>-9.3088862157876803E-2</v>
      </c>
    </row>
    <row r="37" spans="1:26" s="24" customFormat="1" hidden="1" outlineLevel="2" x14ac:dyDescent="0.3">
      <c r="A37" s="29"/>
      <c r="B37" s="11" t="str">
        <f>CONCATENATE("          ", "6119", " - ", "SICK LEAVE")</f>
        <v xml:space="preserve">          6119 - SICK LEAVE</v>
      </c>
      <c r="C37" s="11"/>
      <c r="D37" s="8">
        <v>5847.59</v>
      </c>
      <c r="E37" s="3"/>
      <c r="F37" s="7">
        <f t="shared" si="12"/>
        <v>0.13697907174711629</v>
      </c>
      <c r="G37" s="3"/>
      <c r="H37" s="8">
        <v>6403.4668326923002</v>
      </c>
      <c r="I37" s="3"/>
      <c r="J37" s="7">
        <f t="shared" si="13"/>
        <v>0.75202194159627722</v>
      </c>
      <c r="K37" s="3"/>
      <c r="L37" s="8">
        <f t="shared" si="14"/>
        <v>-555.87683269230001</v>
      </c>
      <c r="M37" s="3"/>
      <c r="N37" s="7">
        <f t="shared" si="15"/>
        <v>-8.6808731460015207E-2</v>
      </c>
      <c r="O37" s="11"/>
      <c r="P37" s="8">
        <v>5847.59</v>
      </c>
      <c r="Q37" s="3"/>
      <c r="R37" s="7">
        <f t="shared" si="16"/>
        <v>0.13697907174711629</v>
      </c>
      <c r="S37" s="3"/>
      <c r="T37" s="8">
        <v>6403.4668326923002</v>
      </c>
      <c r="U37" s="3"/>
      <c r="V37" s="7">
        <f t="shared" si="17"/>
        <v>0.75202194159627722</v>
      </c>
      <c r="W37" s="3"/>
      <c r="X37" s="8">
        <f t="shared" si="18"/>
        <v>-555.87683269230001</v>
      </c>
      <c r="Y37" s="3"/>
      <c r="Z37" s="7">
        <f t="shared" si="19"/>
        <v>-8.6808731460015207E-2</v>
      </c>
    </row>
    <row r="38" spans="1:26" s="24" customFormat="1" hidden="1" outlineLevel="2" x14ac:dyDescent="0.3">
      <c r="A38" s="29"/>
      <c r="B38" s="11" t="str">
        <f>CONCATENATE("          ", "6156", " - ", "EMPLOYEE MEALS")</f>
        <v xml:space="preserve">          6156 - EMPLOYEE MEALS</v>
      </c>
      <c r="C38" s="11"/>
      <c r="D38" s="8">
        <v>3414.17</v>
      </c>
      <c r="E38" s="3"/>
      <c r="F38" s="7">
        <f t="shared" si="12"/>
        <v>7.9976509534158871E-2</v>
      </c>
      <c r="G38" s="3"/>
      <c r="H38" s="8">
        <v>5825</v>
      </c>
      <c r="I38" s="3"/>
      <c r="J38" s="7">
        <f t="shared" si="13"/>
        <v>0.6840869054609513</v>
      </c>
      <c r="K38" s="3"/>
      <c r="L38" s="8">
        <f t="shared" si="14"/>
        <v>-2410.83</v>
      </c>
      <c r="M38" s="3"/>
      <c r="N38" s="7">
        <f t="shared" si="15"/>
        <v>-0.41387639484978539</v>
      </c>
      <c r="O38" s="11"/>
      <c r="P38" s="8">
        <v>3414.17</v>
      </c>
      <c r="Q38" s="3"/>
      <c r="R38" s="7">
        <f t="shared" si="16"/>
        <v>7.9976509534158871E-2</v>
      </c>
      <c r="S38" s="3"/>
      <c r="T38" s="8">
        <v>5825</v>
      </c>
      <c r="U38" s="3"/>
      <c r="V38" s="7">
        <f t="shared" si="17"/>
        <v>0.6840869054609513</v>
      </c>
      <c r="W38" s="3"/>
      <c r="X38" s="8">
        <f t="shared" si="18"/>
        <v>-2410.83</v>
      </c>
      <c r="Y38" s="3"/>
      <c r="Z38" s="7">
        <f t="shared" si="19"/>
        <v>-0.41387639484978539</v>
      </c>
    </row>
    <row r="39" spans="1:26" s="27" customFormat="1" outlineLevel="1" collapsed="1" x14ac:dyDescent="0.3">
      <c r="A39" s="28"/>
      <c r="B39" s="14" t="str">
        <f>CONCATENATE("     ","*Payroll                                          ")</f>
        <v xml:space="preserve">     *Payroll                                          </v>
      </c>
      <c r="C39" s="14"/>
      <c r="D39" s="1">
        <f>SUM(OSRRefD22_1x_0)</f>
        <v>152798.49</v>
      </c>
      <c r="E39" s="1"/>
      <c r="F39" s="5">
        <f t="shared" ref="F39:F49" si="20">IF(D$12=0,0,D39/D$12)</f>
        <v>3.5792857099353803</v>
      </c>
      <c r="G39" s="1"/>
      <c r="H39" s="1">
        <f>SUM(OSRRefH22_1x_0)</f>
        <v>208131.76081730763</v>
      </c>
      <c r="I39" s="1"/>
      <c r="J39" s="5">
        <f t="shared" ref="J39:J49" si="21">IF(H$12=0,0,H39/H$12)</f>
        <v>24.442954881656796</v>
      </c>
      <c r="K39" s="1"/>
      <c r="L39" s="1">
        <f t="shared" ref="L39:L49" si="22">+D39-H39</f>
        <v>-55333.270817307639</v>
      </c>
      <c r="M39" s="1"/>
      <c r="N39" s="5">
        <f t="shared" ref="N39:N49" si="23">IF(H39=0,0,L39/H39)</f>
        <v>-0.26585692928374188</v>
      </c>
      <c r="O39" s="14"/>
      <c r="P39" s="1">
        <f>SUM(OSRRefP22_1x_0)</f>
        <v>152798.49</v>
      </c>
      <c r="Q39" s="1"/>
      <c r="R39" s="5">
        <f t="shared" ref="R39:R49" si="24">IF(P$12=0,0,P39/P$12)</f>
        <v>3.5792857099353803</v>
      </c>
      <c r="S39" s="1"/>
      <c r="T39" s="1">
        <f>SUM(OSRRefT22_1x_0)</f>
        <v>208131.76081730763</v>
      </c>
      <c r="U39" s="1"/>
      <c r="V39" s="5">
        <f t="shared" ref="V39:V49" si="25">IF(T$12=0,0,T39/T$12)</f>
        <v>24.442954881656796</v>
      </c>
      <c r="W39" s="1"/>
      <c r="X39" s="1">
        <f t="shared" ref="X39:X49" si="26">+P39-T39</f>
        <v>-55333.270817307639</v>
      </c>
      <c r="Y39" s="1"/>
      <c r="Z39" s="5">
        <f t="shared" ref="Z39:Z49" si="27">IF(T39=0,0,X39/T39)</f>
        <v>-0.26585692928374188</v>
      </c>
    </row>
    <row r="40" spans="1:26" s="24" customFormat="1" hidden="1" outlineLevel="2" x14ac:dyDescent="0.3">
      <c r="A40" s="29"/>
      <c r="B40" s="11" t="str">
        <f>CONCATENATE("          ", "6001", " - ", "ADMINISTRATIVE SALARIES")</f>
        <v xml:space="preserve">          6001 - ADMINISTRATIVE SALARIES</v>
      </c>
      <c r="C40" s="11"/>
      <c r="D40" s="8">
        <v>25035.82</v>
      </c>
      <c r="E40" s="3"/>
      <c r="F40" s="7">
        <f t="shared" si="20"/>
        <v>0.5864609837604704</v>
      </c>
      <c r="G40" s="3"/>
      <c r="H40" s="8">
        <v>12835.384615384601</v>
      </c>
      <c r="I40" s="3"/>
      <c r="J40" s="7">
        <f t="shared" si="21"/>
        <v>1.5073851574145156</v>
      </c>
      <c r="K40" s="3"/>
      <c r="L40" s="8">
        <f t="shared" si="22"/>
        <v>12200.435384615399</v>
      </c>
      <c r="M40" s="3"/>
      <c r="N40" s="7">
        <f t="shared" si="23"/>
        <v>0.95053134364137826</v>
      </c>
      <c r="O40" s="11"/>
      <c r="P40" s="8">
        <v>25035.82</v>
      </c>
      <c r="Q40" s="3"/>
      <c r="R40" s="7">
        <f t="shared" si="24"/>
        <v>0.5864609837604704</v>
      </c>
      <c r="S40" s="3"/>
      <c r="T40" s="8">
        <v>12835.384615384601</v>
      </c>
      <c r="U40" s="3"/>
      <c r="V40" s="7">
        <f t="shared" si="25"/>
        <v>1.5073851574145156</v>
      </c>
      <c r="W40" s="3"/>
      <c r="X40" s="8">
        <f t="shared" si="26"/>
        <v>12200.435384615399</v>
      </c>
      <c r="Y40" s="3"/>
      <c r="Z40" s="7">
        <f t="shared" si="27"/>
        <v>0.95053134364137826</v>
      </c>
    </row>
    <row r="41" spans="1:26" s="24" customFormat="1" hidden="1" outlineLevel="2" x14ac:dyDescent="0.3">
      <c r="A41" s="29"/>
      <c r="B41" s="11" t="str">
        <f>CONCATENATE("          ", "6002", " - ", "STAFF SALARIES")</f>
        <v xml:space="preserve">          6002 - STAFF SALARIES</v>
      </c>
      <c r="C41" s="11"/>
      <c r="D41" s="8">
        <v>58847.46</v>
      </c>
      <c r="E41" s="3"/>
      <c r="F41" s="7">
        <f t="shared" si="20"/>
        <v>1.3784944644675081</v>
      </c>
      <c r="G41" s="3"/>
      <c r="H41" s="8">
        <v>70955.600201923007</v>
      </c>
      <c r="I41" s="3"/>
      <c r="J41" s="7">
        <f t="shared" si="21"/>
        <v>8.3330123548940698</v>
      </c>
      <c r="K41" s="3"/>
      <c r="L41" s="8">
        <f t="shared" si="22"/>
        <v>-12108.140201923008</v>
      </c>
      <c r="M41" s="3"/>
      <c r="N41" s="7">
        <f t="shared" si="23"/>
        <v>-0.17064389797938539</v>
      </c>
      <c r="O41" s="11"/>
      <c r="P41" s="8">
        <v>58847.46</v>
      </c>
      <c r="Q41" s="3"/>
      <c r="R41" s="7">
        <f t="shared" si="24"/>
        <v>1.3784944644675081</v>
      </c>
      <c r="S41" s="3"/>
      <c r="T41" s="8">
        <v>70955.600201923007</v>
      </c>
      <c r="U41" s="3"/>
      <c r="V41" s="7">
        <f t="shared" si="25"/>
        <v>8.3330123548940698</v>
      </c>
      <c r="W41" s="3"/>
      <c r="X41" s="8">
        <f t="shared" si="26"/>
        <v>-12108.140201923008</v>
      </c>
      <c r="Y41" s="3"/>
      <c r="Z41" s="7">
        <f t="shared" si="27"/>
        <v>-0.17064389797938539</v>
      </c>
    </row>
    <row r="42" spans="1:26" s="24" customFormat="1" hidden="1" outlineLevel="2" x14ac:dyDescent="0.3">
      <c r="A42" s="29"/>
      <c r="B42" s="11" t="str">
        <f>CONCATENATE("          ", "6003", " - ", "STAFF HOURLY-9 MONTH")</f>
        <v xml:space="preserve">          6003 - STAFF HOURLY-9 MONTH</v>
      </c>
      <c r="C42" s="11"/>
      <c r="D42" s="8"/>
      <c r="E42" s="3"/>
      <c r="F42" s="7">
        <f t="shared" si="20"/>
        <v>0</v>
      </c>
      <c r="G42" s="3"/>
      <c r="H42" s="8">
        <v>0</v>
      </c>
      <c r="I42" s="3"/>
      <c r="J42" s="7">
        <f t="shared" si="21"/>
        <v>0</v>
      </c>
      <c r="K42" s="3"/>
      <c r="L42" s="8">
        <f t="shared" si="22"/>
        <v>0</v>
      </c>
      <c r="M42" s="3"/>
      <c r="N42" s="7">
        <f t="shared" si="23"/>
        <v>0</v>
      </c>
      <c r="O42" s="11"/>
      <c r="P42" s="8"/>
      <c r="Q42" s="3"/>
      <c r="R42" s="7">
        <f t="shared" si="24"/>
        <v>0</v>
      </c>
      <c r="S42" s="3"/>
      <c r="T42" s="8">
        <v>0</v>
      </c>
      <c r="U42" s="3"/>
      <c r="V42" s="7">
        <f t="shared" si="25"/>
        <v>0</v>
      </c>
      <c r="W42" s="3"/>
      <c r="X42" s="8">
        <f t="shared" si="26"/>
        <v>0</v>
      </c>
      <c r="Y42" s="3"/>
      <c r="Z42" s="7">
        <f t="shared" si="27"/>
        <v>0</v>
      </c>
    </row>
    <row r="43" spans="1:26" s="24" customFormat="1" hidden="1" outlineLevel="2" x14ac:dyDescent="0.3">
      <c r="A43" s="29"/>
      <c r="B43" s="11" t="str">
        <f>CONCATENATE("          ", "6004", " - ", "STAFF HOURLY")</f>
        <v xml:space="preserve">          6004 - STAFF HOURLY</v>
      </c>
      <c r="C43" s="11"/>
      <c r="D43" s="8">
        <v>46196.15</v>
      </c>
      <c r="E43" s="3"/>
      <c r="F43" s="7">
        <f t="shared" si="20"/>
        <v>1.0821390941038183</v>
      </c>
      <c r="G43" s="3"/>
      <c r="H43" s="8">
        <v>123892.636</v>
      </c>
      <c r="I43" s="3"/>
      <c r="J43" s="7">
        <f t="shared" si="21"/>
        <v>14.549927891955372</v>
      </c>
      <c r="K43" s="3"/>
      <c r="L43" s="8">
        <f t="shared" si="22"/>
        <v>-77696.486000000004</v>
      </c>
      <c r="M43" s="3"/>
      <c r="N43" s="7">
        <f t="shared" si="23"/>
        <v>-0.62712755582987201</v>
      </c>
      <c r="O43" s="11"/>
      <c r="P43" s="8">
        <v>46196.15</v>
      </c>
      <c r="Q43" s="3"/>
      <c r="R43" s="7">
        <f t="shared" si="24"/>
        <v>1.0821390941038183</v>
      </c>
      <c r="S43" s="3"/>
      <c r="T43" s="8">
        <v>123892.636</v>
      </c>
      <c r="U43" s="3"/>
      <c r="V43" s="7">
        <f t="shared" si="25"/>
        <v>14.549927891955372</v>
      </c>
      <c r="W43" s="3"/>
      <c r="X43" s="8">
        <f t="shared" si="26"/>
        <v>-77696.486000000004</v>
      </c>
      <c r="Y43" s="3"/>
      <c r="Z43" s="7">
        <f t="shared" si="27"/>
        <v>-0.62712755582987201</v>
      </c>
    </row>
    <row r="44" spans="1:26" s="24" customFormat="1" hidden="1" outlineLevel="2" x14ac:dyDescent="0.3">
      <c r="A44" s="29"/>
      <c r="B44" s="11" t="str">
        <f>CONCATENATE("          ", "6005", " - ", "TEMPORARY WAGES-HOURLY")</f>
        <v xml:space="preserve">          6005 - TEMPORARY WAGES-HOURLY</v>
      </c>
      <c r="C44" s="11"/>
      <c r="D44" s="8">
        <v>7979.27</v>
      </c>
      <c r="E44" s="3"/>
      <c r="F44" s="7">
        <f t="shared" si="20"/>
        <v>0.18691341181916185</v>
      </c>
      <c r="G44" s="3"/>
      <c r="H44" s="8">
        <v>448.14</v>
      </c>
      <c r="I44" s="3"/>
      <c r="J44" s="7">
        <f t="shared" si="21"/>
        <v>5.2629477392836167E-2</v>
      </c>
      <c r="K44" s="3"/>
      <c r="L44" s="8">
        <f t="shared" si="22"/>
        <v>7531.13</v>
      </c>
      <c r="M44" s="3"/>
      <c r="N44" s="7">
        <f t="shared" si="23"/>
        <v>16.805306377471325</v>
      </c>
      <c r="O44" s="11"/>
      <c r="P44" s="8">
        <v>7979.27</v>
      </c>
      <c r="Q44" s="3"/>
      <c r="R44" s="7">
        <f t="shared" si="24"/>
        <v>0.18691341181916185</v>
      </c>
      <c r="S44" s="3"/>
      <c r="T44" s="8">
        <v>448.14</v>
      </c>
      <c r="U44" s="3"/>
      <c r="V44" s="7">
        <f t="shared" si="25"/>
        <v>5.2629477392836167E-2</v>
      </c>
      <c r="W44" s="3"/>
      <c r="X44" s="8">
        <f t="shared" si="26"/>
        <v>7531.13</v>
      </c>
      <c r="Y44" s="3"/>
      <c r="Z44" s="7">
        <f t="shared" si="27"/>
        <v>16.805306377471325</v>
      </c>
    </row>
    <row r="45" spans="1:26" s="24" customFormat="1" hidden="1" outlineLevel="2" x14ac:dyDescent="0.3">
      <c r="A45" s="29"/>
      <c r="B45" s="11" t="str">
        <f>CONCATENATE("          ", "6006", " - ", "TEMPORARY PART TIME")</f>
        <v xml:space="preserve">          6006 - TEMPORARY PART TIME</v>
      </c>
      <c r="C45" s="11"/>
      <c r="D45" s="8"/>
      <c r="E45" s="3"/>
      <c r="F45" s="7">
        <f t="shared" si="20"/>
        <v>0</v>
      </c>
      <c r="G45" s="3"/>
      <c r="H45" s="8">
        <v>0</v>
      </c>
      <c r="I45" s="3"/>
      <c r="J45" s="7">
        <f t="shared" si="21"/>
        <v>0</v>
      </c>
      <c r="K45" s="3"/>
      <c r="L45" s="8">
        <f t="shared" si="22"/>
        <v>0</v>
      </c>
      <c r="M45" s="3"/>
      <c r="N45" s="7">
        <f t="shared" si="23"/>
        <v>0</v>
      </c>
      <c r="O45" s="11"/>
      <c r="P45" s="8"/>
      <c r="Q45" s="3"/>
      <c r="R45" s="7">
        <f t="shared" si="24"/>
        <v>0</v>
      </c>
      <c r="S45" s="3"/>
      <c r="T45" s="8">
        <v>0</v>
      </c>
      <c r="U45" s="3"/>
      <c r="V45" s="7">
        <f t="shared" si="25"/>
        <v>0</v>
      </c>
      <c r="W45" s="3"/>
      <c r="X45" s="8">
        <f t="shared" si="26"/>
        <v>0</v>
      </c>
      <c r="Y45" s="3"/>
      <c r="Z45" s="7">
        <f t="shared" si="27"/>
        <v>0</v>
      </c>
    </row>
    <row r="46" spans="1:26" s="24" customFormat="1" hidden="1" outlineLevel="2" x14ac:dyDescent="0.3">
      <c r="A46" s="29"/>
      <c r="B46" s="11" t="str">
        <f>CONCATENATE("          ", "6007", " - ", "STUDENT HOURLY")</f>
        <v xml:space="preserve">          6007 - STUDENT HOURLY</v>
      </c>
      <c r="C46" s="11"/>
      <c r="D46" s="8">
        <v>14739.79</v>
      </c>
      <c r="E46" s="3"/>
      <c r="F46" s="7">
        <f t="shared" si="20"/>
        <v>0.34527775578442182</v>
      </c>
      <c r="G46" s="3"/>
      <c r="H46" s="8">
        <v>0</v>
      </c>
      <c r="I46" s="3"/>
      <c r="J46" s="7">
        <f t="shared" si="21"/>
        <v>0</v>
      </c>
      <c r="K46" s="3"/>
      <c r="L46" s="8">
        <f t="shared" si="22"/>
        <v>14739.79</v>
      </c>
      <c r="M46" s="3"/>
      <c r="N46" s="7">
        <f t="shared" si="23"/>
        <v>0</v>
      </c>
      <c r="O46" s="11"/>
      <c r="P46" s="8">
        <v>14739.79</v>
      </c>
      <c r="Q46" s="3"/>
      <c r="R46" s="7">
        <f t="shared" si="24"/>
        <v>0.34527775578442182</v>
      </c>
      <c r="S46" s="3"/>
      <c r="T46" s="8">
        <v>0</v>
      </c>
      <c r="U46" s="3"/>
      <c r="V46" s="7">
        <f t="shared" si="25"/>
        <v>0</v>
      </c>
      <c r="W46" s="3"/>
      <c r="X46" s="8">
        <f t="shared" si="26"/>
        <v>14739.79</v>
      </c>
      <c r="Y46" s="3"/>
      <c r="Z46" s="7">
        <f t="shared" si="27"/>
        <v>0</v>
      </c>
    </row>
    <row r="47" spans="1:26" s="24" customFormat="1" hidden="1" outlineLevel="2" x14ac:dyDescent="0.3">
      <c r="A47" s="29"/>
      <c r="B47" s="11" t="str">
        <f>CONCATENATE("          ", "6008", " - ", "STUDENT HOURLY-FICA EXEMPT")</f>
        <v xml:space="preserve">          6008 - STUDENT HOURLY-FICA EXEMPT</v>
      </c>
      <c r="C47" s="11"/>
      <c r="D47" s="8"/>
      <c r="E47" s="3"/>
      <c r="F47" s="7">
        <f t="shared" si="20"/>
        <v>0</v>
      </c>
      <c r="G47" s="3"/>
      <c r="H47" s="8">
        <v>0</v>
      </c>
      <c r="I47" s="3"/>
      <c r="J47" s="7">
        <f t="shared" si="21"/>
        <v>0</v>
      </c>
      <c r="K47" s="3"/>
      <c r="L47" s="8">
        <f t="shared" si="22"/>
        <v>0</v>
      </c>
      <c r="M47" s="3"/>
      <c r="N47" s="7">
        <f t="shared" si="23"/>
        <v>0</v>
      </c>
      <c r="O47" s="11"/>
      <c r="P47" s="8"/>
      <c r="Q47" s="3"/>
      <c r="R47" s="7">
        <f t="shared" si="24"/>
        <v>0</v>
      </c>
      <c r="S47" s="3"/>
      <c r="T47" s="8">
        <v>0</v>
      </c>
      <c r="U47" s="3"/>
      <c r="V47" s="7">
        <f t="shared" si="25"/>
        <v>0</v>
      </c>
      <c r="W47" s="3"/>
      <c r="X47" s="8">
        <f t="shared" si="26"/>
        <v>0</v>
      </c>
      <c r="Y47" s="3"/>
      <c r="Z47" s="7">
        <f t="shared" si="27"/>
        <v>0</v>
      </c>
    </row>
    <row r="48" spans="1:26" s="24" customFormat="1" hidden="1" outlineLevel="2" x14ac:dyDescent="0.3">
      <c r="A48" s="29"/>
      <c r="B48" s="11" t="str">
        <f>CONCATENATE("          ", "6009", " - ", "TEMPORARY-SEASONAL")</f>
        <v xml:space="preserve">          6009 - TEMPORARY-SEASONAL</v>
      </c>
      <c r="C48" s="11"/>
      <c r="D48" s="8"/>
      <c r="E48" s="3"/>
      <c r="F48" s="7">
        <f t="shared" si="20"/>
        <v>0</v>
      </c>
      <c r="G48" s="3"/>
      <c r="H48" s="8">
        <v>0</v>
      </c>
      <c r="I48" s="3"/>
      <c r="J48" s="7">
        <f t="shared" si="21"/>
        <v>0</v>
      </c>
      <c r="K48" s="3"/>
      <c r="L48" s="8">
        <f t="shared" si="22"/>
        <v>0</v>
      </c>
      <c r="M48" s="3"/>
      <c r="N48" s="7">
        <f t="shared" si="23"/>
        <v>0</v>
      </c>
      <c r="O48" s="11"/>
      <c r="P48" s="8"/>
      <c r="Q48" s="3"/>
      <c r="R48" s="7">
        <f t="shared" si="24"/>
        <v>0</v>
      </c>
      <c r="S48" s="3"/>
      <c r="T48" s="8">
        <v>0</v>
      </c>
      <c r="U48" s="3"/>
      <c r="V48" s="7">
        <f t="shared" si="25"/>
        <v>0</v>
      </c>
      <c r="W48" s="3"/>
      <c r="X48" s="8">
        <f t="shared" si="26"/>
        <v>0</v>
      </c>
      <c r="Y48" s="3"/>
      <c r="Z48" s="7">
        <f t="shared" si="27"/>
        <v>0</v>
      </c>
    </row>
    <row r="49" spans="1:26" s="24" customFormat="1" hidden="1" outlineLevel="2" x14ac:dyDescent="0.3">
      <c r="A49" s="29"/>
      <c r="B49" s="11" t="str">
        <f>CONCATENATE("          ", "6010", " - ", "GRATUITY")</f>
        <v xml:space="preserve">          6010 - GRATUITY</v>
      </c>
      <c r="C49" s="11"/>
      <c r="D49" s="8"/>
      <c r="E49" s="3"/>
      <c r="F49" s="7">
        <f t="shared" si="20"/>
        <v>0</v>
      </c>
      <c r="G49" s="3"/>
      <c r="H49" s="8">
        <v>0</v>
      </c>
      <c r="I49" s="3"/>
      <c r="J49" s="7">
        <f t="shared" si="21"/>
        <v>0</v>
      </c>
      <c r="K49" s="3"/>
      <c r="L49" s="8">
        <f t="shared" si="22"/>
        <v>0</v>
      </c>
      <c r="M49" s="3"/>
      <c r="N49" s="7">
        <f t="shared" si="23"/>
        <v>0</v>
      </c>
      <c r="O49" s="11"/>
      <c r="P49" s="8"/>
      <c r="Q49" s="3"/>
      <c r="R49" s="7">
        <f t="shared" si="24"/>
        <v>0</v>
      </c>
      <c r="S49" s="3"/>
      <c r="T49" s="8">
        <v>0</v>
      </c>
      <c r="U49" s="3"/>
      <c r="V49" s="7">
        <f t="shared" si="25"/>
        <v>0</v>
      </c>
      <c r="W49" s="3"/>
      <c r="X49" s="8">
        <f t="shared" si="26"/>
        <v>0</v>
      </c>
      <c r="Y49" s="3"/>
      <c r="Z49" s="7">
        <f t="shared" si="27"/>
        <v>0</v>
      </c>
    </row>
    <row r="50" spans="1:26" s="27" customFormat="1" outlineLevel="1" collapsed="1" x14ac:dyDescent="0.3">
      <c r="A50" s="28"/>
      <c r="B50" s="14" t="str">
        <f>CONCATENATE("     ","Advertising/Promo                                 ")</f>
        <v xml:space="preserve">     Advertising/Promo                                 </v>
      </c>
      <c r="C50" s="14"/>
      <c r="D50" s="1">
        <f>SUM(OSRRefD22_2x_0)</f>
        <v>545.73</v>
      </c>
      <c r="E50" s="1"/>
      <c r="F50" s="5">
        <f t="shared" ref="F50:F58" si="28">IF(D$12=0,0,D50/D$12)</f>
        <v>1.2783657681977324E-2</v>
      </c>
      <c r="G50" s="1"/>
      <c r="H50" s="1">
        <f>SUM(OSRRefH22_2x_0)</f>
        <v>950</v>
      </c>
      <c r="I50" s="1"/>
      <c r="J50" s="5">
        <f t="shared" ref="J50:J58" si="29">IF(H$12=0,0,H50/H$12)</f>
        <v>0.11156782149148561</v>
      </c>
      <c r="K50" s="1"/>
      <c r="L50" s="1">
        <f t="shared" ref="L50:L58" si="30">+D50-H50</f>
        <v>-404.27</v>
      </c>
      <c r="M50" s="1"/>
      <c r="N50" s="5">
        <f t="shared" ref="N50:N58" si="31">IF(H50=0,0,L50/H50)</f>
        <v>-0.42554736842105262</v>
      </c>
      <c r="O50" s="14"/>
      <c r="P50" s="1">
        <f>SUM(OSRRefP22_2x_0)</f>
        <v>545.73</v>
      </c>
      <c r="Q50" s="1"/>
      <c r="R50" s="5">
        <f t="shared" ref="R50:R58" si="32">IF(P$12=0,0,P50/P$12)</f>
        <v>1.2783657681977324E-2</v>
      </c>
      <c r="S50" s="1"/>
      <c r="T50" s="1">
        <f>SUM(OSRRefT22_2x_0)</f>
        <v>950</v>
      </c>
      <c r="U50" s="1"/>
      <c r="V50" s="5">
        <f t="shared" ref="V50:V58" si="33">IF(T$12=0,0,T50/T$12)</f>
        <v>0.11156782149148561</v>
      </c>
      <c r="W50" s="1"/>
      <c r="X50" s="1">
        <f t="shared" ref="X50:X58" si="34">+P50-T50</f>
        <v>-404.27</v>
      </c>
      <c r="Y50" s="1"/>
      <c r="Z50" s="5">
        <f t="shared" ref="Z50:Z58" si="35">IF(T50=0,0,X50/T50)</f>
        <v>-0.42554736842105262</v>
      </c>
    </row>
    <row r="51" spans="1:26" s="24" customFormat="1" hidden="1" outlineLevel="2" x14ac:dyDescent="0.3">
      <c r="A51" s="29"/>
      <c r="B51" s="11" t="str">
        <f>CONCATENATE("          ", "6362", " - ", "ADVERTISING EXPENSE")</f>
        <v xml:space="preserve">          6362 - ADVERTISING EXPENSE</v>
      </c>
      <c r="C51" s="11"/>
      <c r="D51" s="8">
        <v>545.73</v>
      </c>
      <c r="E51" s="3"/>
      <c r="F51" s="7">
        <f t="shared" si="28"/>
        <v>1.2783657681977324E-2</v>
      </c>
      <c r="G51" s="3"/>
      <c r="H51" s="8">
        <v>950</v>
      </c>
      <c r="I51" s="3"/>
      <c r="J51" s="7">
        <f t="shared" si="29"/>
        <v>0.11156782149148561</v>
      </c>
      <c r="K51" s="3"/>
      <c r="L51" s="8">
        <f t="shared" si="30"/>
        <v>-404.27</v>
      </c>
      <c r="M51" s="3"/>
      <c r="N51" s="7">
        <f t="shared" si="31"/>
        <v>-0.42554736842105262</v>
      </c>
      <c r="O51" s="11"/>
      <c r="P51" s="8">
        <v>545.73</v>
      </c>
      <c r="Q51" s="3"/>
      <c r="R51" s="7">
        <f t="shared" si="32"/>
        <v>1.2783657681977324E-2</v>
      </c>
      <c r="S51" s="3"/>
      <c r="T51" s="8">
        <v>950</v>
      </c>
      <c r="U51" s="3"/>
      <c r="V51" s="7">
        <f t="shared" si="33"/>
        <v>0.11156782149148561</v>
      </c>
      <c r="W51" s="3"/>
      <c r="X51" s="8">
        <f t="shared" si="34"/>
        <v>-404.27</v>
      </c>
      <c r="Y51" s="3"/>
      <c r="Z51" s="7">
        <f t="shared" si="35"/>
        <v>-0.42554736842105262</v>
      </c>
    </row>
    <row r="52" spans="1:26" s="27" customFormat="1" outlineLevel="1" collapsed="1" x14ac:dyDescent="0.3">
      <c r="A52" s="28"/>
      <c r="B52" s="14" t="str">
        <f>CONCATENATE("     ","Bad Debts/Over/Short                              ")</f>
        <v xml:space="preserve">     Bad Debts/Over/Short                              </v>
      </c>
      <c r="C52" s="14"/>
      <c r="D52" s="1">
        <f>SUM(OSRRefD22_3x_0)</f>
        <v>-19.02</v>
      </c>
      <c r="E52" s="1"/>
      <c r="F52" s="5">
        <f t="shared" si="28"/>
        <v>-4.4554114509227764E-4</v>
      </c>
      <c r="G52" s="1"/>
      <c r="H52" s="1">
        <f>SUM(OSRRefH22_3x_0)</f>
        <v>25</v>
      </c>
      <c r="I52" s="1"/>
      <c r="J52" s="5">
        <f t="shared" si="29"/>
        <v>2.935995302407516E-3</v>
      </c>
      <c r="K52" s="1"/>
      <c r="L52" s="1">
        <f t="shared" si="30"/>
        <v>-44.019999999999996</v>
      </c>
      <c r="M52" s="1"/>
      <c r="N52" s="5">
        <f t="shared" si="31"/>
        <v>-1.7607999999999999</v>
      </c>
      <c r="O52" s="14"/>
      <c r="P52" s="1">
        <f>SUM(OSRRefP22_3x_0)</f>
        <v>-19.02</v>
      </c>
      <c r="Q52" s="1"/>
      <c r="R52" s="5">
        <f t="shared" si="32"/>
        <v>-4.4554114509227764E-4</v>
      </c>
      <c r="S52" s="1"/>
      <c r="T52" s="1">
        <f>SUM(OSRRefT22_3x_0)</f>
        <v>25</v>
      </c>
      <c r="U52" s="1"/>
      <c r="V52" s="5">
        <f t="shared" si="33"/>
        <v>2.935995302407516E-3</v>
      </c>
      <c r="W52" s="1"/>
      <c r="X52" s="1">
        <f t="shared" si="34"/>
        <v>-44.019999999999996</v>
      </c>
      <c r="Y52" s="1"/>
      <c r="Z52" s="5">
        <f t="shared" si="35"/>
        <v>-1.7607999999999999</v>
      </c>
    </row>
    <row r="53" spans="1:26" s="24" customFormat="1" hidden="1" outlineLevel="2" x14ac:dyDescent="0.3">
      <c r="A53" s="29"/>
      <c r="B53" s="11" t="str">
        <f>CONCATENATE("          ", "6272", " - ", "CASH (OVER/SHORT)")</f>
        <v xml:space="preserve">          6272 - CASH (OVER/SHORT)</v>
      </c>
      <c r="C53" s="11"/>
      <c r="D53" s="8">
        <v>-19.02</v>
      </c>
      <c r="E53" s="3"/>
      <c r="F53" s="7">
        <f t="shared" si="28"/>
        <v>-4.4554114509227764E-4</v>
      </c>
      <c r="G53" s="3"/>
      <c r="H53" s="8">
        <v>25</v>
      </c>
      <c r="I53" s="3"/>
      <c r="J53" s="7">
        <f t="shared" si="29"/>
        <v>2.935995302407516E-3</v>
      </c>
      <c r="K53" s="3"/>
      <c r="L53" s="8">
        <f t="shared" si="30"/>
        <v>-44.019999999999996</v>
      </c>
      <c r="M53" s="3"/>
      <c r="N53" s="7">
        <f t="shared" si="31"/>
        <v>-1.7607999999999999</v>
      </c>
      <c r="O53" s="11"/>
      <c r="P53" s="8">
        <v>-19.02</v>
      </c>
      <c r="Q53" s="3"/>
      <c r="R53" s="7">
        <f t="shared" si="32"/>
        <v>-4.4554114509227764E-4</v>
      </c>
      <c r="S53" s="3"/>
      <c r="T53" s="8">
        <v>25</v>
      </c>
      <c r="U53" s="3"/>
      <c r="V53" s="7">
        <f t="shared" si="33"/>
        <v>2.935995302407516E-3</v>
      </c>
      <c r="W53" s="3"/>
      <c r="X53" s="8">
        <f t="shared" si="34"/>
        <v>-44.019999999999996</v>
      </c>
      <c r="Y53" s="3"/>
      <c r="Z53" s="7">
        <f t="shared" si="35"/>
        <v>-1.7607999999999999</v>
      </c>
    </row>
    <row r="54" spans="1:26" s="27" customFormat="1" outlineLevel="1" collapsed="1" x14ac:dyDescent="0.3">
      <c r="A54" s="28"/>
      <c r="B54" s="14" t="str">
        <f>CONCATENATE("     ","Bank/card Fees                                    ")</f>
        <v xml:space="preserve">     Bank/card Fees                                    </v>
      </c>
      <c r="C54" s="14"/>
      <c r="D54" s="1">
        <f>SUM(OSRRefD22_4x_0)</f>
        <v>1010.3</v>
      </c>
      <c r="E54" s="1"/>
      <c r="F54" s="5">
        <f t="shared" si="28"/>
        <v>2.3666152412551423E-2</v>
      </c>
      <c r="G54" s="1"/>
      <c r="H54" s="1">
        <f>SUM(OSRRefH22_4x_0)</f>
        <v>1490</v>
      </c>
      <c r="I54" s="1"/>
      <c r="J54" s="5">
        <f t="shared" si="29"/>
        <v>0.17498532002348796</v>
      </c>
      <c r="K54" s="1"/>
      <c r="L54" s="1">
        <f t="shared" si="30"/>
        <v>-479.70000000000005</v>
      </c>
      <c r="M54" s="1"/>
      <c r="N54" s="5">
        <f t="shared" si="31"/>
        <v>-0.32194630872483226</v>
      </c>
      <c r="O54" s="14"/>
      <c r="P54" s="1">
        <f>SUM(OSRRefP22_4x_0)</f>
        <v>1010.3</v>
      </c>
      <c r="Q54" s="1"/>
      <c r="R54" s="5">
        <f t="shared" si="32"/>
        <v>2.3666152412551423E-2</v>
      </c>
      <c r="S54" s="1"/>
      <c r="T54" s="1">
        <f>SUM(OSRRefT22_4x_0)</f>
        <v>1490</v>
      </c>
      <c r="U54" s="1"/>
      <c r="V54" s="5">
        <f t="shared" si="33"/>
        <v>0.17498532002348796</v>
      </c>
      <c r="W54" s="1"/>
      <c r="X54" s="1">
        <f t="shared" si="34"/>
        <v>-479.70000000000005</v>
      </c>
      <c r="Y54" s="1"/>
      <c r="Z54" s="5">
        <f t="shared" si="35"/>
        <v>-0.32194630872483226</v>
      </c>
    </row>
    <row r="55" spans="1:26" s="24" customFormat="1" hidden="1" outlineLevel="2" x14ac:dyDescent="0.3">
      <c r="A55" s="29"/>
      <c r="B55" s="11" t="str">
        <f>CONCATENATE("          ", "6381", " - ", "BANK/CREDIT CARD FEES")</f>
        <v xml:space="preserve">          6381 - BANK/CREDIT CARD FEES</v>
      </c>
      <c r="C55" s="11"/>
      <c r="D55" s="8">
        <v>1010.3</v>
      </c>
      <c r="E55" s="3"/>
      <c r="F55" s="7">
        <f t="shared" si="28"/>
        <v>2.3666152412551423E-2</v>
      </c>
      <c r="G55" s="3"/>
      <c r="H55" s="8">
        <v>1490</v>
      </c>
      <c r="I55" s="3"/>
      <c r="J55" s="7">
        <f t="shared" si="29"/>
        <v>0.17498532002348796</v>
      </c>
      <c r="K55" s="3"/>
      <c r="L55" s="8">
        <f t="shared" si="30"/>
        <v>-479.70000000000005</v>
      </c>
      <c r="M55" s="3"/>
      <c r="N55" s="7">
        <f t="shared" si="31"/>
        <v>-0.32194630872483226</v>
      </c>
      <c r="O55" s="11"/>
      <c r="P55" s="8">
        <v>1010.3</v>
      </c>
      <c r="Q55" s="3"/>
      <c r="R55" s="7">
        <f t="shared" si="32"/>
        <v>2.3666152412551423E-2</v>
      </c>
      <c r="S55" s="3"/>
      <c r="T55" s="8">
        <v>1490</v>
      </c>
      <c r="U55" s="3"/>
      <c r="V55" s="7">
        <f t="shared" si="33"/>
        <v>0.17498532002348796</v>
      </c>
      <c r="W55" s="3"/>
      <c r="X55" s="8">
        <f t="shared" si="34"/>
        <v>-479.70000000000005</v>
      </c>
      <c r="Y55" s="3"/>
      <c r="Z55" s="7">
        <f t="shared" si="35"/>
        <v>-0.32194630872483226</v>
      </c>
    </row>
    <row r="56" spans="1:26" s="27" customFormat="1" outlineLevel="1" collapsed="1" x14ac:dyDescent="0.3">
      <c r="A56" s="28"/>
      <c r="B56" s="14" t="str">
        <f>CONCATENATE("     ","Depreciation                                      ")</f>
        <v xml:space="preserve">     Depreciation                                      </v>
      </c>
      <c r="C56" s="14"/>
      <c r="D56" s="1">
        <f>SUM(OSRRefD22_5x_0)</f>
        <v>33586.15</v>
      </c>
      <c r="E56" s="1"/>
      <c r="F56" s="5">
        <f t="shared" si="28"/>
        <v>0.78675140537544697</v>
      </c>
      <c r="G56" s="1"/>
      <c r="H56" s="1">
        <f>SUM(OSRRefH22_5x_0)</f>
        <v>33313</v>
      </c>
      <c r="I56" s="1"/>
      <c r="J56" s="5">
        <f t="shared" si="29"/>
        <v>3.9122724603640635</v>
      </c>
      <c r="K56" s="1"/>
      <c r="L56" s="1">
        <f t="shared" si="30"/>
        <v>273.15000000000146</v>
      </c>
      <c r="M56" s="1"/>
      <c r="N56" s="5">
        <f t="shared" si="31"/>
        <v>8.1995016960346254E-3</v>
      </c>
      <c r="O56" s="14"/>
      <c r="P56" s="1">
        <f>SUM(OSRRefP22_5x_0)</f>
        <v>33586.15</v>
      </c>
      <c r="Q56" s="1"/>
      <c r="R56" s="5">
        <f t="shared" si="32"/>
        <v>0.78675140537544697</v>
      </c>
      <c r="S56" s="1"/>
      <c r="T56" s="1">
        <f>SUM(OSRRefT22_5x_0)</f>
        <v>33313</v>
      </c>
      <c r="U56" s="1"/>
      <c r="V56" s="5">
        <f t="shared" si="33"/>
        <v>3.9122724603640635</v>
      </c>
      <c r="W56" s="1"/>
      <c r="X56" s="1">
        <f t="shared" si="34"/>
        <v>273.15000000000146</v>
      </c>
      <c r="Y56" s="1"/>
      <c r="Z56" s="5">
        <f t="shared" si="35"/>
        <v>8.1995016960346254E-3</v>
      </c>
    </row>
    <row r="57" spans="1:26" s="24" customFormat="1" hidden="1" outlineLevel="2" x14ac:dyDescent="0.3">
      <c r="A57" s="29"/>
      <c r="B57" s="11" t="str">
        <f>CONCATENATE("          ", "6321", " - ", "BUILDING DEPRECIATION")</f>
        <v xml:space="preserve">          6321 - BUILDING DEPRECIATION</v>
      </c>
      <c r="C57" s="11"/>
      <c r="D57" s="8">
        <v>23583.47</v>
      </c>
      <c r="E57" s="3"/>
      <c r="F57" s="7">
        <f t="shared" si="28"/>
        <v>0.55243986482909457</v>
      </c>
      <c r="G57" s="3"/>
      <c r="H57" s="8"/>
      <c r="I57" s="3"/>
      <c r="J57" s="7">
        <f t="shared" si="29"/>
        <v>0</v>
      </c>
      <c r="K57" s="3"/>
      <c r="L57" s="8">
        <f t="shared" si="30"/>
        <v>23583.47</v>
      </c>
      <c r="M57" s="3"/>
      <c r="N57" s="7">
        <f t="shared" si="31"/>
        <v>0</v>
      </c>
      <c r="O57" s="11"/>
      <c r="P57" s="8">
        <v>23583.47</v>
      </c>
      <c r="Q57" s="3"/>
      <c r="R57" s="7">
        <f t="shared" si="32"/>
        <v>0.55243986482909457</v>
      </c>
      <c r="S57" s="3"/>
      <c r="T57" s="8"/>
      <c r="U57" s="3"/>
      <c r="V57" s="7">
        <f t="shared" si="33"/>
        <v>0</v>
      </c>
      <c r="W57" s="3"/>
      <c r="X57" s="8">
        <f t="shared" si="34"/>
        <v>23583.47</v>
      </c>
      <c r="Y57" s="3"/>
      <c r="Z57" s="7">
        <f t="shared" si="35"/>
        <v>0</v>
      </c>
    </row>
    <row r="58" spans="1:26" s="24" customFormat="1" hidden="1" outlineLevel="2" x14ac:dyDescent="0.3">
      <c r="A58" s="29"/>
      <c r="B58" s="11" t="str">
        <f>CONCATENATE("          ", "6322", " - ", "EQUIPMENT DEPRECIATION EXPENSE")</f>
        <v xml:space="preserve">          6322 - EQUIPMENT DEPRECIATION EXPENSE</v>
      </c>
      <c r="C58" s="11"/>
      <c r="D58" s="8">
        <v>10002.68</v>
      </c>
      <c r="E58" s="3"/>
      <c r="F58" s="7">
        <f t="shared" si="28"/>
        <v>0.23431154054635248</v>
      </c>
      <c r="G58" s="3"/>
      <c r="H58" s="8">
        <v>33313</v>
      </c>
      <c r="I58" s="3"/>
      <c r="J58" s="7">
        <f t="shared" si="29"/>
        <v>3.9122724603640635</v>
      </c>
      <c r="K58" s="3"/>
      <c r="L58" s="8">
        <f t="shared" si="30"/>
        <v>-23310.32</v>
      </c>
      <c r="M58" s="3"/>
      <c r="N58" s="7">
        <f t="shared" si="31"/>
        <v>-0.69973643922792905</v>
      </c>
      <c r="O58" s="11"/>
      <c r="P58" s="8">
        <v>10002.68</v>
      </c>
      <c r="Q58" s="3"/>
      <c r="R58" s="7">
        <f t="shared" si="32"/>
        <v>0.23431154054635248</v>
      </c>
      <c r="S58" s="3"/>
      <c r="T58" s="8">
        <v>33313</v>
      </c>
      <c r="U58" s="3"/>
      <c r="V58" s="7">
        <f t="shared" si="33"/>
        <v>3.9122724603640635</v>
      </c>
      <c r="W58" s="3"/>
      <c r="X58" s="8">
        <f t="shared" si="34"/>
        <v>-23310.32</v>
      </c>
      <c r="Y58" s="3"/>
      <c r="Z58" s="7">
        <f t="shared" si="35"/>
        <v>-0.69973643922792905</v>
      </c>
    </row>
    <row r="59" spans="1:26" s="27" customFormat="1" outlineLevel="1" collapsed="1" x14ac:dyDescent="0.3">
      <c r="A59" s="28"/>
      <c r="B59" s="14" t="str">
        <f>CONCATENATE("     ","Employees' Appreciation                           ")</f>
        <v xml:space="preserve">     Employees' Appreciation                           </v>
      </c>
      <c r="C59" s="14"/>
      <c r="D59" s="1">
        <f>SUM(OSRRefD22_6x_0)</f>
        <v>0</v>
      </c>
      <c r="E59" s="1"/>
      <c r="F59" s="5">
        <f t="shared" ref="F59:F76" si="36">IF(D$12=0,0,D59/D$12)</f>
        <v>0</v>
      </c>
      <c r="G59" s="1"/>
      <c r="H59" s="1">
        <f>SUM(OSRRefH22_6x_0)</f>
        <v>200</v>
      </c>
      <c r="I59" s="1"/>
      <c r="J59" s="5">
        <f t="shared" ref="J59:J76" si="37">IF(H$12=0,0,H59/H$12)</f>
        <v>2.3487962419260128E-2</v>
      </c>
      <c r="K59" s="1"/>
      <c r="L59" s="1">
        <f t="shared" ref="L59:L76" si="38">+D59-H59</f>
        <v>-200</v>
      </c>
      <c r="M59" s="1"/>
      <c r="N59" s="5">
        <f t="shared" ref="N59:N76" si="39">IF(H59=0,0,L59/H59)</f>
        <v>-1</v>
      </c>
      <c r="O59" s="14"/>
      <c r="P59" s="1">
        <f>SUM(OSRRefP22_6x_0)</f>
        <v>0</v>
      </c>
      <c r="Q59" s="1"/>
      <c r="R59" s="5">
        <f t="shared" ref="R59:R76" si="40">IF(P$12=0,0,P59/P$12)</f>
        <v>0</v>
      </c>
      <c r="S59" s="1"/>
      <c r="T59" s="1">
        <f>SUM(OSRRefT22_6x_0)</f>
        <v>200</v>
      </c>
      <c r="U59" s="1"/>
      <c r="V59" s="5">
        <f t="shared" ref="V59:V76" si="41">IF(T$12=0,0,T59/T$12)</f>
        <v>2.3487962419260128E-2</v>
      </c>
      <c r="W59" s="1"/>
      <c r="X59" s="1">
        <f t="shared" ref="X59:X76" si="42">+P59-T59</f>
        <v>-200</v>
      </c>
      <c r="Y59" s="1"/>
      <c r="Z59" s="5">
        <f t="shared" ref="Z59:Z76" si="43">IF(T59=0,0,X59/T59)</f>
        <v>-1</v>
      </c>
    </row>
    <row r="60" spans="1:26" s="24" customFormat="1" hidden="1" outlineLevel="2" x14ac:dyDescent="0.3">
      <c r="A60" s="29"/>
      <c r="B60" s="11" t="str">
        <f>CONCATENATE("          ", "6277", " - ", "EMPLOYEE APPRECIATION")</f>
        <v xml:space="preserve">          6277 - EMPLOYEE APPRECIATION</v>
      </c>
      <c r="C60" s="11"/>
      <c r="D60" s="8"/>
      <c r="E60" s="3"/>
      <c r="F60" s="7">
        <f t="shared" si="36"/>
        <v>0</v>
      </c>
      <c r="G60" s="3"/>
      <c r="H60" s="8">
        <v>200</v>
      </c>
      <c r="I60" s="3"/>
      <c r="J60" s="7">
        <f t="shared" si="37"/>
        <v>2.3487962419260128E-2</v>
      </c>
      <c r="K60" s="3"/>
      <c r="L60" s="8">
        <f t="shared" si="38"/>
        <v>-200</v>
      </c>
      <c r="M60" s="3"/>
      <c r="N60" s="7">
        <f t="shared" si="39"/>
        <v>-1</v>
      </c>
      <c r="O60" s="11"/>
      <c r="P60" s="8"/>
      <c r="Q60" s="3"/>
      <c r="R60" s="7">
        <f t="shared" si="40"/>
        <v>0</v>
      </c>
      <c r="S60" s="3"/>
      <c r="T60" s="8">
        <v>200</v>
      </c>
      <c r="U60" s="3"/>
      <c r="V60" s="7">
        <f t="shared" si="41"/>
        <v>2.3487962419260128E-2</v>
      </c>
      <c r="W60" s="3"/>
      <c r="X60" s="8">
        <f t="shared" si="42"/>
        <v>-200</v>
      </c>
      <c r="Y60" s="3"/>
      <c r="Z60" s="7">
        <f t="shared" si="43"/>
        <v>-1</v>
      </c>
    </row>
    <row r="61" spans="1:26" s="27" customFormat="1" outlineLevel="1" collapsed="1" x14ac:dyDescent="0.3">
      <c r="A61" s="28"/>
      <c r="B61" s="14" t="str">
        <f>CONCATENATE("     ","Equipment Rental                                  ")</f>
        <v xml:space="preserve">     Equipment Rental                                  </v>
      </c>
      <c r="C61" s="14"/>
      <c r="D61" s="1">
        <f>SUM(OSRRefD22_7x_0)</f>
        <v>1325.46</v>
      </c>
      <c r="E61" s="1"/>
      <c r="F61" s="5">
        <f t="shared" si="36"/>
        <v>3.1048736391903805E-2</v>
      </c>
      <c r="G61" s="1"/>
      <c r="H61" s="1">
        <f>SUM(OSRRefH22_7x_0)</f>
        <v>1570</v>
      </c>
      <c r="I61" s="1"/>
      <c r="J61" s="5">
        <f t="shared" si="37"/>
        <v>0.18438050499119202</v>
      </c>
      <c r="K61" s="1"/>
      <c r="L61" s="1">
        <f t="shared" si="38"/>
        <v>-244.53999999999996</v>
      </c>
      <c r="M61" s="1"/>
      <c r="N61" s="5">
        <f t="shared" si="39"/>
        <v>-0.15575796178343948</v>
      </c>
      <c r="O61" s="14"/>
      <c r="P61" s="1">
        <f>SUM(OSRRefP22_7x_0)</f>
        <v>1325.46</v>
      </c>
      <c r="Q61" s="1"/>
      <c r="R61" s="5">
        <f t="shared" si="40"/>
        <v>3.1048736391903805E-2</v>
      </c>
      <c r="S61" s="1"/>
      <c r="T61" s="1">
        <f>SUM(OSRRefT22_7x_0)</f>
        <v>1570</v>
      </c>
      <c r="U61" s="1"/>
      <c r="V61" s="5">
        <f t="shared" si="41"/>
        <v>0.18438050499119202</v>
      </c>
      <c r="W61" s="1"/>
      <c r="X61" s="1">
        <f t="shared" si="42"/>
        <v>-244.53999999999996</v>
      </c>
      <c r="Y61" s="1"/>
      <c r="Z61" s="5">
        <f t="shared" si="43"/>
        <v>-0.15575796178343948</v>
      </c>
    </row>
    <row r="62" spans="1:26" s="24" customFormat="1" hidden="1" outlineLevel="2" x14ac:dyDescent="0.3">
      <c r="A62" s="29"/>
      <c r="B62" s="11" t="str">
        <f>CONCATENATE("          ", "6351", " - ", "EQUIPMENT RENTAL")</f>
        <v xml:space="preserve">          6351 - EQUIPMENT RENTAL</v>
      </c>
      <c r="C62" s="11"/>
      <c r="D62" s="8">
        <v>1325.46</v>
      </c>
      <c r="E62" s="3"/>
      <c r="F62" s="7">
        <f t="shared" si="36"/>
        <v>3.1048736391903805E-2</v>
      </c>
      <c r="G62" s="3"/>
      <c r="H62" s="8">
        <v>1570</v>
      </c>
      <c r="I62" s="3"/>
      <c r="J62" s="7">
        <f t="shared" si="37"/>
        <v>0.18438050499119202</v>
      </c>
      <c r="K62" s="3"/>
      <c r="L62" s="8">
        <f t="shared" si="38"/>
        <v>-244.53999999999996</v>
      </c>
      <c r="M62" s="3"/>
      <c r="N62" s="7">
        <f t="shared" si="39"/>
        <v>-0.15575796178343948</v>
      </c>
      <c r="O62" s="11"/>
      <c r="P62" s="8">
        <v>1325.46</v>
      </c>
      <c r="Q62" s="3"/>
      <c r="R62" s="7">
        <f t="shared" si="40"/>
        <v>3.1048736391903805E-2</v>
      </c>
      <c r="S62" s="3"/>
      <c r="T62" s="8">
        <v>1570</v>
      </c>
      <c r="U62" s="3"/>
      <c r="V62" s="7">
        <f t="shared" si="41"/>
        <v>0.18438050499119202</v>
      </c>
      <c r="W62" s="3"/>
      <c r="X62" s="8">
        <f t="shared" si="42"/>
        <v>-244.53999999999996</v>
      </c>
      <c r="Y62" s="3"/>
      <c r="Z62" s="7">
        <f t="shared" si="43"/>
        <v>-0.15575796178343948</v>
      </c>
    </row>
    <row r="63" spans="1:26" s="27" customFormat="1" outlineLevel="1" collapsed="1" x14ac:dyDescent="0.3">
      <c r="A63" s="28"/>
      <c r="B63" s="14" t="str">
        <f>CONCATENATE("     ","General                                           ")</f>
        <v xml:space="preserve">     General                                           </v>
      </c>
      <c r="C63" s="14"/>
      <c r="D63" s="1">
        <f>SUM(OSRRefD22_8x_0)</f>
        <v>493.73</v>
      </c>
      <c r="E63" s="1"/>
      <c r="F63" s="5">
        <f t="shared" si="36"/>
        <v>1.1565564120210843E-2</v>
      </c>
      <c r="G63" s="1"/>
      <c r="H63" s="1">
        <f>SUM(OSRRefH22_8x_0)</f>
        <v>8685</v>
      </c>
      <c r="I63" s="1"/>
      <c r="J63" s="5">
        <f t="shared" si="37"/>
        <v>1.019964768056371</v>
      </c>
      <c r="K63" s="1"/>
      <c r="L63" s="1">
        <f t="shared" si="38"/>
        <v>-8191.27</v>
      </c>
      <c r="M63" s="1"/>
      <c r="N63" s="5">
        <f t="shared" si="39"/>
        <v>-0.94315141047783535</v>
      </c>
      <c r="O63" s="14"/>
      <c r="P63" s="1">
        <f>SUM(OSRRefP22_8x_0)</f>
        <v>493.73</v>
      </c>
      <c r="Q63" s="1"/>
      <c r="R63" s="5">
        <f t="shared" si="40"/>
        <v>1.1565564120210843E-2</v>
      </c>
      <c r="S63" s="1"/>
      <c r="T63" s="1">
        <f>SUM(OSRRefT22_8x_0)</f>
        <v>8685</v>
      </c>
      <c r="U63" s="1"/>
      <c r="V63" s="5">
        <f t="shared" si="41"/>
        <v>1.019964768056371</v>
      </c>
      <c r="W63" s="1"/>
      <c r="X63" s="1">
        <f t="shared" si="42"/>
        <v>-8191.27</v>
      </c>
      <c r="Y63" s="1"/>
      <c r="Z63" s="5">
        <f t="shared" si="43"/>
        <v>-0.94315141047783535</v>
      </c>
    </row>
    <row r="64" spans="1:26" s="24" customFormat="1" hidden="1" outlineLevel="2" x14ac:dyDescent="0.3">
      <c r="A64" s="29"/>
      <c r="B64" s="11" t="str">
        <f>CONCATENATE("          ", "6279", " - ", "GENERAL EXPENSE")</f>
        <v xml:space="preserve">          6279 - GENERAL EXPENSE</v>
      </c>
      <c r="C64" s="11"/>
      <c r="D64" s="8">
        <v>493.73</v>
      </c>
      <c r="E64" s="3"/>
      <c r="F64" s="7">
        <f t="shared" si="36"/>
        <v>1.1565564120210843E-2</v>
      </c>
      <c r="G64" s="3"/>
      <c r="H64" s="8">
        <v>8685</v>
      </c>
      <c r="I64" s="3"/>
      <c r="J64" s="7">
        <f t="shared" si="37"/>
        <v>1.019964768056371</v>
      </c>
      <c r="K64" s="3"/>
      <c r="L64" s="8">
        <f t="shared" si="38"/>
        <v>-8191.27</v>
      </c>
      <c r="M64" s="3"/>
      <c r="N64" s="7">
        <f t="shared" si="39"/>
        <v>-0.94315141047783535</v>
      </c>
      <c r="O64" s="11"/>
      <c r="P64" s="8">
        <v>493.73</v>
      </c>
      <c r="Q64" s="3"/>
      <c r="R64" s="7">
        <f t="shared" si="40"/>
        <v>1.1565564120210843E-2</v>
      </c>
      <c r="S64" s="3"/>
      <c r="T64" s="8">
        <v>8685</v>
      </c>
      <c r="U64" s="3"/>
      <c r="V64" s="7">
        <f t="shared" si="41"/>
        <v>1.019964768056371</v>
      </c>
      <c r="W64" s="3"/>
      <c r="X64" s="8">
        <f t="shared" si="42"/>
        <v>-8191.27</v>
      </c>
      <c r="Y64" s="3"/>
      <c r="Z64" s="7">
        <f t="shared" si="43"/>
        <v>-0.94315141047783535</v>
      </c>
    </row>
    <row r="65" spans="1:26" s="27" customFormat="1" outlineLevel="1" collapsed="1" x14ac:dyDescent="0.3">
      <c r="A65" s="28"/>
      <c r="B65" s="14" t="str">
        <f>CONCATENATE("     ","Insurance                                         ")</f>
        <v xml:space="preserve">     Insurance                                         </v>
      </c>
      <c r="C65" s="14"/>
      <c r="D65" s="1">
        <f>SUM(OSRRefD22_9x_0)</f>
        <v>5761.43</v>
      </c>
      <c r="E65" s="1"/>
      <c r="F65" s="5">
        <f t="shared" si="36"/>
        <v>0.13496078441477399</v>
      </c>
      <c r="G65" s="1"/>
      <c r="H65" s="1">
        <f>SUM(OSRRefH22_9x_0)</f>
        <v>5680</v>
      </c>
      <c r="I65" s="1"/>
      <c r="J65" s="5">
        <f t="shared" si="37"/>
        <v>0.66705813270698766</v>
      </c>
      <c r="K65" s="1"/>
      <c r="L65" s="1">
        <f t="shared" si="38"/>
        <v>81.430000000000291</v>
      </c>
      <c r="M65" s="1"/>
      <c r="N65" s="5">
        <f t="shared" si="39"/>
        <v>1.4336267605633854E-2</v>
      </c>
      <c r="O65" s="14"/>
      <c r="P65" s="1">
        <f>SUM(OSRRefP22_9x_0)</f>
        <v>5761.43</v>
      </c>
      <c r="Q65" s="1"/>
      <c r="R65" s="5">
        <f t="shared" si="40"/>
        <v>0.13496078441477399</v>
      </c>
      <c r="S65" s="1"/>
      <c r="T65" s="1">
        <f>SUM(OSRRefT22_9x_0)</f>
        <v>5680</v>
      </c>
      <c r="U65" s="1"/>
      <c r="V65" s="5">
        <f t="shared" si="41"/>
        <v>0.66705813270698766</v>
      </c>
      <c r="W65" s="1"/>
      <c r="X65" s="1">
        <f t="shared" si="42"/>
        <v>81.430000000000291</v>
      </c>
      <c r="Y65" s="1"/>
      <c r="Z65" s="5">
        <f t="shared" si="43"/>
        <v>1.4336267605633854E-2</v>
      </c>
    </row>
    <row r="66" spans="1:26" s="24" customFormat="1" hidden="1" outlineLevel="2" x14ac:dyDescent="0.3">
      <c r="A66" s="29"/>
      <c r="B66" s="11" t="str">
        <f>CONCATENATE("          ", "6314", " - ", "LIABILITY INSURANCE")</f>
        <v xml:space="preserve">          6314 - LIABILITY INSURANCE</v>
      </c>
      <c r="C66" s="11"/>
      <c r="D66" s="8">
        <v>5761.43</v>
      </c>
      <c r="E66" s="3"/>
      <c r="F66" s="7">
        <f t="shared" si="36"/>
        <v>0.13496078441477399</v>
      </c>
      <c r="G66" s="3"/>
      <c r="H66" s="8">
        <v>5680</v>
      </c>
      <c r="I66" s="3"/>
      <c r="J66" s="7">
        <f t="shared" si="37"/>
        <v>0.66705813270698766</v>
      </c>
      <c r="K66" s="3"/>
      <c r="L66" s="8">
        <f t="shared" si="38"/>
        <v>81.430000000000291</v>
      </c>
      <c r="M66" s="3"/>
      <c r="N66" s="7">
        <f t="shared" si="39"/>
        <v>1.4336267605633854E-2</v>
      </c>
      <c r="O66" s="11"/>
      <c r="P66" s="8">
        <v>5761.43</v>
      </c>
      <c r="Q66" s="3"/>
      <c r="R66" s="7">
        <f t="shared" si="40"/>
        <v>0.13496078441477399</v>
      </c>
      <c r="S66" s="3"/>
      <c r="T66" s="8">
        <v>5680</v>
      </c>
      <c r="U66" s="3"/>
      <c r="V66" s="7">
        <f t="shared" si="41"/>
        <v>0.66705813270698766</v>
      </c>
      <c r="W66" s="3"/>
      <c r="X66" s="8">
        <f t="shared" si="42"/>
        <v>81.430000000000291</v>
      </c>
      <c r="Y66" s="3"/>
      <c r="Z66" s="7">
        <f t="shared" si="43"/>
        <v>1.4336267605633854E-2</v>
      </c>
    </row>
    <row r="67" spans="1:26" s="27" customFormat="1" outlineLevel="1" collapsed="1" x14ac:dyDescent="0.3">
      <c r="A67" s="28"/>
      <c r="B67" s="14" t="str">
        <f>CONCATENATE("     ","Interest                                          ")</f>
        <v xml:space="preserve">     Interest                                          </v>
      </c>
      <c r="C67" s="14"/>
      <c r="D67" s="1">
        <f>SUM(OSRRefD22_10x_0)</f>
        <v>7253</v>
      </c>
      <c r="E67" s="1"/>
      <c r="F67" s="5">
        <f t="shared" si="36"/>
        <v>0.16990062699023606</v>
      </c>
      <c r="G67" s="1"/>
      <c r="H67" s="1">
        <f>SUM(OSRRefH22_10x_0)</f>
        <v>7253</v>
      </c>
      <c r="I67" s="1"/>
      <c r="J67" s="5">
        <f t="shared" si="37"/>
        <v>0.85179095713446862</v>
      </c>
      <c r="K67" s="1"/>
      <c r="L67" s="1">
        <f t="shared" si="38"/>
        <v>0</v>
      </c>
      <c r="M67" s="1"/>
      <c r="N67" s="5">
        <f t="shared" si="39"/>
        <v>0</v>
      </c>
      <c r="O67" s="14"/>
      <c r="P67" s="1">
        <f>SUM(OSRRefP22_10x_0)</f>
        <v>7253</v>
      </c>
      <c r="Q67" s="1"/>
      <c r="R67" s="5">
        <f t="shared" si="40"/>
        <v>0.16990062699023606</v>
      </c>
      <c r="S67" s="1"/>
      <c r="T67" s="1">
        <f>SUM(OSRRefT22_10x_0)</f>
        <v>7253</v>
      </c>
      <c r="U67" s="1"/>
      <c r="V67" s="5">
        <f t="shared" si="41"/>
        <v>0.85179095713446862</v>
      </c>
      <c r="W67" s="1"/>
      <c r="X67" s="1">
        <f t="shared" si="42"/>
        <v>0</v>
      </c>
      <c r="Y67" s="1"/>
      <c r="Z67" s="5">
        <f t="shared" si="43"/>
        <v>0</v>
      </c>
    </row>
    <row r="68" spans="1:26" s="24" customFormat="1" hidden="1" outlineLevel="2" x14ac:dyDescent="0.3">
      <c r="A68" s="29"/>
      <c r="B68" s="11" t="str">
        <f>CONCATENATE("          ", "6401", " - ", "INTEREST EXPENSE")</f>
        <v xml:space="preserve">          6401 - INTEREST EXPENSE</v>
      </c>
      <c r="C68" s="11"/>
      <c r="D68" s="8">
        <v>7253</v>
      </c>
      <c r="E68" s="3"/>
      <c r="F68" s="7">
        <f t="shared" si="36"/>
        <v>0.16990062699023606</v>
      </c>
      <c r="G68" s="3"/>
      <c r="H68" s="8">
        <v>7253</v>
      </c>
      <c r="I68" s="3"/>
      <c r="J68" s="7">
        <f t="shared" si="37"/>
        <v>0.85179095713446862</v>
      </c>
      <c r="K68" s="3"/>
      <c r="L68" s="8">
        <f t="shared" si="38"/>
        <v>0</v>
      </c>
      <c r="M68" s="3"/>
      <c r="N68" s="7">
        <f t="shared" si="39"/>
        <v>0</v>
      </c>
      <c r="O68" s="11"/>
      <c r="P68" s="8">
        <v>7253</v>
      </c>
      <c r="Q68" s="3"/>
      <c r="R68" s="7">
        <f t="shared" si="40"/>
        <v>0.16990062699023606</v>
      </c>
      <c r="S68" s="3"/>
      <c r="T68" s="8">
        <v>7253</v>
      </c>
      <c r="U68" s="3"/>
      <c r="V68" s="7">
        <f t="shared" si="41"/>
        <v>0.85179095713446862</v>
      </c>
      <c r="W68" s="3"/>
      <c r="X68" s="8">
        <f t="shared" si="42"/>
        <v>0</v>
      </c>
      <c r="Y68" s="3"/>
      <c r="Z68" s="7">
        <f t="shared" si="43"/>
        <v>0</v>
      </c>
    </row>
    <row r="69" spans="1:26" s="27" customFormat="1" outlineLevel="1" collapsed="1" x14ac:dyDescent="0.3">
      <c r="A69" s="28"/>
      <c r="B69" s="14" t="str">
        <f>CONCATENATE("     ","R/H Commissions                                   ")</f>
        <v xml:space="preserve">     R/H Commissions                                   </v>
      </c>
      <c r="C69" s="14"/>
      <c r="D69" s="1">
        <f>SUM(OSRRefD22_11x_0)</f>
        <v>1568</v>
      </c>
      <c r="E69" s="1"/>
      <c r="F69" s="5">
        <f t="shared" si="36"/>
        <v>3.6730205862496916E-2</v>
      </c>
      <c r="G69" s="1"/>
      <c r="H69" s="1">
        <f>SUM(OSRRefH22_11x_0)</f>
        <v>0</v>
      </c>
      <c r="I69" s="1"/>
      <c r="J69" s="5">
        <f t="shared" si="37"/>
        <v>0</v>
      </c>
      <c r="K69" s="1"/>
      <c r="L69" s="1">
        <f t="shared" si="38"/>
        <v>1568</v>
      </c>
      <c r="M69" s="1"/>
      <c r="N69" s="5">
        <f t="shared" si="39"/>
        <v>0</v>
      </c>
      <c r="O69" s="14"/>
      <c r="P69" s="1">
        <f>SUM(OSRRefP22_11x_0)</f>
        <v>1568</v>
      </c>
      <c r="Q69" s="1"/>
      <c r="R69" s="5">
        <f t="shared" si="40"/>
        <v>3.6730205862496916E-2</v>
      </c>
      <c r="S69" s="1"/>
      <c r="T69" s="1">
        <f>SUM(OSRRefT22_11x_0)</f>
        <v>0</v>
      </c>
      <c r="U69" s="1"/>
      <c r="V69" s="5">
        <f t="shared" si="41"/>
        <v>0</v>
      </c>
      <c r="W69" s="1"/>
      <c r="X69" s="1">
        <f t="shared" si="42"/>
        <v>1568</v>
      </c>
      <c r="Y69" s="1"/>
      <c r="Z69" s="5">
        <f t="shared" si="43"/>
        <v>0</v>
      </c>
    </row>
    <row r="70" spans="1:26" s="24" customFormat="1" hidden="1" outlineLevel="2" x14ac:dyDescent="0.3">
      <c r="A70" s="29"/>
      <c r="B70" s="11" t="str">
        <f>CONCATENATE("          ", "6387", " - ", "COMMISSION DUE HOUSING")</f>
        <v xml:space="preserve">          6387 - COMMISSION DUE HOUSING</v>
      </c>
      <c r="C70" s="11"/>
      <c r="D70" s="8">
        <v>1568</v>
      </c>
      <c r="E70" s="3"/>
      <c r="F70" s="7">
        <f t="shared" si="36"/>
        <v>3.6730205862496916E-2</v>
      </c>
      <c r="G70" s="3"/>
      <c r="H70" s="8"/>
      <c r="I70" s="3"/>
      <c r="J70" s="7">
        <f t="shared" si="37"/>
        <v>0</v>
      </c>
      <c r="K70" s="3"/>
      <c r="L70" s="8">
        <f t="shared" si="38"/>
        <v>1568</v>
      </c>
      <c r="M70" s="3"/>
      <c r="N70" s="7">
        <f t="shared" si="39"/>
        <v>0</v>
      </c>
      <c r="O70" s="11"/>
      <c r="P70" s="8">
        <v>1568</v>
      </c>
      <c r="Q70" s="3"/>
      <c r="R70" s="7">
        <f t="shared" si="40"/>
        <v>3.6730205862496916E-2</v>
      </c>
      <c r="S70" s="3"/>
      <c r="T70" s="8"/>
      <c r="U70" s="3"/>
      <c r="V70" s="7">
        <f t="shared" si="41"/>
        <v>0</v>
      </c>
      <c r="W70" s="3"/>
      <c r="X70" s="8">
        <f t="shared" si="42"/>
        <v>1568</v>
      </c>
      <c r="Y70" s="3"/>
      <c r="Z70" s="7">
        <f t="shared" si="43"/>
        <v>0</v>
      </c>
    </row>
    <row r="71" spans="1:26" s="27" customFormat="1" outlineLevel="1" collapsed="1" x14ac:dyDescent="0.3">
      <c r="A71" s="28"/>
      <c r="B71" s="14" t="str">
        <f>CONCATENATE("     ","Rent                                              ")</f>
        <v xml:space="preserve">     Rent                                              </v>
      </c>
      <c r="C71" s="14"/>
      <c r="D71" s="1">
        <f>SUM(OSRRefD22_12x_0)</f>
        <v>1850</v>
      </c>
      <c r="E71" s="1"/>
      <c r="F71" s="5">
        <f t="shared" si="36"/>
        <v>4.3336020947461286E-2</v>
      </c>
      <c r="G71" s="1"/>
      <c r="H71" s="1">
        <f>SUM(OSRRefH22_12x_0)</f>
        <v>1850</v>
      </c>
      <c r="I71" s="1"/>
      <c r="J71" s="5">
        <f t="shared" si="37"/>
        <v>0.2172636523781562</v>
      </c>
      <c r="K71" s="1"/>
      <c r="L71" s="1">
        <f t="shared" si="38"/>
        <v>0</v>
      </c>
      <c r="M71" s="1"/>
      <c r="N71" s="5">
        <f t="shared" si="39"/>
        <v>0</v>
      </c>
      <c r="O71" s="14"/>
      <c r="P71" s="1">
        <f>SUM(OSRRefP22_12x_0)</f>
        <v>1850</v>
      </c>
      <c r="Q71" s="1"/>
      <c r="R71" s="5">
        <f t="shared" si="40"/>
        <v>4.3336020947461286E-2</v>
      </c>
      <c r="S71" s="1"/>
      <c r="T71" s="1">
        <f>SUM(OSRRefT22_12x_0)</f>
        <v>1850</v>
      </c>
      <c r="U71" s="1"/>
      <c r="V71" s="5">
        <f t="shared" si="41"/>
        <v>0.2172636523781562</v>
      </c>
      <c r="W71" s="1"/>
      <c r="X71" s="1">
        <f t="shared" si="42"/>
        <v>0</v>
      </c>
      <c r="Y71" s="1"/>
      <c r="Z71" s="5">
        <f t="shared" si="43"/>
        <v>0</v>
      </c>
    </row>
    <row r="72" spans="1:26" s="24" customFormat="1" hidden="1" outlineLevel="2" x14ac:dyDescent="0.3">
      <c r="A72" s="29"/>
      <c r="B72" s="11" t="str">
        <f>CONCATENATE("          ", "6273", " - ", "RENT")</f>
        <v xml:space="preserve">          6273 - RENT</v>
      </c>
      <c r="C72" s="11"/>
      <c r="D72" s="8">
        <v>1850</v>
      </c>
      <c r="E72" s="3"/>
      <c r="F72" s="7">
        <f t="shared" si="36"/>
        <v>4.3336020947461286E-2</v>
      </c>
      <c r="G72" s="3"/>
      <c r="H72" s="8">
        <v>1850</v>
      </c>
      <c r="I72" s="3"/>
      <c r="J72" s="7">
        <f t="shared" si="37"/>
        <v>0.2172636523781562</v>
      </c>
      <c r="K72" s="3"/>
      <c r="L72" s="8">
        <f t="shared" si="38"/>
        <v>0</v>
      </c>
      <c r="M72" s="3"/>
      <c r="N72" s="7">
        <f t="shared" si="39"/>
        <v>0</v>
      </c>
      <c r="O72" s="11"/>
      <c r="P72" s="8">
        <v>1850</v>
      </c>
      <c r="Q72" s="3"/>
      <c r="R72" s="7">
        <f t="shared" si="40"/>
        <v>4.3336020947461286E-2</v>
      </c>
      <c r="S72" s="3"/>
      <c r="T72" s="8">
        <v>1850</v>
      </c>
      <c r="U72" s="3"/>
      <c r="V72" s="7">
        <f t="shared" si="41"/>
        <v>0.2172636523781562</v>
      </c>
      <c r="W72" s="3"/>
      <c r="X72" s="8">
        <f t="shared" si="42"/>
        <v>0</v>
      </c>
      <c r="Y72" s="3"/>
      <c r="Z72" s="7">
        <f t="shared" si="43"/>
        <v>0</v>
      </c>
    </row>
    <row r="73" spans="1:26" s="27" customFormat="1" outlineLevel="1" collapsed="1" x14ac:dyDescent="0.3">
      <c r="A73" s="28"/>
      <c r="B73" s="14" t="str">
        <f>CONCATENATE("     ","Repair and Maintenance                            ")</f>
        <v xml:space="preserve">     Repair and Maintenance                            </v>
      </c>
      <c r="C73" s="14"/>
      <c r="D73" s="1">
        <f>SUM(OSRRefD22_13x_0)</f>
        <v>7260.71</v>
      </c>
      <c r="E73" s="1"/>
      <c r="F73" s="5">
        <f t="shared" si="36"/>
        <v>0.17008123278564413</v>
      </c>
      <c r="G73" s="1"/>
      <c r="H73" s="1">
        <f>SUM(OSRRefH22_13x_0)</f>
        <v>16417</v>
      </c>
      <c r="I73" s="1"/>
      <c r="J73" s="5">
        <f t="shared" si="37"/>
        <v>1.9280093951849677</v>
      </c>
      <c r="K73" s="1"/>
      <c r="L73" s="1">
        <f t="shared" si="38"/>
        <v>-9156.2900000000009</v>
      </c>
      <c r="M73" s="1"/>
      <c r="N73" s="5">
        <f t="shared" si="39"/>
        <v>-0.55773222878723283</v>
      </c>
      <c r="O73" s="14"/>
      <c r="P73" s="1">
        <f>SUM(OSRRefP22_13x_0)</f>
        <v>7260.71</v>
      </c>
      <c r="Q73" s="1"/>
      <c r="R73" s="5">
        <f t="shared" si="40"/>
        <v>0.17008123278564413</v>
      </c>
      <c r="S73" s="1"/>
      <c r="T73" s="1">
        <f>SUM(OSRRefT22_13x_0)</f>
        <v>16417</v>
      </c>
      <c r="U73" s="1"/>
      <c r="V73" s="5">
        <f t="shared" si="41"/>
        <v>1.9280093951849677</v>
      </c>
      <c r="W73" s="1"/>
      <c r="X73" s="1">
        <f t="shared" si="42"/>
        <v>-9156.2900000000009</v>
      </c>
      <c r="Y73" s="1"/>
      <c r="Z73" s="5">
        <f t="shared" si="43"/>
        <v>-0.55773222878723283</v>
      </c>
    </row>
    <row r="74" spans="1:26" s="24" customFormat="1" hidden="1" outlineLevel="2" x14ac:dyDescent="0.3">
      <c r="A74" s="29"/>
      <c r="B74" s="11" t="str">
        <f>CONCATENATE("          ", "6371", " - ", "COMPUTER SOFTWARE MAINTENANCE")</f>
        <v xml:space="preserve">          6371 - COMPUTER SOFTWARE MAINTENANCE</v>
      </c>
      <c r="C74" s="11"/>
      <c r="D74" s="8">
        <v>3500</v>
      </c>
      <c r="E74" s="3"/>
      <c r="F74" s="7">
        <f t="shared" si="36"/>
        <v>8.1987066657359192E-2</v>
      </c>
      <c r="G74" s="3"/>
      <c r="H74" s="8">
        <v>3500</v>
      </c>
      <c r="I74" s="3"/>
      <c r="J74" s="7">
        <f t="shared" si="37"/>
        <v>0.41103934233705225</v>
      </c>
      <c r="K74" s="3"/>
      <c r="L74" s="8">
        <f t="shared" si="38"/>
        <v>0</v>
      </c>
      <c r="M74" s="3"/>
      <c r="N74" s="7">
        <f t="shared" si="39"/>
        <v>0</v>
      </c>
      <c r="O74" s="11"/>
      <c r="P74" s="8">
        <v>3500</v>
      </c>
      <c r="Q74" s="3"/>
      <c r="R74" s="7">
        <f t="shared" si="40"/>
        <v>8.1987066657359192E-2</v>
      </c>
      <c r="S74" s="3"/>
      <c r="T74" s="8">
        <v>3500</v>
      </c>
      <c r="U74" s="3"/>
      <c r="V74" s="7">
        <f t="shared" si="41"/>
        <v>0.41103934233705225</v>
      </c>
      <c r="W74" s="3"/>
      <c r="X74" s="8">
        <f t="shared" si="42"/>
        <v>0</v>
      </c>
      <c r="Y74" s="3"/>
      <c r="Z74" s="7">
        <f t="shared" si="43"/>
        <v>0</v>
      </c>
    </row>
    <row r="75" spans="1:26" s="24" customFormat="1" hidden="1" outlineLevel="2" x14ac:dyDescent="0.3">
      <c r="A75" s="29"/>
      <c r="B75" s="11" t="str">
        <f>CONCATENATE("          ", "6373", " - ", "MAINTENANCE CONTRACTS")</f>
        <v xml:space="preserve">          6373 - MAINTENANCE CONTRACTS</v>
      </c>
      <c r="C75" s="11"/>
      <c r="D75" s="8">
        <v>14.87</v>
      </c>
      <c r="E75" s="3"/>
      <c r="F75" s="7">
        <f t="shared" si="36"/>
        <v>3.4832790891283746E-4</v>
      </c>
      <c r="G75" s="3"/>
      <c r="H75" s="8">
        <v>1030</v>
      </c>
      <c r="I75" s="3"/>
      <c r="J75" s="7">
        <f t="shared" si="37"/>
        <v>0.12096300645918967</v>
      </c>
      <c r="K75" s="3"/>
      <c r="L75" s="8">
        <f t="shared" si="38"/>
        <v>-1015.13</v>
      </c>
      <c r="M75" s="3"/>
      <c r="N75" s="7">
        <f t="shared" si="39"/>
        <v>-0.98556310679611647</v>
      </c>
      <c r="O75" s="11"/>
      <c r="P75" s="8">
        <v>14.87</v>
      </c>
      <c r="Q75" s="3"/>
      <c r="R75" s="7">
        <f t="shared" si="40"/>
        <v>3.4832790891283746E-4</v>
      </c>
      <c r="S75" s="3"/>
      <c r="T75" s="8">
        <v>1030</v>
      </c>
      <c r="U75" s="3"/>
      <c r="V75" s="7">
        <f t="shared" si="41"/>
        <v>0.12096300645918967</v>
      </c>
      <c r="W75" s="3"/>
      <c r="X75" s="8">
        <f t="shared" si="42"/>
        <v>-1015.13</v>
      </c>
      <c r="Y75" s="3"/>
      <c r="Z75" s="7">
        <f t="shared" si="43"/>
        <v>-0.98556310679611647</v>
      </c>
    </row>
    <row r="76" spans="1:26" s="24" customFormat="1" hidden="1" outlineLevel="2" x14ac:dyDescent="0.3">
      <c r="A76" s="29"/>
      <c r="B76" s="11" t="str">
        <f>CONCATENATE("          ", "6375", " - ", "OUTSIDE REPAIRS &amp; MAINTENANCE")</f>
        <v xml:space="preserve">          6375 - OUTSIDE REPAIRS &amp; MAINTENANCE</v>
      </c>
      <c r="C76" s="11"/>
      <c r="D76" s="8">
        <v>3745.84</v>
      </c>
      <c r="E76" s="3"/>
      <c r="F76" s="7">
        <f t="shared" si="36"/>
        <v>8.7745838219372096E-2</v>
      </c>
      <c r="G76" s="3"/>
      <c r="H76" s="8">
        <v>11887</v>
      </c>
      <c r="I76" s="3"/>
      <c r="J76" s="7">
        <f t="shared" si="37"/>
        <v>1.3960070463887257</v>
      </c>
      <c r="K76" s="3"/>
      <c r="L76" s="8">
        <f t="shared" si="38"/>
        <v>-8141.16</v>
      </c>
      <c r="M76" s="3"/>
      <c r="N76" s="7">
        <f t="shared" si="39"/>
        <v>-0.68487927988558928</v>
      </c>
      <c r="O76" s="11"/>
      <c r="P76" s="8">
        <v>3745.84</v>
      </c>
      <c r="Q76" s="3"/>
      <c r="R76" s="7">
        <f t="shared" si="40"/>
        <v>8.7745838219372096E-2</v>
      </c>
      <c r="S76" s="3"/>
      <c r="T76" s="8">
        <v>11887</v>
      </c>
      <c r="U76" s="3"/>
      <c r="V76" s="7">
        <f t="shared" si="41"/>
        <v>1.3960070463887257</v>
      </c>
      <c r="W76" s="3"/>
      <c r="X76" s="8">
        <f t="shared" si="42"/>
        <v>-8141.16</v>
      </c>
      <c r="Y76" s="3"/>
      <c r="Z76" s="7">
        <f t="shared" si="43"/>
        <v>-0.68487927988558928</v>
      </c>
    </row>
    <row r="77" spans="1:26" s="27" customFormat="1" outlineLevel="1" collapsed="1" x14ac:dyDescent="0.3">
      <c r="A77" s="28"/>
      <c r="B77" s="14" t="str">
        <f>CONCATENATE("     ","Services                                          ")</f>
        <v xml:space="preserve">     Services                                          </v>
      </c>
      <c r="C77" s="14"/>
      <c r="D77" s="1">
        <f>SUM(OSRRefD22_14x_0)</f>
        <v>17668.150000000001</v>
      </c>
      <c r="E77" s="1"/>
      <c r="F77" s="5">
        <f t="shared" ref="F77:F82" si="44">IF(D$12=0,0,D77/D$12)</f>
        <v>0.41387422621777742</v>
      </c>
      <c r="G77" s="1"/>
      <c r="H77" s="1">
        <f>SUM(OSRRefH22_14x_0)</f>
        <v>25601</v>
      </c>
      <c r="I77" s="1"/>
      <c r="J77" s="5">
        <f t="shared" ref="J77:J82" si="45">IF(H$12=0,0,H77/H$12)</f>
        <v>3.0065766294773928</v>
      </c>
      <c r="K77" s="1"/>
      <c r="L77" s="1">
        <f t="shared" ref="L77:L82" si="46">+D77-H77</f>
        <v>-7932.8499999999985</v>
      </c>
      <c r="M77" s="1"/>
      <c r="N77" s="5">
        <f t="shared" ref="N77:N82" si="47">IF(H77=0,0,L77/H77)</f>
        <v>-0.30986484902933475</v>
      </c>
      <c r="O77" s="14"/>
      <c r="P77" s="1">
        <f>SUM(OSRRefP22_14x_0)</f>
        <v>17668.150000000001</v>
      </c>
      <c r="Q77" s="1"/>
      <c r="R77" s="5">
        <f t="shared" ref="R77:R82" si="48">IF(P$12=0,0,P77/P$12)</f>
        <v>0.41387422621777742</v>
      </c>
      <c r="S77" s="1"/>
      <c r="T77" s="1">
        <f>SUM(OSRRefT22_14x_0)</f>
        <v>25601</v>
      </c>
      <c r="U77" s="1"/>
      <c r="V77" s="5">
        <f t="shared" ref="V77:V82" si="49">IF(T$12=0,0,T77/T$12)</f>
        <v>3.0065766294773928</v>
      </c>
      <c r="W77" s="1"/>
      <c r="X77" s="1">
        <f t="shared" ref="X77:X82" si="50">+P77-T77</f>
        <v>-7932.8499999999985</v>
      </c>
      <c r="Y77" s="1"/>
      <c r="Z77" s="5">
        <f t="shared" ref="Z77:Z82" si="51">IF(T77=0,0,X77/T77)</f>
        <v>-0.30986484902933475</v>
      </c>
    </row>
    <row r="78" spans="1:26" s="24" customFormat="1" hidden="1" outlineLevel="2" x14ac:dyDescent="0.3">
      <c r="A78" s="29"/>
      <c r="B78" s="11" t="str">
        <f>CONCATENATE("          ", "6282", " - ", "JANITORIAL/EXTERMINATOR EXPENS")</f>
        <v xml:space="preserve">          6282 - JANITORIAL/EXTERMINATOR EXPENS</v>
      </c>
      <c r="C78" s="11"/>
      <c r="D78" s="8">
        <v>2178.6</v>
      </c>
      <c r="E78" s="3"/>
      <c r="F78" s="7">
        <f t="shared" si="44"/>
        <v>5.1033435262777919E-2</v>
      </c>
      <c r="G78" s="3"/>
      <c r="H78" s="8">
        <v>2548</v>
      </c>
      <c r="I78" s="3"/>
      <c r="J78" s="7">
        <f t="shared" si="45"/>
        <v>0.29923664122137406</v>
      </c>
      <c r="K78" s="3"/>
      <c r="L78" s="8">
        <f t="shared" si="46"/>
        <v>-369.40000000000009</v>
      </c>
      <c r="M78" s="3"/>
      <c r="N78" s="7">
        <f t="shared" si="47"/>
        <v>-0.14497645211930929</v>
      </c>
      <c r="O78" s="11"/>
      <c r="P78" s="8">
        <v>2178.6</v>
      </c>
      <c r="Q78" s="3"/>
      <c r="R78" s="7">
        <f t="shared" si="48"/>
        <v>5.1033435262777919E-2</v>
      </c>
      <c r="S78" s="3"/>
      <c r="T78" s="8">
        <v>2548</v>
      </c>
      <c r="U78" s="3"/>
      <c r="V78" s="7">
        <f t="shared" si="49"/>
        <v>0.29923664122137406</v>
      </c>
      <c r="W78" s="3"/>
      <c r="X78" s="8">
        <f t="shared" si="50"/>
        <v>-369.40000000000009</v>
      </c>
      <c r="Y78" s="3"/>
      <c r="Z78" s="7">
        <f t="shared" si="51"/>
        <v>-0.14497645211930929</v>
      </c>
    </row>
    <row r="79" spans="1:26" s="24" customFormat="1" hidden="1" outlineLevel="2" x14ac:dyDescent="0.3">
      <c r="A79" s="29"/>
      <c r="B79" s="11" t="str">
        <f>CONCATENATE("          ", "6283", " - ", "PLANT SERVICE")</f>
        <v xml:space="preserve">          6283 - PLANT SERVICE</v>
      </c>
      <c r="C79" s="11"/>
      <c r="D79" s="8"/>
      <c r="E79" s="3"/>
      <c r="F79" s="7">
        <f t="shared" si="44"/>
        <v>0</v>
      </c>
      <c r="G79" s="3"/>
      <c r="H79" s="8">
        <v>100</v>
      </c>
      <c r="I79" s="3"/>
      <c r="J79" s="7">
        <f t="shared" si="45"/>
        <v>1.1743981209630064E-2</v>
      </c>
      <c r="K79" s="3"/>
      <c r="L79" s="8">
        <f t="shared" si="46"/>
        <v>-100</v>
      </c>
      <c r="M79" s="3"/>
      <c r="N79" s="7">
        <f t="shared" si="47"/>
        <v>-1</v>
      </c>
      <c r="O79" s="11"/>
      <c r="P79" s="8"/>
      <c r="Q79" s="3"/>
      <c r="R79" s="7">
        <f t="shared" si="48"/>
        <v>0</v>
      </c>
      <c r="S79" s="3"/>
      <c r="T79" s="8">
        <v>100</v>
      </c>
      <c r="U79" s="3"/>
      <c r="V79" s="7">
        <f t="shared" si="49"/>
        <v>1.1743981209630064E-2</v>
      </c>
      <c r="W79" s="3"/>
      <c r="X79" s="8">
        <f t="shared" si="50"/>
        <v>-100</v>
      </c>
      <c r="Y79" s="3"/>
      <c r="Z79" s="7">
        <f t="shared" si="51"/>
        <v>-1</v>
      </c>
    </row>
    <row r="80" spans="1:26" s="24" customFormat="1" hidden="1" outlineLevel="2" x14ac:dyDescent="0.3">
      <c r="A80" s="29"/>
      <c r="B80" s="11" t="str">
        <f>CONCATENATE("          ", "6284", " - ", "TRASH REMOVAL EXPENSE")</f>
        <v xml:space="preserve">          6284 - TRASH REMOVAL EXPENSE</v>
      </c>
      <c r="C80" s="11"/>
      <c r="D80" s="8"/>
      <c r="E80" s="3"/>
      <c r="F80" s="7">
        <f t="shared" si="44"/>
        <v>0</v>
      </c>
      <c r="G80" s="3"/>
      <c r="H80" s="8">
        <v>1600</v>
      </c>
      <c r="I80" s="3"/>
      <c r="J80" s="7">
        <f t="shared" si="45"/>
        <v>0.18790369935408102</v>
      </c>
      <c r="K80" s="3"/>
      <c r="L80" s="8">
        <f t="shared" si="46"/>
        <v>-1600</v>
      </c>
      <c r="M80" s="3"/>
      <c r="N80" s="7">
        <f t="shared" si="47"/>
        <v>-1</v>
      </c>
      <c r="O80" s="11"/>
      <c r="P80" s="8"/>
      <c r="Q80" s="3"/>
      <c r="R80" s="7">
        <f t="shared" si="48"/>
        <v>0</v>
      </c>
      <c r="S80" s="3"/>
      <c r="T80" s="8">
        <v>1600</v>
      </c>
      <c r="U80" s="3"/>
      <c r="V80" s="7">
        <f t="shared" si="49"/>
        <v>0.18790369935408102</v>
      </c>
      <c r="W80" s="3"/>
      <c r="X80" s="8">
        <f t="shared" si="50"/>
        <v>-1600</v>
      </c>
      <c r="Y80" s="3"/>
      <c r="Z80" s="7">
        <f t="shared" si="51"/>
        <v>-1</v>
      </c>
    </row>
    <row r="81" spans="1:26" s="24" customFormat="1" hidden="1" outlineLevel="2" x14ac:dyDescent="0.3">
      <c r="A81" s="29"/>
      <c r="B81" s="11" t="str">
        <f>CONCATENATE("          ", "6285", " - ", "JANITORIAL SERVICES")</f>
        <v xml:space="preserve">          6285 - JANITORIAL SERVICES</v>
      </c>
      <c r="C81" s="11"/>
      <c r="D81" s="8">
        <v>14406.58</v>
      </c>
      <c r="E81" s="3"/>
      <c r="F81" s="7">
        <f t="shared" si="44"/>
        <v>0.33747235278987936</v>
      </c>
      <c r="G81" s="3"/>
      <c r="H81" s="8">
        <v>17376</v>
      </c>
      <c r="I81" s="3"/>
      <c r="J81" s="7">
        <f t="shared" si="45"/>
        <v>2.0406341749853198</v>
      </c>
      <c r="K81" s="3"/>
      <c r="L81" s="8">
        <f t="shared" si="46"/>
        <v>-2969.42</v>
      </c>
      <c r="M81" s="3"/>
      <c r="N81" s="7">
        <f t="shared" si="47"/>
        <v>-0.17089203499079189</v>
      </c>
      <c r="O81" s="11"/>
      <c r="P81" s="8">
        <v>14406.58</v>
      </c>
      <c r="Q81" s="3"/>
      <c r="R81" s="7">
        <f t="shared" si="48"/>
        <v>0.33747235278987936</v>
      </c>
      <c r="S81" s="3"/>
      <c r="T81" s="8">
        <v>17376</v>
      </c>
      <c r="U81" s="3"/>
      <c r="V81" s="7">
        <f t="shared" si="49"/>
        <v>2.0406341749853198</v>
      </c>
      <c r="W81" s="3"/>
      <c r="X81" s="8">
        <f t="shared" si="50"/>
        <v>-2969.42</v>
      </c>
      <c r="Y81" s="3"/>
      <c r="Z81" s="7">
        <f t="shared" si="51"/>
        <v>-0.17089203499079189</v>
      </c>
    </row>
    <row r="82" spans="1:26" s="24" customFormat="1" hidden="1" outlineLevel="2" x14ac:dyDescent="0.3">
      <c r="A82" s="29"/>
      <c r="B82" s="11" t="str">
        <f>CONCATENATE("          ", "6286", " - ", "LAUNDRY EXPENSE")</f>
        <v xml:space="preserve">          6286 - LAUNDRY EXPENSE</v>
      </c>
      <c r="C82" s="11"/>
      <c r="D82" s="8">
        <v>1082.97</v>
      </c>
      <c r="E82" s="3"/>
      <c r="F82" s="7">
        <f t="shared" si="44"/>
        <v>2.5368438165120081E-2</v>
      </c>
      <c r="G82" s="3"/>
      <c r="H82" s="8">
        <v>3977</v>
      </c>
      <c r="I82" s="3"/>
      <c r="J82" s="7">
        <f t="shared" si="45"/>
        <v>0.46705813270698765</v>
      </c>
      <c r="K82" s="3"/>
      <c r="L82" s="8">
        <f t="shared" si="46"/>
        <v>-2894.0299999999997</v>
      </c>
      <c r="M82" s="3"/>
      <c r="N82" s="7">
        <f t="shared" si="47"/>
        <v>-0.72769172743273813</v>
      </c>
      <c r="O82" s="11"/>
      <c r="P82" s="8">
        <v>1082.97</v>
      </c>
      <c r="Q82" s="3"/>
      <c r="R82" s="7">
        <f t="shared" si="48"/>
        <v>2.5368438165120081E-2</v>
      </c>
      <c r="S82" s="3"/>
      <c r="T82" s="8">
        <v>3977</v>
      </c>
      <c r="U82" s="3"/>
      <c r="V82" s="7">
        <f t="shared" si="49"/>
        <v>0.46705813270698765</v>
      </c>
      <c r="W82" s="3"/>
      <c r="X82" s="8">
        <f t="shared" si="50"/>
        <v>-2894.0299999999997</v>
      </c>
      <c r="Y82" s="3"/>
      <c r="Z82" s="7">
        <f t="shared" si="51"/>
        <v>-0.72769172743273813</v>
      </c>
    </row>
    <row r="83" spans="1:26" s="27" customFormat="1" outlineLevel="1" collapsed="1" x14ac:dyDescent="0.3">
      <c r="A83" s="28"/>
      <c r="B83" s="14" t="str">
        <f>CONCATENATE("     ","Subscriptions &amp; Dues                              ")</f>
        <v xml:space="preserve">     Subscriptions &amp; Dues                              </v>
      </c>
      <c r="C83" s="14"/>
      <c r="D83" s="1">
        <f>SUM(OSRRefD22_15x_0)</f>
        <v>130.66999999999999</v>
      </c>
      <c r="E83" s="1"/>
      <c r="F83" s="5">
        <f t="shared" ref="F83:F94" si="52">IF(D$12=0,0,D83/D$12)</f>
        <v>3.0609285714620353E-3</v>
      </c>
      <c r="G83" s="1"/>
      <c r="H83" s="1">
        <f>SUM(OSRRefH22_15x_0)</f>
        <v>380</v>
      </c>
      <c r="I83" s="1"/>
      <c r="J83" s="5">
        <f t="shared" ref="J83:J94" si="53">IF(H$12=0,0,H83/H$12)</f>
        <v>4.4627128596594248E-2</v>
      </c>
      <c r="K83" s="1"/>
      <c r="L83" s="1">
        <f t="shared" ref="L83:L94" si="54">+D83-H83</f>
        <v>-249.33</v>
      </c>
      <c r="M83" s="1"/>
      <c r="N83" s="5">
        <f t="shared" ref="N83:N94" si="55">IF(H83=0,0,L83/H83)</f>
        <v>-0.6561315789473684</v>
      </c>
      <c r="O83" s="14"/>
      <c r="P83" s="1">
        <f>SUM(OSRRefP22_15x_0)</f>
        <v>130.66999999999999</v>
      </c>
      <c r="Q83" s="1"/>
      <c r="R83" s="5">
        <f t="shared" ref="R83:R94" si="56">IF(P$12=0,0,P83/P$12)</f>
        <v>3.0609285714620353E-3</v>
      </c>
      <c r="S83" s="1"/>
      <c r="T83" s="1">
        <f>SUM(OSRRefT22_15x_0)</f>
        <v>380</v>
      </c>
      <c r="U83" s="1"/>
      <c r="V83" s="5">
        <f t="shared" ref="V83:V94" si="57">IF(T$12=0,0,T83/T$12)</f>
        <v>4.4627128596594248E-2</v>
      </c>
      <c r="W83" s="1"/>
      <c r="X83" s="1">
        <f t="shared" ref="X83:X94" si="58">+P83-T83</f>
        <v>-249.33</v>
      </c>
      <c r="Y83" s="1"/>
      <c r="Z83" s="5">
        <f t="shared" ref="Z83:Z94" si="59">IF(T83=0,0,X83/T83)</f>
        <v>-0.6561315789473684</v>
      </c>
    </row>
    <row r="84" spans="1:26" s="24" customFormat="1" hidden="1" outlineLevel="2" x14ac:dyDescent="0.3">
      <c r="A84" s="29"/>
      <c r="B84" s="11" t="str">
        <f>CONCATENATE("          ", "6275", " - ", "SUBSCRIPTIONS")</f>
        <v xml:space="preserve">          6275 - SUBSCRIPTIONS</v>
      </c>
      <c r="C84" s="11"/>
      <c r="D84" s="8">
        <v>130.66999999999999</v>
      </c>
      <c r="E84" s="3"/>
      <c r="F84" s="7">
        <f t="shared" si="52"/>
        <v>3.0609285714620353E-3</v>
      </c>
      <c r="G84" s="3"/>
      <c r="H84" s="8">
        <v>380</v>
      </c>
      <c r="I84" s="3"/>
      <c r="J84" s="7">
        <f t="shared" si="53"/>
        <v>4.4627128596594248E-2</v>
      </c>
      <c r="K84" s="3"/>
      <c r="L84" s="8">
        <f t="shared" si="54"/>
        <v>-249.33</v>
      </c>
      <c r="M84" s="3"/>
      <c r="N84" s="7">
        <f t="shared" si="55"/>
        <v>-0.6561315789473684</v>
      </c>
      <c r="O84" s="11"/>
      <c r="P84" s="8">
        <v>130.66999999999999</v>
      </c>
      <c r="Q84" s="3"/>
      <c r="R84" s="7">
        <f t="shared" si="56"/>
        <v>3.0609285714620353E-3</v>
      </c>
      <c r="S84" s="3"/>
      <c r="T84" s="8">
        <v>380</v>
      </c>
      <c r="U84" s="3"/>
      <c r="V84" s="7">
        <f t="shared" si="57"/>
        <v>4.4627128596594248E-2</v>
      </c>
      <c r="W84" s="3"/>
      <c r="X84" s="8">
        <f t="shared" si="58"/>
        <v>-249.33</v>
      </c>
      <c r="Y84" s="3"/>
      <c r="Z84" s="7">
        <f t="shared" si="59"/>
        <v>-0.6561315789473684</v>
      </c>
    </row>
    <row r="85" spans="1:26" s="27" customFormat="1" outlineLevel="1" collapsed="1" x14ac:dyDescent="0.3">
      <c r="A85" s="28"/>
      <c r="B85" s="14" t="str">
        <f>CONCATENATE("     ","Supplies                                          ")</f>
        <v xml:space="preserve">     Supplies                                          </v>
      </c>
      <c r="C85" s="14"/>
      <c r="D85" s="1">
        <f>SUM(OSRRefD22_16x_0)</f>
        <v>6941.0899999999992</v>
      </c>
      <c r="E85" s="1"/>
      <c r="F85" s="5">
        <f t="shared" si="52"/>
        <v>0.16259417385849406</v>
      </c>
      <c r="G85" s="1"/>
      <c r="H85" s="1">
        <f>SUM(OSRRefH22_16x_0)</f>
        <v>40289</v>
      </c>
      <c r="I85" s="1"/>
      <c r="J85" s="5">
        <f t="shared" si="53"/>
        <v>4.7315325895478564</v>
      </c>
      <c r="K85" s="1"/>
      <c r="L85" s="1">
        <f t="shared" si="54"/>
        <v>-33347.910000000003</v>
      </c>
      <c r="M85" s="1"/>
      <c r="N85" s="5">
        <f t="shared" si="55"/>
        <v>-0.82771749112661031</v>
      </c>
      <c r="O85" s="14"/>
      <c r="P85" s="1">
        <f>SUM(OSRRefP22_16x_0)</f>
        <v>6941.0899999999992</v>
      </c>
      <c r="Q85" s="1"/>
      <c r="R85" s="5">
        <f t="shared" si="56"/>
        <v>0.16259417385849406</v>
      </c>
      <c r="S85" s="1"/>
      <c r="T85" s="1">
        <f>SUM(OSRRefT22_16x_0)</f>
        <v>40289</v>
      </c>
      <c r="U85" s="1"/>
      <c r="V85" s="5">
        <f t="shared" si="57"/>
        <v>4.7315325895478564</v>
      </c>
      <c r="W85" s="1"/>
      <c r="X85" s="1">
        <f t="shared" si="58"/>
        <v>-33347.910000000003</v>
      </c>
      <c r="Y85" s="1"/>
      <c r="Z85" s="5">
        <f t="shared" si="59"/>
        <v>-0.82771749112661031</v>
      </c>
    </row>
    <row r="86" spans="1:26" s="24" customFormat="1" hidden="1" outlineLevel="2" x14ac:dyDescent="0.3">
      <c r="A86" s="29"/>
      <c r="B86" s="11" t="str">
        <f>CONCATENATE("          ", "6234", " - ", "EXPENDABLE SUPPLIES &amp; EQUIPMEN")</f>
        <v xml:space="preserve">          6234 - EXPENDABLE SUPPLIES &amp; EQUIPMEN</v>
      </c>
      <c r="C86" s="11"/>
      <c r="D86" s="8"/>
      <c r="E86" s="3"/>
      <c r="F86" s="7">
        <f t="shared" si="52"/>
        <v>0</v>
      </c>
      <c r="G86" s="3"/>
      <c r="H86" s="8">
        <v>342</v>
      </c>
      <c r="I86" s="3"/>
      <c r="J86" s="7">
        <f t="shared" si="53"/>
        <v>4.0164415736934821E-2</v>
      </c>
      <c r="K86" s="3"/>
      <c r="L86" s="8">
        <f t="shared" si="54"/>
        <v>-342</v>
      </c>
      <c r="M86" s="3"/>
      <c r="N86" s="7">
        <f t="shared" si="55"/>
        <v>-1</v>
      </c>
      <c r="O86" s="11"/>
      <c r="P86" s="8"/>
      <c r="Q86" s="3"/>
      <c r="R86" s="7">
        <f t="shared" si="56"/>
        <v>0</v>
      </c>
      <c r="S86" s="3"/>
      <c r="T86" s="8">
        <v>342</v>
      </c>
      <c r="U86" s="3"/>
      <c r="V86" s="7">
        <f t="shared" si="57"/>
        <v>4.0164415736934821E-2</v>
      </c>
      <c r="W86" s="3"/>
      <c r="X86" s="8">
        <f t="shared" si="58"/>
        <v>-342</v>
      </c>
      <c r="Y86" s="3"/>
      <c r="Z86" s="7">
        <f t="shared" si="59"/>
        <v>-1</v>
      </c>
    </row>
    <row r="87" spans="1:26" s="24" customFormat="1" hidden="1" outlineLevel="2" x14ac:dyDescent="0.3">
      <c r="A87" s="29"/>
      <c r="B87" s="11" t="str">
        <f>CONCATENATE("          ", "6235", " - ", "COVID-19 EXPENSES")</f>
        <v xml:space="preserve">          6235 - COVID-19 EXPENSES</v>
      </c>
      <c r="C87" s="11"/>
      <c r="D87" s="8"/>
      <c r="E87" s="3"/>
      <c r="F87" s="7">
        <f t="shared" si="52"/>
        <v>0</v>
      </c>
      <c r="G87" s="3"/>
      <c r="H87" s="8">
        <v>500</v>
      </c>
      <c r="I87" s="3"/>
      <c r="J87" s="7">
        <f t="shared" si="53"/>
        <v>5.8719906048150326E-2</v>
      </c>
      <c r="K87" s="3"/>
      <c r="L87" s="8">
        <f t="shared" si="54"/>
        <v>-500</v>
      </c>
      <c r="M87" s="3"/>
      <c r="N87" s="7">
        <f t="shared" si="55"/>
        <v>-1</v>
      </c>
      <c r="O87" s="11"/>
      <c r="P87" s="8"/>
      <c r="Q87" s="3"/>
      <c r="R87" s="7">
        <f t="shared" si="56"/>
        <v>0</v>
      </c>
      <c r="S87" s="3"/>
      <c r="T87" s="8">
        <v>500</v>
      </c>
      <c r="U87" s="3"/>
      <c r="V87" s="7">
        <f t="shared" si="57"/>
        <v>5.8719906048150326E-2</v>
      </c>
      <c r="W87" s="3"/>
      <c r="X87" s="8">
        <f t="shared" si="58"/>
        <v>-500</v>
      </c>
      <c r="Y87" s="3"/>
      <c r="Z87" s="7">
        <f t="shared" si="59"/>
        <v>-1</v>
      </c>
    </row>
    <row r="88" spans="1:26" s="24" customFormat="1" hidden="1" outlineLevel="2" x14ac:dyDescent="0.3">
      <c r="A88" s="29"/>
      <c r="B88" s="11" t="str">
        <f>CONCATENATE("          ", "6237", " - ", "JANITORIAL SUPPLIES")</f>
        <v xml:space="preserve">          6237 - JANITORIAL SUPPLIES</v>
      </c>
      <c r="C88" s="11"/>
      <c r="D88" s="8">
        <v>4704.12</v>
      </c>
      <c r="E88" s="3"/>
      <c r="F88" s="7">
        <f t="shared" si="52"/>
        <v>0.11019342857263328</v>
      </c>
      <c r="G88" s="3"/>
      <c r="H88" s="8">
        <v>11523</v>
      </c>
      <c r="I88" s="3"/>
      <c r="J88" s="7">
        <f t="shared" si="53"/>
        <v>1.3532589547856724</v>
      </c>
      <c r="K88" s="3"/>
      <c r="L88" s="8">
        <f t="shared" si="54"/>
        <v>-6818.88</v>
      </c>
      <c r="M88" s="3"/>
      <c r="N88" s="7">
        <f t="shared" si="55"/>
        <v>-0.59176256183285603</v>
      </c>
      <c r="O88" s="11"/>
      <c r="P88" s="8">
        <v>4704.12</v>
      </c>
      <c r="Q88" s="3"/>
      <c r="R88" s="7">
        <f t="shared" si="56"/>
        <v>0.11019342857263328</v>
      </c>
      <c r="S88" s="3"/>
      <c r="T88" s="8">
        <v>11523</v>
      </c>
      <c r="U88" s="3"/>
      <c r="V88" s="7">
        <f t="shared" si="57"/>
        <v>1.3532589547856724</v>
      </c>
      <c r="W88" s="3"/>
      <c r="X88" s="8">
        <f t="shared" si="58"/>
        <v>-6818.88</v>
      </c>
      <c r="Y88" s="3"/>
      <c r="Z88" s="7">
        <f t="shared" si="59"/>
        <v>-0.59176256183285603</v>
      </c>
    </row>
    <row r="89" spans="1:26" s="24" customFormat="1" hidden="1" outlineLevel="2" x14ac:dyDescent="0.3">
      <c r="A89" s="29"/>
      <c r="B89" s="11" t="str">
        <f>CONCATENATE("          ", "6239", " - ", "KITCHEN SUPPLIES")</f>
        <v xml:space="preserve">          6239 - KITCHEN SUPPLIES</v>
      </c>
      <c r="C89" s="11"/>
      <c r="D89" s="8">
        <v>32.03</v>
      </c>
      <c r="E89" s="3"/>
      <c r="F89" s="7">
        <f t="shared" si="52"/>
        <v>7.5029878429577572E-4</v>
      </c>
      <c r="G89" s="3"/>
      <c r="H89" s="8">
        <v>11463</v>
      </c>
      <c r="I89" s="3"/>
      <c r="J89" s="7">
        <f t="shared" si="53"/>
        <v>1.3462125660598943</v>
      </c>
      <c r="K89" s="3"/>
      <c r="L89" s="8">
        <f t="shared" si="54"/>
        <v>-11430.97</v>
      </c>
      <c r="M89" s="3"/>
      <c r="N89" s="7">
        <f t="shared" si="55"/>
        <v>-0.99720579254994324</v>
      </c>
      <c r="O89" s="11"/>
      <c r="P89" s="8">
        <v>32.03</v>
      </c>
      <c r="Q89" s="3"/>
      <c r="R89" s="7">
        <f t="shared" si="56"/>
        <v>7.5029878429577572E-4</v>
      </c>
      <c r="S89" s="3"/>
      <c r="T89" s="8">
        <v>11463</v>
      </c>
      <c r="U89" s="3"/>
      <c r="V89" s="7">
        <f t="shared" si="57"/>
        <v>1.3462125660598943</v>
      </c>
      <c r="W89" s="3"/>
      <c r="X89" s="8">
        <f t="shared" si="58"/>
        <v>-11430.97</v>
      </c>
      <c r="Y89" s="3"/>
      <c r="Z89" s="7">
        <f t="shared" si="59"/>
        <v>-0.99720579254994324</v>
      </c>
    </row>
    <row r="90" spans="1:26" s="24" customFormat="1" hidden="1" outlineLevel="2" x14ac:dyDescent="0.3">
      <c r="A90" s="29"/>
      <c r="B90" s="11" t="str">
        <f>CONCATENATE("          ", "6241", " - ", "OFFICE EXPENSE")</f>
        <v xml:space="preserve">          6241 - OFFICE EXPENSE</v>
      </c>
      <c r="C90" s="11"/>
      <c r="D90" s="8">
        <v>976.49</v>
      </c>
      <c r="E90" s="3"/>
      <c r="F90" s="7">
        <f t="shared" si="52"/>
        <v>2.2874157348641337E-2</v>
      </c>
      <c r="G90" s="3"/>
      <c r="H90" s="8">
        <v>1489</v>
      </c>
      <c r="I90" s="3"/>
      <c r="J90" s="7">
        <f t="shared" si="53"/>
        <v>0.17486788021139166</v>
      </c>
      <c r="K90" s="3"/>
      <c r="L90" s="8">
        <f t="shared" si="54"/>
        <v>-512.51</v>
      </c>
      <c r="M90" s="3"/>
      <c r="N90" s="7">
        <f t="shared" si="55"/>
        <v>-0.34419744795164542</v>
      </c>
      <c r="O90" s="11"/>
      <c r="P90" s="8">
        <v>976.49</v>
      </c>
      <c r="Q90" s="3"/>
      <c r="R90" s="7">
        <f t="shared" si="56"/>
        <v>2.2874157348641337E-2</v>
      </c>
      <c r="S90" s="3"/>
      <c r="T90" s="8">
        <v>1489</v>
      </c>
      <c r="U90" s="3"/>
      <c r="V90" s="7">
        <f t="shared" si="57"/>
        <v>0.17486788021139166</v>
      </c>
      <c r="W90" s="3"/>
      <c r="X90" s="8">
        <f t="shared" si="58"/>
        <v>-512.51</v>
      </c>
      <c r="Y90" s="3"/>
      <c r="Z90" s="7">
        <f t="shared" si="59"/>
        <v>-0.34419744795164542</v>
      </c>
    </row>
    <row r="91" spans="1:26" s="24" customFormat="1" hidden="1" outlineLevel="2" x14ac:dyDescent="0.3">
      <c r="A91" s="29"/>
      <c r="B91" s="11" t="str">
        <f>CONCATENATE("          ", "6243", " - ", "PAPER SUPPLIES")</f>
        <v xml:space="preserve">          6243 - PAPER SUPPLIES</v>
      </c>
      <c r="C91" s="11"/>
      <c r="D91" s="8">
        <v>1228.45</v>
      </c>
      <c r="E91" s="3"/>
      <c r="F91" s="7">
        <f t="shared" si="52"/>
        <v>2.8776289152923684E-2</v>
      </c>
      <c r="G91" s="3"/>
      <c r="H91" s="8">
        <v>11809</v>
      </c>
      <c r="I91" s="3"/>
      <c r="J91" s="7">
        <f t="shared" si="53"/>
        <v>1.3868467410452143</v>
      </c>
      <c r="K91" s="3"/>
      <c r="L91" s="8">
        <f t="shared" si="54"/>
        <v>-10580.55</v>
      </c>
      <c r="M91" s="3"/>
      <c r="N91" s="7">
        <f t="shared" si="55"/>
        <v>-0.89597341011093223</v>
      </c>
      <c r="O91" s="11"/>
      <c r="P91" s="8">
        <v>1228.45</v>
      </c>
      <c r="Q91" s="3"/>
      <c r="R91" s="7">
        <f t="shared" si="56"/>
        <v>2.8776289152923684E-2</v>
      </c>
      <c r="S91" s="3"/>
      <c r="T91" s="8">
        <v>11809</v>
      </c>
      <c r="U91" s="3"/>
      <c r="V91" s="7">
        <f t="shared" si="57"/>
        <v>1.3868467410452143</v>
      </c>
      <c r="W91" s="3"/>
      <c r="X91" s="8">
        <f t="shared" si="58"/>
        <v>-10580.55</v>
      </c>
      <c r="Y91" s="3"/>
      <c r="Z91" s="7">
        <f t="shared" si="59"/>
        <v>-0.89597341011093223</v>
      </c>
    </row>
    <row r="92" spans="1:26" s="24" customFormat="1" hidden="1" outlineLevel="2" x14ac:dyDescent="0.3">
      <c r="A92" s="29"/>
      <c r="B92" s="11" t="str">
        <f>CONCATENATE("          ", "6244", " - ", "SAFETY SUPPLY EXPENSE")</f>
        <v xml:space="preserve">          6244 - SAFETY SUPPLY EXPENSE</v>
      </c>
      <c r="C92" s="11"/>
      <c r="D92" s="8"/>
      <c r="E92" s="3"/>
      <c r="F92" s="7">
        <f t="shared" si="52"/>
        <v>0</v>
      </c>
      <c r="G92" s="3"/>
      <c r="H92" s="8">
        <v>575</v>
      </c>
      <c r="I92" s="3"/>
      <c r="J92" s="7">
        <f t="shared" si="53"/>
        <v>6.7527891955372871E-2</v>
      </c>
      <c r="K92" s="3"/>
      <c r="L92" s="8">
        <f t="shared" si="54"/>
        <v>-575</v>
      </c>
      <c r="M92" s="3"/>
      <c r="N92" s="7">
        <f t="shared" si="55"/>
        <v>-1</v>
      </c>
      <c r="O92" s="11"/>
      <c r="P92" s="8"/>
      <c r="Q92" s="3"/>
      <c r="R92" s="7">
        <f t="shared" si="56"/>
        <v>0</v>
      </c>
      <c r="S92" s="3"/>
      <c r="T92" s="8">
        <v>575</v>
      </c>
      <c r="U92" s="3"/>
      <c r="V92" s="7">
        <f t="shared" si="57"/>
        <v>6.7527891955372871E-2</v>
      </c>
      <c r="W92" s="3"/>
      <c r="X92" s="8">
        <f t="shared" si="58"/>
        <v>-575</v>
      </c>
      <c r="Y92" s="3"/>
      <c r="Z92" s="7">
        <f t="shared" si="59"/>
        <v>-1</v>
      </c>
    </row>
    <row r="93" spans="1:26" s="24" customFormat="1" hidden="1" outlineLevel="2" x14ac:dyDescent="0.3">
      <c r="A93" s="29"/>
      <c r="B93" s="11" t="str">
        <f>CONCATENATE("          ", "6245", " - ", "PRINTING")</f>
        <v xml:space="preserve">          6245 - PRINTING</v>
      </c>
      <c r="C93" s="11"/>
      <c r="D93" s="8"/>
      <c r="E93" s="3"/>
      <c r="F93" s="7">
        <f t="shared" si="52"/>
        <v>0</v>
      </c>
      <c r="G93" s="3"/>
      <c r="H93" s="8">
        <v>400</v>
      </c>
      <c r="I93" s="3"/>
      <c r="J93" s="7">
        <f t="shared" si="53"/>
        <v>4.6975924838520255E-2</v>
      </c>
      <c r="K93" s="3"/>
      <c r="L93" s="8">
        <f t="shared" si="54"/>
        <v>-400</v>
      </c>
      <c r="M93" s="3"/>
      <c r="N93" s="7">
        <f t="shared" si="55"/>
        <v>-1</v>
      </c>
      <c r="O93" s="11"/>
      <c r="P93" s="8"/>
      <c r="Q93" s="3"/>
      <c r="R93" s="7">
        <f t="shared" si="56"/>
        <v>0</v>
      </c>
      <c r="S93" s="3"/>
      <c r="T93" s="8">
        <v>400</v>
      </c>
      <c r="U93" s="3"/>
      <c r="V93" s="7">
        <f t="shared" si="57"/>
        <v>4.6975924838520255E-2</v>
      </c>
      <c r="W93" s="3"/>
      <c r="X93" s="8">
        <f t="shared" si="58"/>
        <v>-400</v>
      </c>
      <c r="Y93" s="3"/>
      <c r="Z93" s="7">
        <f t="shared" si="59"/>
        <v>-1</v>
      </c>
    </row>
    <row r="94" spans="1:26" s="24" customFormat="1" hidden="1" outlineLevel="2" x14ac:dyDescent="0.3">
      <c r="A94" s="29"/>
      <c r="B94" s="11" t="str">
        <f>CONCATENATE("          ", "6248", " - ", "UNIFORMS")</f>
        <v xml:space="preserve">          6248 - UNIFORMS</v>
      </c>
      <c r="C94" s="11"/>
      <c r="D94" s="8"/>
      <c r="E94" s="3"/>
      <c r="F94" s="7">
        <f t="shared" si="52"/>
        <v>0</v>
      </c>
      <c r="G94" s="3"/>
      <c r="H94" s="8">
        <v>2188</v>
      </c>
      <c r="I94" s="3"/>
      <c r="J94" s="7">
        <f t="shared" si="53"/>
        <v>0.25695830886670579</v>
      </c>
      <c r="K94" s="3"/>
      <c r="L94" s="8">
        <f t="shared" si="54"/>
        <v>-2188</v>
      </c>
      <c r="M94" s="3"/>
      <c r="N94" s="7">
        <f t="shared" si="55"/>
        <v>-1</v>
      </c>
      <c r="O94" s="11"/>
      <c r="P94" s="8"/>
      <c r="Q94" s="3"/>
      <c r="R94" s="7">
        <f t="shared" si="56"/>
        <v>0</v>
      </c>
      <c r="S94" s="3"/>
      <c r="T94" s="8">
        <v>2188</v>
      </c>
      <c r="U94" s="3"/>
      <c r="V94" s="7">
        <f t="shared" si="57"/>
        <v>0.25695830886670579</v>
      </c>
      <c r="W94" s="3"/>
      <c r="X94" s="8">
        <f t="shared" si="58"/>
        <v>-2188</v>
      </c>
      <c r="Y94" s="3"/>
      <c r="Z94" s="7">
        <f t="shared" si="59"/>
        <v>-1</v>
      </c>
    </row>
    <row r="95" spans="1:26" s="27" customFormat="1" outlineLevel="1" collapsed="1" x14ac:dyDescent="0.3">
      <c r="A95" s="28"/>
      <c r="B95" s="14" t="str">
        <f>CONCATENATE("     ","Telephone/Data Lines                              ")</f>
        <v xml:space="preserve">     Telephone/Data Lines                              </v>
      </c>
      <c r="C95" s="14"/>
      <c r="D95" s="1">
        <f>SUM(OSRRefD22_17x_0)</f>
        <v>1022.55</v>
      </c>
      <c r="E95" s="1"/>
      <c r="F95" s="5">
        <f t="shared" ref="F95:F97" si="60">IF(D$12=0,0,D95/D$12)</f>
        <v>2.3953107145852182E-2</v>
      </c>
      <c r="G95" s="1"/>
      <c r="H95" s="1">
        <f>SUM(OSRRefH22_17x_0)</f>
        <v>1111</v>
      </c>
      <c r="I95" s="1"/>
      <c r="J95" s="5">
        <f t="shared" ref="J95:J97" si="61">IF(H$12=0,0,H95/H$12)</f>
        <v>0.13047563123899003</v>
      </c>
      <c r="K95" s="1"/>
      <c r="L95" s="1">
        <f t="shared" ref="L95:L97" si="62">+D95-H95</f>
        <v>-88.450000000000045</v>
      </c>
      <c r="M95" s="1"/>
      <c r="N95" s="5">
        <f t="shared" ref="N95:N97" si="63">IF(H95=0,0,L95/H95)</f>
        <v>-7.9612961296129658E-2</v>
      </c>
      <c r="O95" s="14"/>
      <c r="P95" s="1">
        <f>SUM(OSRRefP22_17x_0)</f>
        <v>1022.55</v>
      </c>
      <c r="Q95" s="1"/>
      <c r="R95" s="5">
        <f t="shared" ref="R95:R97" si="64">IF(P$12=0,0,P95/P$12)</f>
        <v>2.3953107145852182E-2</v>
      </c>
      <c r="S95" s="1"/>
      <c r="T95" s="1">
        <f>SUM(OSRRefT22_17x_0)</f>
        <v>1111</v>
      </c>
      <c r="U95" s="1"/>
      <c r="V95" s="5">
        <f t="shared" ref="V95:V97" si="65">IF(T$12=0,0,T95/T$12)</f>
        <v>0.13047563123899003</v>
      </c>
      <c r="W95" s="1"/>
      <c r="X95" s="1">
        <f t="shared" ref="X95:X97" si="66">+P95-T95</f>
        <v>-88.450000000000045</v>
      </c>
      <c r="Y95" s="1"/>
      <c r="Z95" s="5">
        <f t="shared" ref="Z95:Z97" si="67">IF(T95=0,0,X95/T95)</f>
        <v>-7.9612961296129658E-2</v>
      </c>
    </row>
    <row r="96" spans="1:26" s="24" customFormat="1" hidden="1" outlineLevel="2" x14ac:dyDescent="0.3">
      <c r="A96" s="29"/>
      <c r="B96" s="11" t="str">
        <f>CONCATENATE("          ", "6303", " - ", "DATA PHONE LINES")</f>
        <v xml:space="preserve">          6303 - DATA PHONE LINES</v>
      </c>
      <c r="C96" s="11"/>
      <c r="D96" s="8"/>
      <c r="E96" s="3"/>
      <c r="F96" s="7">
        <f t="shared" si="60"/>
        <v>0</v>
      </c>
      <c r="G96" s="3"/>
      <c r="H96" s="8">
        <v>193</v>
      </c>
      <c r="I96" s="3"/>
      <c r="J96" s="7">
        <f t="shared" si="61"/>
        <v>2.2665883734586025E-2</v>
      </c>
      <c r="K96" s="3"/>
      <c r="L96" s="8">
        <f t="shared" si="62"/>
        <v>-193</v>
      </c>
      <c r="M96" s="3"/>
      <c r="N96" s="7">
        <f t="shared" si="63"/>
        <v>-1</v>
      </c>
      <c r="O96" s="11"/>
      <c r="P96" s="8"/>
      <c r="Q96" s="3"/>
      <c r="R96" s="7">
        <f t="shared" si="64"/>
        <v>0</v>
      </c>
      <c r="S96" s="3"/>
      <c r="T96" s="8">
        <v>193</v>
      </c>
      <c r="U96" s="3"/>
      <c r="V96" s="7">
        <f t="shared" si="65"/>
        <v>2.2665883734586025E-2</v>
      </c>
      <c r="W96" s="3"/>
      <c r="X96" s="8">
        <f t="shared" si="66"/>
        <v>-193</v>
      </c>
      <c r="Y96" s="3"/>
      <c r="Z96" s="7">
        <f t="shared" si="67"/>
        <v>-1</v>
      </c>
    </row>
    <row r="97" spans="1:26" s="24" customFormat="1" hidden="1" outlineLevel="2" x14ac:dyDescent="0.3">
      <c r="A97" s="29"/>
      <c r="B97" s="11" t="str">
        <f>CONCATENATE("          ", "6309", " - ", "TELEPHONE")</f>
        <v xml:space="preserve">          6309 - TELEPHONE</v>
      </c>
      <c r="C97" s="11"/>
      <c r="D97" s="8">
        <v>1022.55</v>
      </c>
      <c r="E97" s="3"/>
      <c r="F97" s="7">
        <f t="shared" si="60"/>
        <v>2.3953107145852182E-2</v>
      </c>
      <c r="G97" s="3"/>
      <c r="H97" s="8">
        <v>918</v>
      </c>
      <c r="I97" s="3"/>
      <c r="J97" s="7">
        <f t="shared" si="61"/>
        <v>0.10780974750440399</v>
      </c>
      <c r="K97" s="3"/>
      <c r="L97" s="8">
        <f t="shared" si="62"/>
        <v>104.54999999999995</v>
      </c>
      <c r="M97" s="3"/>
      <c r="N97" s="7">
        <f t="shared" si="63"/>
        <v>0.11388888888888885</v>
      </c>
      <c r="O97" s="11"/>
      <c r="P97" s="8">
        <v>1022.55</v>
      </c>
      <c r="Q97" s="3"/>
      <c r="R97" s="7">
        <f t="shared" si="64"/>
        <v>2.3953107145852182E-2</v>
      </c>
      <c r="S97" s="3"/>
      <c r="T97" s="8">
        <v>918</v>
      </c>
      <c r="U97" s="3"/>
      <c r="V97" s="7">
        <f t="shared" si="65"/>
        <v>0.10780974750440399</v>
      </c>
      <c r="W97" s="3"/>
      <c r="X97" s="8">
        <f t="shared" si="66"/>
        <v>104.54999999999995</v>
      </c>
      <c r="Y97" s="3"/>
      <c r="Z97" s="7">
        <f t="shared" si="67"/>
        <v>0.11388888888888885</v>
      </c>
    </row>
    <row r="98" spans="1:26" s="27" customFormat="1" outlineLevel="1" collapsed="1" x14ac:dyDescent="0.3">
      <c r="A98" s="28"/>
      <c r="B98" s="14" t="str">
        <f>CONCATENATE("     ","Training                                          ")</f>
        <v xml:space="preserve">     Training                                          </v>
      </c>
      <c r="C98" s="14"/>
      <c r="D98" s="1">
        <f>SUM(OSRRefD22_18x_0)</f>
        <v>0</v>
      </c>
      <c r="E98" s="1"/>
      <c r="F98" s="5">
        <f t="shared" ref="F98:F101" si="68">IF(D$12=0,0,D98/D$12)</f>
        <v>0</v>
      </c>
      <c r="G98" s="1"/>
      <c r="H98" s="1">
        <f>SUM(OSRRefH22_18x_0)</f>
        <v>960</v>
      </c>
      <c r="I98" s="1"/>
      <c r="J98" s="5">
        <f t="shared" ref="J98:J101" si="69">IF(H$12=0,0,H98/H$12)</f>
        <v>0.11274221961244862</v>
      </c>
      <c r="K98" s="1"/>
      <c r="L98" s="1">
        <f t="shared" ref="L98:L101" si="70">+D98-H98</f>
        <v>-960</v>
      </c>
      <c r="M98" s="1"/>
      <c r="N98" s="5">
        <f t="shared" ref="N98:N101" si="71">IF(H98=0,0,L98/H98)</f>
        <v>-1</v>
      </c>
      <c r="O98" s="14"/>
      <c r="P98" s="1">
        <f>SUM(OSRRefP22_18x_0)</f>
        <v>0</v>
      </c>
      <c r="Q98" s="1"/>
      <c r="R98" s="5">
        <f t="shared" ref="R98:R101" si="72">IF(P$12=0,0,P98/P$12)</f>
        <v>0</v>
      </c>
      <c r="S98" s="1"/>
      <c r="T98" s="1">
        <f>SUM(OSRRefT22_18x_0)</f>
        <v>960</v>
      </c>
      <c r="U98" s="1"/>
      <c r="V98" s="5">
        <f t="shared" ref="V98:V101" si="73">IF(T$12=0,0,T98/T$12)</f>
        <v>0.11274221961244862</v>
      </c>
      <c r="W98" s="1"/>
      <c r="X98" s="1">
        <f t="shared" ref="X98:X101" si="74">+P98-T98</f>
        <v>-960</v>
      </c>
      <c r="Y98" s="1"/>
      <c r="Z98" s="5">
        <f t="shared" ref="Z98:Z101" si="75">IF(T98=0,0,X98/T98)</f>
        <v>-1</v>
      </c>
    </row>
    <row r="99" spans="1:26" s="24" customFormat="1" hidden="1" outlineLevel="2" x14ac:dyDescent="0.3">
      <c r="A99" s="29"/>
      <c r="B99" s="11" t="str">
        <f>CONCATENATE("          ", "6376", " - ", "TRAINING")</f>
        <v xml:space="preserve">          6376 - TRAINING</v>
      </c>
      <c r="C99" s="11"/>
      <c r="D99" s="8"/>
      <c r="E99" s="3"/>
      <c r="F99" s="7">
        <f t="shared" si="68"/>
        <v>0</v>
      </c>
      <c r="G99" s="3"/>
      <c r="H99" s="8">
        <v>960</v>
      </c>
      <c r="I99" s="3"/>
      <c r="J99" s="7">
        <f t="shared" si="69"/>
        <v>0.11274221961244862</v>
      </c>
      <c r="K99" s="3"/>
      <c r="L99" s="8">
        <f t="shared" si="70"/>
        <v>-960</v>
      </c>
      <c r="M99" s="3"/>
      <c r="N99" s="7">
        <f t="shared" si="71"/>
        <v>-1</v>
      </c>
      <c r="O99" s="11"/>
      <c r="P99" s="8"/>
      <c r="Q99" s="3"/>
      <c r="R99" s="7">
        <f t="shared" si="72"/>
        <v>0</v>
      </c>
      <c r="S99" s="3"/>
      <c r="T99" s="8">
        <v>960</v>
      </c>
      <c r="U99" s="3"/>
      <c r="V99" s="7">
        <f t="shared" si="73"/>
        <v>0.11274221961244862</v>
      </c>
      <c r="W99" s="3"/>
      <c r="X99" s="8">
        <f t="shared" si="74"/>
        <v>-960</v>
      </c>
      <c r="Y99" s="3"/>
      <c r="Z99" s="7">
        <f t="shared" si="75"/>
        <v>-1</v>
      </c>
    </row>
    <row r="100" spans="1:26" s="27" customFormat="1" outlineLevel="1" collapsed="1" x14ac:dyDescent="0.3">
      <c r="A100" s="28"/>
      <c r="B100" s="14" t="str">
        <f>CONCATENATE("     ","Utilities                                         ")</f>
        <v xml:space="preserve">     Utilities                                         </v>
      </c>
      <c r="C100" s="14"/>
      <c r="D100" s="1">
        <f>SUM(OSRRefD22_19x_0)</f>
        <v>8150</v>
      </c>
      <c r="E100" s="1"/>
      <c r="F100" s="5">
        <f t="shared" si="68"/>
        <v>0.19091274093070781</v>
      </c>
      <c r="G100" s="1"/>
      <c r="H100" s="1">
        <f>SUM(OSRRefH22_19x_0)</f>
        <v>8667</v>
      </c>
      <c r="I100" s="1"/>
      <c r="J100" s="5">
        <f t="shared" si="69"/>
        <v>1.0178508514386377</v>
      </c>
      <c r="K100" s="1"/>
      <c r="L100" s="1">
        <f t="shared" si="70"/>
        <v>-517</v>
      </c>
      <c r="M100" s="1"/>
      <c r="N100" s="5">
        <f t="shared" si="71"/>
        <v>-5.9651551863389871E-2</v>
      </c>
      <c r="O100" s="14"/>
      <c r="P100" s="1">
        <f>SUM(OSRRefP22_19x_0)</f>
        <v>8150</v>
      </c>
      <c r="Q100" s="1"/>
      <c r="R100" s="5">
        <f t="shared" si="72"/>
        <v>0.19091274093070781</v>
      </c>
      <c r="S100" s="1"/>
      <c r="T100" s="1">
        <f>SUM(OSRRefT22_19x_0)</f>
        <v>8667</v>
      </c>
      <c r="U100" s="1"/>
      <c r="V100" s="5">
        <f t="shared" si="73"/>
        <v>1.0178508514386377</v>
      </c>
      <c r="W100" s="1"/>
      <c r="X100" s="1">
        <f t="shared" si="74"/>
        <v>-517</v>
      </c>
      <c r="Y100" s="1"/>
      <c r="Z100" s="5">
        <f t="shared" si="75"/>
        <v>-5.9651551863389871E-2</v>
      </c>
    </row>
    <row r="101" spans="1:26" s="24" customFormat="1" hidden="1" outlineLevel="2" x14ac:dyDescent="0.3">
      <c r="A101" s="29"/>
      <c r="B101" s="11" t="str">
        <f>CONCATENATE("          ", "6274", " - ", "UTILITIES")</f>
        <v xml:space="preserve">          6274 - UTILITIES</v>
      </c>
      <c r="C101" s="11"/>
      <c r="D101" s="8">
        <v>8150</v>
      </c>
      <c r="E101" s="3"/>
      <c r="F101" s="7">
        <f t="shared" si="68"/>
        <v>0.19091274093070781</v>
      </c>
      <c r="G101" s="3"/>
      <c r="H101" s="8">
        <v>8667</v>
      </c>
      <c r="I101" s="3"/>
      <c r="J101" s="7">
        <f t="shared" si="69"/>
        <v>1.0178508514386377</v>
      </c>
      <c r="K101" s="3"/>
      <c r="L101" s="8">
        <f t="shared" si="70"/>
        <v>-517</v>
      </c>
      <c r="M101" s="3"/>
      <c r="N101" s="7">
        <f t="shared" si="71"/>
        <v>-5.9651551863389871E-2</v>
      </c>
      <c r="O101" s="11"/>
      <c r="P101" s="8">
        <v>8150</v>
      </c>
      <c r="Q101" s="3"/>
      <c r="R101" s="7">
        <f t="shared" si="72"/>
        <v>0.19091274093070781</v>
      </c>
      <c r="S101" s="3"/>
      <c r="T101" s="8">
        <v>8667</v>
      </c>
      <c r="U101" s="3"/>
      <c r="V101" s="7">
        <f t="shared" si="73"/>
        <v>1.0178508514386377</v>
      </c>
      <c r="W101" s="3"/>
      <c r="X101" s="8">
        <f t="shared" si="74"/>
        <v>-517</v>
      </c>
      <c r="Y101" s="3"/>
      <c r="Z101" s="7">
        <f t="shared" si="75"/>
        <v>-5.9651551863389871E-2</v>
      </c>
    </row>
    <row r="102" spans="1:26" s="62" customFormat="1" x14ac:dyDescent="0.3">
      <c r="A102" s="36"/>
      <c r="B102" s="36"/>
      <c r="C102" s="36"/>
      <c r="D102" s="1"/>
      <c r="E102" s="1"/>
      <c r="F102" s="5"/>
      <c r="G102" s="1"/>
      <c r="H102" s="1"/>
      <c r="I102" s="1"/>
      <c r="J102" s="5"/>
      <c r="K102" s="1"/>
      <c r="L102" s="1"/>
      <c r="M102" s="1"/>
      <c r="N102" s="5"/>
      <c r="O102" s="36"/>
      <c r="P102" s="1"/>
      <c r="Q102" s="1"/>
      <c r="R102" s="5"/>
      <c r="S102" s="1"/>
      <c r="T102" s="1"/>
      <c r="U102" s="1"/>
      <c r="V102" s="5"/>
      <c r="W102" s="1"/>
      <c r="X102" s="1"/>
      <c r="Y102" s="1"/>
      <c r="Z102" s="5"/>
    </row>
    <row r="103" spans="1:26" s="23" customFormat="1" collapsed="1" x14ac:dyDescent="0.3">
      <c r="A103" s="10"/>
      <c r="B103" s="25" t="s">
        <v>293</v>
      </c>
      <c r="C103" s="10"/>
      <c r="D103" s="4">
        <f>SUM(OSRRefD25x_0)</f>
        <v>2655.42</v>
      </c>
      <c r="E103" s="4"/>
      <c r="F103" s="12">
        <f t="shared" ref="F103:F105" si="76">IF(D$12=0,0,D103/D$12)</f>
        <v>6.2202884726652787E-2</v>
      </c>
      <c r="G103" s="4"/>
      <c r="H103" s="4">
        <f>SUM(OSRRefH25x_0)</f>
        <v>0</v>
      </c>
      <c r="I103" s="4"/>
      <c r="J103" s="12">
        <f t="shared" ref="J103:J105" si="77">IF(H$12=0,0,H103/H$12)</f>
        <v>0</v>
      </c>
      <c r="K103" s="4"/>
      <c r="L103" s="4">
        <f t="shared" ref="L103:L105" si="78">+D103-H103</f>
        <v>2655.42</v>
      </c>
      <c r="M103" s="4"/>
      <c r="N103" s="12">
        <f t="shared" ref="N103:N105" si="79">IF(H103=0,0,L103/H103)</f>
        <v>0</v>
      </c>
      <c r="O103" s="10"/>
      <c r="P103" s="4">
        <f>SUM(OSRRefP25x_0)</f>
        <v>2655.42</v>
      </c>
      <c r="Q103" s="4"/>
      <c r="R103" s="12">
        <f t="shared" ref="R103:R105" si="80">IF(P$12=0,0,P103/P$12)</f>
        <v>6.2202884726652787E-2</v>
      </c>
      <c r="S103" s="4"/>
      <c r="T103" s="4">
        <f>SUM(OSRRefT25x_0)</f>
        <v>0</v>
      </c>
      <c r="U103" s="4"/>
      <c r="V103" s="12">
        <f t="shared" ref="V103:V105" si="81">IF(T$12=0,0,T103/T$12)</f>
        <v>0</v>
      </c>
      <c r="W103" s="4"/>
      <c r="X103" s="4">
        <f t="shared" ref="X103:X105" si="82">+P103-T103</f>
        <v>2655.42</v>
      </c>
      <c r="Y103" s="4"/>
      <c r="Z103" s="12">
        <f t="shared" ref="Z103:Z105" si="83">IF(T103=0,0,X103/T103)</f>
        <v>0</v>
      </c>
    </row>
    <row r="104" spans="1:26" s="24" customFormat="1" hidden="1" outlineLevel="1" x14ac:dyDescent="0.3">
      <c r="A104" s="44"/>
      <c r="B104" s="11" t="str">
        <f>CONCATENATE("          ", "9150", " - ", "MISC. INCOME")</f>
        <v xml:space="preserve">          9150 - MISC. INCOME</v>
      </c>
      <c r="C104" s="11"/>
      <c r="D104" s="3">
        <f>--1417.3</f>
        <v>1417.3</v>
      </c>
      <c r="E104" s="3"/>
      <c r="F104" s="19">
        <f t="shared" si="76"/>
        <v>3.320007702099291E-2</v>
      </c>
      <c r="G104" s="3"/>
      <c r="H104" s="3"/>
      <c r="I104" s="3"/>
      <c r="J104" s="19">
        <f t="shared" si="77"/>
        <v>0</v>
      </c>
      <c r="K104" s="3"/>
      <c r="L104" s="3">
        <f t="shared" si="78"/>
        <v>1417.3</v>
      </c>
      <c r="M104" s="3"/>
      <c r="N104" s="19">
        <f t="shared" si="79"/>
        <v>0</v>
      </c>
      <c r="O104" s="11"/>
      <c r="P104" s="3">
        <f>--1417.3</f>
        <v>1417.3</v>
      </c>
      <c r="Q104" s="3"/>
      <c r="R104" s="19">
        <f t="shared" si="80"/>
        <v>3.320007702099291E-2</v>
      </c>
      <c r="S104" s="3"/>
      <c r="T104" s="3"/>
      <c r="U104" s="3"/>
      <c r="V104" s="19">
        <f t="shared" si="81"/>
        <v>0</v>
      </c>
      <c r="W104" s="3"/>
      <c r="X104" s="3">
        <f t="shared" si="82"/>
        <v>1417.3</v>
      </c>
      <c r="Y104" s="3"/>
      <c r="Z104" s="19">
        <f t="shared" si="83"/>
        <v>0</v>
      </c>
    </row>
    <row r="105" spans="1:26" s="24" customFormat="1" hidden="1" outlineLevel="1" x14ac:dyDescent="0.3">
      <c r="A105" s="44"/>
      <c r="B105" s="11" t="str">
        <f>CONCATENATE("          ", "9160", " - ", "MISC. INCOME")</f>
        <v xml:space="preserve">          9160 - MISC. INCOME</v>
      </c>
      <c r="C105" s="11"/>
      <c r="D105" s="3">
        <f>--1238.12</f>
        <v>1238.1199999999999</v>
      </c>
      <c r="E105" s="3"/>
      <c r="F105" s="19">
        <f t="shared" si="76"/>
        <v>2.9002807705659873E-2</v>
      </c>
      <c r="G105" s="3"/>
      <c r="H105" s="3"/>
      <c r="I105" s="3"/>
      <c r="J105" s="19">
        <f t="shared" si="77"/>
        <v>0</v>
      </c>
      <c r="K105" s="3"/>
      <c r="L105" s="3">
        <f t="shared" si="78"/>
        <v>1238.1199999999999</v>
      </c>
      <c r="M105" s="3"/>
      <c r="N105" s="19">
        <f t="shared" si="79"/>
        <v>0</v>
      </c>
      <c r="O105" s="11"/>
      <c r="P105" s="3">
        <f>--1238.12</f>
        <v>1238.1199999999999</v>
      </c>
      <c r="Q105" s="3"/>
      <c r="R105" s="19">
        <f t="shared" si="80"/>
        <v>2.9002807705659873E-2</v>
      </c>
      <c r="S105" s="3"/>
      <c r="T105" s="3"/>
      <c r="U105" s="3"/>
      <c r="V105" s="19">
        <f t="shared" si="81"/>
        <v>0</v>
      </c>
      <c r="W105" s="3"/>
      <c r="X105" s="3">
        <f t="shared" si="82"/>
        <v>1238.1199999999999</v>
      </c>
      <c r="Y105" s="3"/>
      <c r="Z105" s="19">
        <f t="shared" si="83"/>
        <v>0</v>
      </c>
    </row>
    <row r="106" spans="1:26" x14ac:dyDescent="0.3">
      <c r="A106" s="9"/>
      <c r="B106" s="10"/>
      <c r="C106" s="10"/>
      <c r="D106" s="2"/>
      <c r="E106" s="2"/>
      <c r="F106" s="6"/>
      <c r="G106" s="2"/>
      <c r="H106" s="2"/>
      <c r="I106" s="2"/>
      <c r="J106" s="6"/>
      <c r="K106" s="2"/>
      <c r="L106" s="2"/>
      <c r="M106" s="2"/>
      <c r="N106" s="6"/>
      <c r="O106" s="10"/>
      <c r="P106" s="2"/>
      <c r="Q106" s="2"/>
      <c r="R106" s="6"/>
      <c r="S106" s="2"/>
      <c r="T106" s="2"/>
      <c r="U106" s="2"/>
      <c r="V106" s="6"/>
      <c r="W106" s="2"/>
      <c r="X106" s="2"/>
      <c r="Y106" s="2"/>
      <c r="Z106" s="6"/>
    </row>
    <row r="107" spans="1:26" s="23" customFormat="1" x14ac:dyDescent="0.3">
      <c r="A107" s="10"/>
      <c r="B107" s="26" t="s">
        <v>277</v>
      </c>
      <c r="C107" s="26"/>
      <c r="D107" s="21">
        <f>+D25-D27+D103</f>
        <v>-317324.15999999997</v>
      </c>
      <c r="E107" s="13"/>
      <c r="F107" s="22">
        <f>IF(D$12=0,0,D107/D$12)</f>
        <v>-7.4332791594030034</v>
      </c>
      <c r="G107" s="13"/>
      <c r="H107" s="21">
        <f>+H25-H27+H103</f>
        <v>-501302.05307240377</v>
      </c>
      <c r="I107" s="13"/>
      <c r="J107" s="22">
        <f>IF(H$12=0,0,H107/H$12)</f>
        <v>-58.872818916312831</v>
      </c>
      <c r="K107" s="16"/>
      <c r="L107" s="21">
        <f>+D107-H107</f>
        <v>183977.89307240379</v>
      </c>
      <c r="M107" s="16"/>
      <c r="N107" s="22">
        <f>IF(H107=0,0,L107/H107)</f>
        <v>-0.36700007898398057</v>
      </c>
      <c r="O107" s="25"/>
      <c r="P107" s="21">
        <f>+P25-P27+P103</f>
        <v>-317324.15999999997</v>
      </c>
      <c r="Q107" s="13"/>
      <c r="R107" s="22">
        <f>IF(P$12=0,0,P107/P$12)</f>
        <v>-7.4332791594030034</v>
      </c>
      <c r="S107" s="13"/>
      <c r="T107" s="21">
        <f>+T25-T27+T103</f>
        <v>-501302.05307240377</v>
      </c>
      <c r="U107" s="13"/>
      <c r="V107" s="22">
        <f>IF(T$12=0,0,T107/T$12)</f>
        <v>-58.872818916312831</v>
      </c>
      <c r="W107" s="16"/>
      <c r="X107" s="21">
        <f>+P107-T107</f>
        <v>183977.89307240379</v>
      </c>
      <c r="Y107" s="16"/>
      <c r="Z107" s="22">
        <f>IF(T107=0,0,X107/T107)</f>
        <v>-0.36700007898398057</v>
      </c>
    </row>
    <row r="108" spans="1:26" x14ac:dyDescent="0.3">
      <c r="A108" s="9"/>
      <c r="B108" s="10"/>
      <c r="C108" s="9"/>
      <c r="D108" s="2"/>
      <c r="E108" s="2"/>
      <c r="F108" s="6"/>
      <c r="G108" s="2"/>
      <c r="H108" s="2"/>
      <c r="I108" s="2"/>
      <c r="J108" s="6"/>
      <c r="K108" s="2"/>
      <c r="L108" s="2"/>
      <c r="M108" s="2"/>
      <c r="N108" s="6"/>
      <c r="P108" s="2"/>
      <c r="Q108" s="2"/>
      <c r="R108" s="6"/>
      <c r="S108" s="2"/>
      <c r="T108" s="2"/>
      <c r="U108" s="2"/>
      <c r="V108" s="6"/>
      <c r="W108" s="2"/>
      <c r="X108" s="2"/>
      <c r="Y108" s="2"/>
      <c r="Z108" s="6"/>
    </row>
    <row r="109" spans="1:26" s="23" customFormat="1" x14ac:dyDescent="0.3">
      <c r="A109" s="52"/>
      <c r="B109" s="10" t="s">
        <v>128</v>
      </c>
      <c r="C109" s="10"/>
      <c r="D109" s="4">
        <v>19722.46</v>
      </c>
      <c r="E109" s="4"/>
      <c r="F109" s="12">
        <f>IF(D$12=0,0,D109/D$12)</f>
        <v>0.4619961836191715</v>
      </c>
      <c r="G109" s="4"/>
      <c r="H109" s="4">
        <v>3083</v>
      </c>
      <c r="I109" s="4"/>
      <c r="J109" s="12">
        <f>IF(H$12=0,0,H109/H$12)</f>
        <v>0.36206694069289491</v>
      </c>
      <c r="K109" s="4"/>
      <c r="L109" s="4">
        <f>+D109-H109</f>
        <v>16639.46</v>
      </c>
      <c r="M109" s="4"/>
      <c r="N109" s="12">
        <f>IF(H109=0,0,L109/H109)</f>
        <v>5.397165098929614</v>
      </c>
      <c r="O109" s="10"/>
      <c r="P109" s="4">
        <v>19722.46</v>
      </c>
      <c r="Q109" s="4"/>
      <c r="R109" s="12">
        <f>IF(P$12=0,0,P109/P$12)</f>
        <v>0.4619961836191715</v>
      </c>
      <c r="S109" s="4"/>
      <c r="T109" s="4">
        <v>3083</v>
      </c>
      <c r="U109" s="4"/>
      <c r="V109" s="12">
        <f>IF(T$12=0,0,T109/T$12)</f>
        <v>0.36206694069289491</v>
      </c>
      <c r="W109" s="4"/>
      <c r="X109" s="4">
        <f>+P109-T109</f>
        <v>16639.46</v>
      </c>
      <c r="Y109" s="4"/>
      <c r="Z109" s="12">
        <f>IF(T109=0,0,X109/T109)</f>
        <v>5.397165098929614</v>
      </c>
    </row>
    <row r="110" spans="1:26" x14ac:dyDescent="0.3">
      <c r="A110" s="9"/>
      <c r="B110" s="10"/>
      <c r="C110" s="10"/>
      <c r="D110" s="2"/>
      <c r="E110" s="2"/>
      <c r="F110" s="6"/>
      <c r="G110" s="2"/>
      <c r="H110" s="2"/>
      <c r="I110" s="2"/>
      <c r="J110" s="6"/>
      <c r="K110" s="2"/>
      <c r="L110" s="2"/>
      <c r="M110" s="2"/>
      <c r="N110" s="6"/>
      <c r="O110" s="10"/>
      <c r="P110" s="2"/>
      <c r="Q110" s="2"/>
      <c r="R110" s="6"/>
      <c r="S110" s="2"/>
      <c r="T110" s="2"/>
      <c r="U110" s="2"/>
      <c r="V110" s="6"/>
      <c r="W110" s="2"/>
      <c r="X110" s="2"/>
      <c r="Y110" s="2"/>
      <c r="Z110" s="6"/>
    </row>
    <row r="111" spans="1:26" s="23" customFormat="1" ht="15" thickBot="1" x14ac:dyDescent="0.35">
      <c r="A111" s="10"/>
      <c r="B111" s="26" t="s">
        <v>126</v>
      </c>
      <c r="C111" s="26"/>
      <c r="D111" s="35">
        <f>+D107-D109</f>
        <v>-337046.62</v>
      </c>
      <c r="E111" s="13"/>
      <c r="F111" s="30">
        <f>IF(D$12=0,0,D111/D$12)</f>
        <v>-7.8952753430221749</v>
      </c>
      <c r="G111" s="13"/>
      <c r="H111" s="35">
        <f>+H107-H109</f>
        <v>-504385.05307240377</v>
      </c>
      <c r="I111" s="13"/>
      <c r="J111" s="30">
        <f>IF(H$12=0,0,H111/H$12)</f>
        <v>-59.234885857005729</v>
      </c>
      <c r="K111" s="16"/>
      <c r="L111" s="35">
        <f>D111-H111</f>
        <v>167338.43307240377</v>
      </c>
      <c r="M111" s="16"/>
      <c r="N111" s="30">
        <f>IF(H111=0,0,L111/H111)</f>
        <v>-0.33176723230214866</v>
      </c>
      <c r="O111" s="25"/>
      <c r="P111" s="35">
        <f>+P107-P109</f>
        <v>-337046.62</v>
      </c>
      <c r="Q111" s="13"/>
      <c r="R111" s="30">
        <f>IF(P$12=0,0,P111/P$12)</f>
        <v>-7.8952753430221749</v>
      </c>
      <c r="S111" s="13"/>
      <c r="T111" s="35">
        <f>+T107-T109</f>
        <v>-504385.05307240377</v>
      </c>
      <c r="U111" s="13"/>
      <c r="V111" s="30">
        <f>IF(T$12=0,0,T111/T$12)</f>
        <v>-59.234885857005729</v>
      </c>
      <c r="W111" s="16"/>
      <c r="X111" s="35">
        <f>P111-T111</f>
        <v>167338.43307240377</v>
      </c>
      <c r="Y111" s="16"/>
      <c r="Z111" s="30">
        <f>IF(T111=0,0,X111/T111)</f>
        <v>-0.33176723230214866</v>
      </c>
    </row>
    <row r="112" spans="1:26" ht="15" thickTop="1" x14ac:dyDescent="0.3">
      <c r="A112" s="9"/>
      <c r="B112" s="9"/>
      <c r="C112" s="9"/>
      <c r="D112" s="2"/>
      <c r="E112" s="2"/>
      <c r="F112" s="6"/>
      <c r="G112" s="2"/>
      <c r="H112" s="2"/>
      <c r="I112" s="2"/>
      <c r="J112" s="6"/>
      <c r="K112" s="2"/>
      <c r="L112" s="2"/>
      <c r="M112" s="2"/>
      <c r="N112" s="6"/>
      <c r="P112" s="2"/>
      <c r="Q112" s="2"/>
      <c r="R112" s="6"/>
      <c r="S112" s="2"/>
      <c r="T112" s="2"/>
      <c r="U112" s="2"/>
      <c r="V112" s="6"/>
      <c r="W112" s="2"/>
      <c r="X112" s="2"/>
      <c r="Y112" s="2"/>
      <c r="Z112" s="6"/>
    </row>
    <row r="113" spans="1:26" x14ac:dyDescent="0.3">
      <c r="A113" s="9"/>
      <c r="B113" s="9"/>
      <c r="C113" s="9"/>
      <c r="D113" s="2"/>
      <c r="E113" s="2"/>
      <c r="F113" s="6"/>
      <c r="G113" s="2"/>
      <c r="H113" s="2"/>
      <c r="I113" s="2"/>
      <c r="J113" s="6"/>
      <c r="K113" s="2"/>
      <c r="L113" s="2"/>
      <c r="M113" s="2"/>
      <c r="N113" s="6"/>
      <c r="P113" s="2"/>
      <c r="Q113" s="2"/>
      <c r="R113" s="6"/>
      <c r="S113" s="2"/>
      <c r="T113" s="2"/>
      <c r="U113" s="2"/>
      <c r="V113" s="6"/>
      <c r="W113" s="2"/>
      <c r="X113" s="2"/>
      <c r="Y113" s="2"/>
      <c r="Z113" s="6"/>
    </row>
    <row r="114" spans="1:26" s="23" customFormat="1" ht="15" thickBot="1" x14ac:dyDescent="0.35">
      <c r="A114" s="10"/>
      <c r="B114" s="26" t="s">
        <v>294</v>
      </c>
      <c r="C114" s="26"/>
      <c r="D114" s="33">
        <f>SUM(D111:D113)</f>
        <v>-337046.62</v>
      </c>
      <c r="E114" s="13"/>
      <c r="F114" s="31">
        <f>IF(D$12=0,0,D114/D$12)</f>
        <v>-7.8952753430221749</v>
      </c>
      <c r="G114" s="13"/>
      <c r="H114" s="33">
        <f>SUM(H111:H113)</f>
        <v>-504385.05307240377</v>
      </c>
      <c r="I114" s="13"/>
      <c r="J114" s="31">
        <f>IF(H$12=0,0,H114/H$12)</f>
        <v>-59.234885857005729</v>
      </c>
      <c r="K114" s="16"/>
      <c r="L114" s="33">
        <f>+D114-H114</f>
        <v>167338.43307240377</v>
      </c>
      <c r="M114" s="16"/>
      <c r="N114" s="31">
        <f>IF(H114=0,0,L114/H114)</f>
        <v>-0.33176723230214866</v>
      </c>
      <c r="O114" s="25"/>
      <c r="P114" s="33">
        <f>SUM(P111:P113)</f>
        <v>-337046.62</v>
      </c>
      <c r="Q114" s="13"/>
      <c r="R114" s="31">
        <f>IF(P$12=0,0,P114/P$12)</f>
        <v>-7.8952753430221749</v>
      </c>
      <c r="S114" s="13"/>
      <c r="T114" s="33">
        <f>SUM(T111:T113)</f>
        <v>-504385.05307240377</v>
      </c>
      <c r="U114" s="13"/>
      <c r="V114" s="31">
        <f>IF(T$12=0,0,T114/T$12)</f>
        <v>-59.234885857005729</v>
      </c>
      <c r="W114" s="16"/>
      <c r="X114" s="33">
        <f>+P114-T114</f>
        <v>167338.43307240377</v>
      </c>
      <c r="Y114" s="16"/>
      <c r="Z114" s="31">
        <f>IF(T114=0,0,X114/T114)</f>
        <v>-0.33176723230214866</v>
      </c>
    </row>
    <row r="115" spans="1:26" ht="15" thickTop="1" x14ac:dyDescent="0.3">
      <c r="A115" s="9"/>
      <c r="C115" s="9"/>
      <c r="D115" s="18"/>
      <c r="E115" s="18"/>
      <c r="G115" s="18"/>
      <c r="H115" s="18"/>
      <c r="I115" s="18"/>
      <c r="J115" s="43"/>
      <c r="K115" s="18"/>
      <c r="L115" s="18"/>
      <c r="M115" s="18"/>
      <c r="P115" s="18"/>
      <c r="Q115" s="18"/>
      <c r="R115" s="43"/>
      <c r="S115" s="18"/>
      <c r="T115" s="18"/>
      <c r="U115" s="18"/>
      <c r="V115" s="43"/>
      <c r="W115" s="18"/>
      <c r="X115" s="18"/>
    </row>
    <row r="116" spans="1:26" x14ac:dyDescent="0.3">
      <c r="A116" s="9"/>
      <c r="B116" s="54">
        <v>44462.645468518516</v>
      </c>
      <c r="D116" s="18"/>
      <c r="E116" s="18"/>
      <c r="G116" s="18"/>
      <c r="H116" s="18"/>
      <c r="I116" s="18"/>
      <c r="J116" s="43"/>
      <c r="K116" s="18"/>
      <c r="L116" s="18"/>
      <c r="M116" s="18"/>
      <c r="P116" s="18"/>
      <c r="Q116" s="18"/>
      <c r="R116" s="43"/>
      <c r="S116" s="18"/>
      <c r="T116" s="18"/>
      <c r="U116" s="18"/>
      <c r="V116" s="43"/>
      <c r="W116" s="18"/>
      <c r="X116" s="18"/>
    </row>
    <row r="117" spans="1:26" x14ac:dyDescent="0.3">
      <c r="A117" s="9"/>
      <c r="B117" s="59" t="s">
        <v>56</v>
      </c>
      <c r="D117" s="18"/>
      <c r="E117" s="18"/>
      <c r="G117" s="18"/>
      <c r="H117" s="18"/>
      <c r="I117" s="18"/>
      <c r="J117" s="43"/>
      <c r="K117" s="18"/>
      <c r="L117" s="18"/>
      <c r="M117" s="18"/>
      <c r="P117" s="18"/>
      <c r="Q117" s="18"/>
      <c r="R117" s="43"/>
      <c r="S117" s="18"/>
      <c r="T117" s="18"/>
      <c r="U117" s="18"/>
      <c r="V117" s="43"/>
      <c r="W117" s="18"/>
      <c r="X117" s="18"/>
    </row>
    <row r="118" spans="1:26" x14ac:dyDescent="0.3">
      <c r="A118" s="9"/>
      <c r="B118" s="55"/>
      <c r="D118" s="18"/>
      <c r="E118" s="18"/>
      <c r="G118" s="18"/>
      <c r="H118" s="18"/>
      <c r="I118" s="18"/>
      <c r="J118" s="43"/>
      <c r="K118" s="18"/>
      <c r="L118" s="18"/>
      <c r="M118" s="18"/>
      <c r="P118" s="18"/>
      <c r="Q118" s="18"/>
      <c r="R118" s="43"/>
      <c r="S118" s="18"/>
      <c r="T118" s="18"/>
      <c r="U118" s="18"/>
      <c r="V118" s="43"/>
      <c r="W118" s="18"/>
      <c r="X118" s="18"/>
    </row>
    <row r="119" spans="1:26" x14ac:dyDescent="0.3">
      <c r="D119" s="18"/>
      <c r="E119" s="18"/>
      <c r="G119" s="18"/>
      <c r="H119" s="18"/>
      <c r="I119" s="18"/>
      <c r="J119" s="43"/>
      <c r="K119" s="18"/>
      <c r="L119" s="18"/>
      <c r="M119" s="18"/>
      <c r="P119" s="18"/>
      <c r="Q119" s="18"/>
      <c r="R119" s="43"/>
      <c r="S119" s="18"/>
      <c r="T119" s="18"/>
      <c r="U119" s="18"/>
      <c r="V119" s="43"/>
      <c r="W119" s="18"/>
      <c r="X119" s="18"/>
    </row>
  </sheetData>
  <pageMargins left="0.25" right="0.25" top="0.75" bottom="0.75" header="0.3" footer="0.3"/>
  <pageSetup scale="55" fitToWidth="2" orientation="landscape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50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7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50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7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7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7" customWidth="1" outlineLevel="1"/>
  </cols>
  <sheetData>
    <row r="2" spans="1:26" x14ac:dyDescent="0.3">
      <c r="D2" s="57" t="s">
        <v>23</v>
      </c>
    </row>
    <row r="3" spans="1:26" x14ac:dyDescent="0.3">
      <c r="D3" s="57" t="s">
        <v>237</v>
      </c>
      <c r="E3" s="17"/>
      <c r="F3" s="51"/>
      <c r="G3" s="17"/>
      <c r="H3" s="17"/>
      <c r="I3" s="17"/>
      <c r="J3" s="39"/>
      <c r="K3" s="17"/>
      <c r="L3" s="17"/>
      <c r="M3" s="17"/>
      <c r="N3" s="51"/>
      <c r="O3" s="61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3">
      <c r="D4" s="57" t="e">
        <f ca="1">CONCATENATE("Period ",RIGHT(_xll.OneStop.ReportPlayer.OSRFunctions.OSRGet("Period","PeriodId"),2),", ",_xll.OneStop.ReportPlayer.OSRFunctions.OSRGet("Period","Year"))</f>
        <v>#NAME?</v>
      </c>
      <c r="E4" s="17"/>
      <c r="F4" s="51"/>
      <c r="G4" s="17"/>
      <c r="H4" s="17"/>
      <c r="I4" s="17"/>
      <c r="J4" s="39"/>
      <c r="K4" s="17"/>
      <c r="L4" s="17"/>
      <c r="M4" s="17"/>
      <c r="N4" s="51"/>
      <c r="O4" s="61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3">
      <c r="A5" s="23"/>
      <c r="D5" s="65" t="e">
        <f ca="1">_xll.OneStop.ReportPlayer.OSRFunctions.OSRGet("Period","PeriodEnd")</f>
        <v>#NAME?</v>
      </c>
      <c r="E5" s="17"/>
      <c r="F5" s="51"/>
      <c r="G5" s="17"/>
      <c r="H5" s="17"/>
      <c r="I5" s="17"/>
      <c r="J5" s="39"/>
      <c r="K5" s="17"/>
      <c r="L5" s="17"/>
      <c r="M5" s="17"/>
      <c r="N5" s="51"/>
      <c r="O5" s="61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3">
      <c r="A6" s="23"/>
      <c r="B6" s="47"/>
      <c r="C6" s="47"/>
      <c r="D6" s="23" t="s">
        <v>218</v>
      </c>
      <c r="E6" s="17"/>
      <c r="F6" s="51"/>
      <c r="G6" s="17"/>
      <c r="H6" s="17"/>
      <c r="I6" s="17"/>
      <c r="J6" s="39"/>
      <c r="K6" s="17"/>
      <c r="L6" s="17"/>
      <c r="M6" s="17"/>
      <c r="N6" s="51"/>
      <c r="O6" s="60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3">
      <c r="B7" s="63"/>
    </row>
    <row r="8" spans="1:26" x14ac:dyDescent="0.3">
      <c r="B8" s="63"/>
    </row>
    <row r="9" spans="1:26" x14ac:dyDescent="0.3">
      <c r="B9" s="9"/>
      <c r="C9" s="9"/>
      <c r="D9" s="15" t="s">
        <v>292</v>
      </c>
      <c r="E9" s="15"/>
      <c r="F9" s="38"/>
      <c r="G9" s="15"/>
      <c r="H9" s="15"/>
      <c r="I9" s="15"/>
      <c r="J9" s="49"/>
      <c r="K9" s="15"/>
      <c r="L9" s="15"/>
      <c r="M9" s="15"/>
      <c r="N9" s="38"/>
      <c r="P9" s="15" t="s">
        <v>39</v>
      </c>
      <c r="Q9" s="15"/>
      <c r="R9" s="38"/>
      <c r="S9" s="15"/>
      <c r="T9" s="15"/>
      <c r="U9" s="15"/>
      <c r="V9" s="49"/>
      <c r="W9" s="15"/>
      <c r="X9" s="15"/>
      <c r="Y9" s="15"/>
      <c r="Z9" s="38"/>
    </row>
    <row r="10" spans="1:26" x14ac:dyDescent="0.3">
      <c r="A10" s="10"/>
      <c r="B10" s="53"/>
      <c r="C10" s="10"/>
      <c r="D10" s="42" t="s">
        <v>57</v>
      </c>
      <c r="E10" s="34"/>
      <c r="F10" s="40" t="s">
        <v>40</v>
      </c>
      <c r="G10" s="34"/>
      <c r="H10" s="45" t="s">
        <v>238</v>
      </c>
      <c r="I10" s="34"/>
      <c r="J10" s="48" t="s">
        <v>58</v>
      </c>
      <c r="K10" s="10"/>
      <c r="L10" s="42" t="s">
        <v>127</v>
      </c>
      <c r="M10" s="10"/>
      <c r="N10" s="40" t="s">
        <v>258</v>
      </c>
      <c r="O10" s="10"/>
      <c r="P10" s="56" t="s">
        <v>57</v>
      </c>
      <c r="Q10" s="34"/>
      <c r="R10" s="40" t="s">
        <v>40</v>
      </c>
      <c r="S10" s="34"/>
      <c r="T10" s="45" t="s">
        <v>238</v>
      </c>
      <c r="U10" s="34"/>
      <c r="V10" s="48" t="s">
        <v>58</v>
      </c>
      <c r="W10" s="10"/>
      <c r="X10" s="42" t="s">
        <v>127</v>
      </c>
      <c r="Y10" s="10"/>
      <c r="Z10" s="40" t="s">
        <v>258</v>
      </c>
    </row>
    <row r="11" spans="1:26" ht="15.6" x14ac:dyDescent="0.3">
      <c r="A11" s="9"/>
      <c r="B11" s="58"/>
      <c r="C11" s="9"/>
      <c r="D11" s="9"/>
      <c r="E11" s="9"/>
      <c r="F11" s="6"/>
      <c r="G11" s="9"/>
      <c r="H11" s="9"/>
      <c r="I11" s="9"/>
      <c r="J11" s="46"/>
      <c r="K11" s="9"/>
      <c r="L11" s="9"/>
      <c r="M11" s="9"/>
      <c r="N11" s="6"/>
      <c r="P11" s="9"/>
      <c r="Q11" s="9"/>
      <c r="R11" s="6"/>
      <c r="S11" s="9"/>
      <c r="T11" s="9"/>
      <c r="U11" s="9"/>
      <c r="V11" s="46"/>
      <c r="W11" s="9"/>
      <c r="X11" s="9"/>
      <c r="Y11" s="9"/>
      <c r="Z11" s="6"/>
    </row>
    <row r="12" spans="1:26" s="23" customFormat="1" collapsed="1" x14ac:dyDescent="0.3">
      <c r="A12" s="10"/>
      <c r="B12" s="25" t="s">
        <v>140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3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3" t="e">
        <f ca="1">-_xll.OneStop.ReportPlayer.OSRFunctions.OSRGet("GL_F_Trans","Value1")</f>
        <v>#NAME?</v>
      </c>
      <c r="E13" s="3"/>
      <c r="F13" s="19"/>
      <c r="G13" s="3"/>
      <c r="H13" s="3" t="e">
        <f ca="1">_xll.OneStop.ReportPlayer.OSRFunctions.OSRGet("GL_F_Trans","Value1")</f>
        <v>#NAME?</v>
      </c>
      <c r="I13" s="3"/>
      <c r="J13" s="19"/>
      <c r="K13" s="3"/>
      <c r="L13" s="3" t="e">
        <f t="shared" ca="1" si="0"/>
        <v>#NAME?</v>
      </c>
      <c r="M13" s="3"/>
      <c r="N13" s="19" t="e">
        <f t="shared" ca="1" si="1"/>
        <v>#NAME?</v>
      </c>
      <c r="O13" s="11"/>
      <c r="P13" s="3" t="e">
        <f ca="1">-_xll.OneStop.ReportPlayer.OSRFunctions.OSRGet("GL_F_Trans","Value1")</f>
        <v>#NAME?</v>
      </c>
      <c r="Q13" s="3"/>
      <c r="R13" s="19"/>
      <c r="S13" s="3"/>
      <c r="T13" s="3" t="e">
        <f ca="1">_xll.OneStop.ReportPlayer.OSRFunctions.OSRGet("GL_F_Trans","Value1")</f>
        <v>#NAME?</v>
      </c>
      <c r="U13" s="3"/>
      <c r="V13" s="19"/>
      <c r="W13" s="3"/>
      <c r="X13" s="3" t="e">
        <f t="shared" ca="1" si="2"/>
        <v>#NAME?</v>
      </c>
      <c r="Y13" s="3"/>
      <c r="Z13" s="19" t="e">
        <f t="shared" ca="1" si="3"/>
        <v>#NAME?</v>
      </c>
    </row>
    <row r="14" spans="1:26" x14ac:dyDescent="0.3">
      <c r="A14" s="9"/>
      <c r="B14" s="10"/>
      <c r="C14" s="9"/>
      <c r="D14" s="2"/>
      <c r="E14" s="2"/>
      <c r="F14" s="6"/>
      <c r="G14" s="2"/>
      <c r="H14" s="2"/>
      <c r="I14" s="2"/>
      <c r="J14" s="6"/>
      <c r="K14" s="2"/>
      <c r="L14" s="2"/>
      <c r="M14" s="2"/>
      <c r="N14" s="6"/>
      <c r="P14" s="2"/>
      <c r="Q14" s="2"/>
      <c r="R14" s="6"/>
      <c r="S14" s="2"/>
      <c r="T14" s="2"/>
      <c r="U14" s="2"/>
      <c r="V14" s="6"/>
      <c r="W14" s="2"/>
      <c r="X14" s="2"/>
      <c r="Y14" s="2"/>
      <c r="Z14" s="6"/>
    </row>
    <row r="15" spans="1:26" s="23" customFormat="1" collapsed="1" x14ac:dyDescent="0.3">
      <c r="A15" s="10"/>
      <c r="B15" s="25" t="s">
        <v>257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3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3" t="e">
        <f ca="1">_xll.OneStop.ReportPlayer.OSRFunctions.OSRGet("GL_F_Trans","Value1")</f>
        <v>#NAME?</v>
      </c>
      <c r="E16" s="3"/>
      <c r="F16" s="19" t="e">
        <f t="shared" ca="1" si="4"/>
        <v>#NAME?</v>
      </c>
      <c r="G16" s="3"/>
      <c r="H16" s="3" t="e">
        <f ca="1">_xll.OneStop.ReportPlayer.OSRFunctions.OSRGet("GL_F_Trans","Value1")</f>
        <v>#NAME?</v>
      </c>
      <c r="I16" s="3"/>
      <c r="J16" s="19" t="e">
        <f t="shared" ca="1" si="5"/>
        <v>#NAME?</v>
      </c>
      <c r="K16" s="3"/>
      <c r="L16" s="3" t="e">
        <f t="shared" ca="1" si="6"/>
        <v>#NAME?</v>
      </c>
      <c r="M16" s="3"/>
      <c r="N16" s="19" t="e">
        <f t="shared" ca="1" si="7"/>
        <v>#NAME?</v>
      </c>
      <c r="O16" s="11"/>
      <c r="P16" s="3" t="e">
        <f ca="1">_xll.OneStop.ReportPlayer.OSRFunctions.OSRGet("GL_F_Trans","Value1")</f>
        <v>#NAME?</v>
      </c>
      <c r="Q16" s="3"/>
      <c r="R16" s="19" t="e">
        <f t="shared" ca="1" si="8"/>
        <v>#NAME?</v>
      </c>
      <c r="S16" s="3"/>
      <c r="T16" s="3" t="e">
        <f ca="1">_xll.OneStop.ReportPlayer.OSRFunctions.OSRGet("GL_F_Trans","Value1")</f>
        <v>#NAME?</v>
      </c>
      <c r="U16" s="3"/>
      <c r="V16" s="19" t="e">
        <f t="shared" ca="1" si="9"/>
        <v>#NAME?</v>
      </c>
      <c r="W16" s="3"/>
      <c r="X16" s="3" t="e">
        <f t="shared" ca="1" si="10"/>
        <v>#NAME?</v>
      </c>
      <c r="Y16" s="3"/>
      <c r="Z16" s="19" t="e">
        <f t="shared" ca="1" si="11"/>
        <v>#NAME?</v>
      </c>
    </row>
    <row r="17" spans="1:26" x14ac:dyDescent="0.3">
      <c r="A17" s="9"/>
      <c r="B17" s="10"/>
      <c r="C17" s="10"/>
      <c r="D17" s="2"/>
      <c r="E17" s="2"/>
      <c r="F17" s="6"/>
      <c r="G17" s="2"/>
      <c r="H17" s="2"/>
      <c r="I17" s="2"/>
      <c r="J17" s="6"/>
      <c r="K17" s="2"/>
      <c r="L17" s="2"/>
      <c r="M17" s="2"/>
      <c r="N17" s="6"/>
      <c r="O17" s="10"/>
      <c r="P17" s="2"/>
      <c r="Q17" s="2"/>
      <c r="R17" s="6"/>
      <c r="S17" s="2"/>
      <c r="T17" s="2"/>
      <c r="U17" s="2"/>
      <c r="V17" s="6"/>
      <c r="W17" s="2"/>
      <c r="X17" s="2"/>
      <c r="Y17" s="2"/>
      <c r="Z17" s="6"/>
    </row>
    <row r="18" spans="1:26" s="23" customFormat="1" x14ac:dyDescent="0.3">
      <c r="A18" s="10"/>
      <c r="B18" s="26" t="s">
        <v>108</v>
      </c>
      <c r="C18" s="26"/>
      <c r="D18" s="21" t="e">
        <f ca="1">D12-D15</f>
        <v>#NAME?</v>
      </c>
      <c r="E18" s="13"/>
      <c r="F18" s="22" t="e">
        <f ca="1">IF(D$12=0,0,D18/D$12)</f>
        <v>#NAME?</v>
      </c>
      <c r="G18" s="13"/>
      <c r="H18" s="21" t="e">
        <f ca="1">H12-H15</f>
        <v>#NAME?</v>
      </c>
      <c r="I18" s="13"/>
      <c r="J18" s="22" t="e">
        <f ca="1">IF(H$12=0,0,H18/H$12)</f>
        <v>#NAME?</v>
      </c>
      <c r="K18" s="16"/>
      <c r="L18" s="21" t="e">
        <f ca="1">+D18-H18</f>
        <v>#NAME?</v>
      </c>
      <c r="M18" s="16"/>
      <c r="N18" s="22" t="e">
        <f ca="1">IF(H18=0,0,L18/H18)</f>
        <v>#NAME?</v>
      </c>
      <c r="O18" s="25"/>
      <c r="P18" s="21" t="e">
        <f ca="1">P12-P15</f>
        <v>#NAME?</v>
      </c>
      <c r="Q18" s="13"/>
      <c r="R18" s="22" t="e">
        <f ca="1">IF(P$12=0,0,P18/P$12)</f>
        <v>#NAME?</v>
      </c>
      <c r="S18" s="13"/>
      <c r="T18" s="21" t="e">
        <f ca="1">T12-T15</f>
        <v>#NAME?</v>
      </c>
      <c r="U18" s="13"/>
      <c r="V18" s="22" t="e">
        <f ca="1">IF(T$12=0,0,T18/T$12)</f>
        <v>#NAME?</v>
      </c>
      <c r="W18" s="16"/>
      <c r="X18" s="21" t="e">
        <f ca="1">+P18-T18</f>
        <v>#NAME?</v>
      </c>
      <c r="Y18" s="16"/>
      <c r="Z18" s="22" t="e">
        <f ca="1">IF(T18=0,0,X18/T18)</f>
        <v>#NAME?</v>
      </c>
    </row>
    <row r="19" spans="1:26" x14ac:dyDescent="0.3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">
      <c r="A20" s="10"/>
      <c r="B20" s="25" t="s">
        <v>295</v>
      </c>
      <c r="C20" s="10"/>
      <c r="D20" s="20" t="e">
        <f ca="1">SUM(_xll.OneStop.ReportPlayer.OSRFunctions.OSRRef(D22))</f>
        <v>#NAME?</v>
      </c>
      <c r="E20" s="20"/>
      <c r="F20" s="32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2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2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2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2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2" t="e">
        <f t="shared" ref="Z20:Z22" ca="1" si="19">IF(T20=0,0,X20/T20)</f>
        <v>#NAME?</v>
      </c>
    </row>
    <row r="21" spans="1:26" s="27" customFormat="1" outlineLevel="1" collapsed="1" x14ac:dyDescent="0.3">
      <c r="A21" s="28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3">
      <c r="A22" s="29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8" t="e">
        <f ca="1">_xll.OneStop.ReportPlayer.OSRFunctions.OSRGet("GL_F_Trans","Value1")</f>
        <v>#NAME?</v>
      </c>
      <c r="E22" s="3"/>
      <c r="F22" s="7" t="e">
        <f t="shared" ca="1" si="12"/>
        <v>#NAME?</v>
      </c>
      <c r="G22" s="3"/>
      <c r="H22" s="8" t="e">
        <f ca="1">_xll.OneStop.ReportPlayer.OSRFunctions.OSRGet("GL_F_Trans","Value1")</f>
        <v>#NAME?</v>
      </c>
      <c r="I22" s="3"/>
      <c r="J22" s="7" t="e">
        <f t="shared" ca="1" si="13"/>
        <v>#NAME?</v>
      </c>
      <c r="K22" s="3"/>
      <c r="L22" s="8" t="e">
        <f t="shared" ca="1" si="14"/>
        <v>#NAME?</v>
      </c>
      <c r="M22" s="3"/>
      <c r="N22" s="7" t="e">
        <f t="shared" ca="1" si="15"/>
        <v>#NAME?</v>
      </c>
      <c r="O22" s="11"/>
      <c r="P22" s="8" t="e">
        <f ca="1">_xll.OneStop.ReportPlayer.OSRFunctions.OSRGet("GL_F_Trans","Value1")</f>
        <v>#NAME?</v>
      </c>
      <c r="Q22" s="3"/>
      <c r="R22" s="7" t="e">
        <f t="shared" ca="1" si="16"/>
        <v>#NAME?</v>
      </c>
      <c r="S22" s="3"/>
      <c r="T22" s="8" t="e">
        <f ca="1">_xll.OneStop.ReportPlayer.OSRFunctions.OSRGet("GL_F_Trans","Value1")</f>
        <v>#NAME?</v>
      </c>
      <c r="U22" s="3"/>
      <c r="V22" s="7" t="e">
        <f t="shared" ca="1" si="17"/>
        <v>#NAME?</v>
      </c>
      <c r="W22" s="3"/>
      <c r="X22" s="8" t="e">
        <f t="shared" ca="1" si="18"/>
        <v>#NAME?</v>
      </c>
      <c r="Y22" s="3"/>
      <c r="Z22" s="7" t="e">
        <f t="shared" ca="1" si="19"/>
        <v>#NAME?</v>
      </c>
    </row>
    <row r="23" spans="1:26" s="62" customFormat="1" x14ac:dyDescent="0.3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3">
      <c r="A24" s="10"/>
      <c r="B24" s="25" t="s">
        <v>293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3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3" t="e">
        <f ca="1">-_xll.OneStop.ReportPlayer.OSRFunctions.OSRGet("GL_F_Trans","Value1")</f>
        <v>#NAME?</v>
      </c>
      <c r="E25" s="3"/>
      <c r="F25" s="19" t="e">
        <f t="shared" ca="1" si="20"/>
        <v>#NAME?</v>
      </c>
      <c r="G25" s="3"/>
      <c r="H25" s="3" t="e">
        <f ca="1">_xll.OneStop.ReportPlayer.OSRFunctions.OSRGet("GL_F_Trans","Value1")</f>
        <v>#NAME?</v>
      </c>
      <c r="I25" s="3"/>
      <c r="J25" s="19" t="e">
        <f t="shared" ca="1" si="21"/>
        <v>#NAME?</v>
      </c>
      <c r="K25" s="3"/>
      <c r="L25" s="3" t="e">
        <f t="shared" ca="1" si="22"/>
        <v>#NAME?</v>
      </c>
      <c r="M25" s="3"/>
      <c r="N25" s="19" t="e">
        <f t="shared" ca="1" si="23"/>
        <v>#NAME?</v>
      </c>
      <c r="O25" s="11"/>
      <c r="P25" s="3" t="e">
        <f ca="1">-_xll.OneStop.ReportPlayer.OSRFunctions.OSRGet("GL_F_Trans","Value1")</f>
        <v>#NAME?</v>
      </c>
      <c r="Q25" s="3"/>
      <c r="R25" s="19" t="e">
        <f t="shared" ca="1" si="24"/>
        <v>#NAME?</v>
      </c>
      <c r="S25" s="3"/>
      <c r="T25" s="3" t="e">
        <f ca="1">_xll.OneStop.ReportPlayer.OSRFunctions.OSRGet("GL_F_Trans","Value1")</f>
        <v>#NAME?</v>
      </c>
      <c r="U25" s="3"/>
      <c r="V25" s="19" t="e">
        <f t="shared" ca="1" si="25"/>
        <v>#NAME?</v>
      </c>
      <c r="W25" s="3"/>
      <c r="X25" s="3" t="e">
        <f t="shared" ca="1" si="26"/>
        <v>#NAME?</v>
      </c>
      <c r="Y25" s="3"/>
      <c r="Z25" s="19" t="e">
        <f t="shared" ca="1" si="27"/>
        <v>#NAME?</v>
      </c>
    </row>
    <row r="26" spans="1:26" x14ac:dyDescent="0.3">
      <c r="A26" s="9"/>
      <c r="B26" s="10"/>
      <c r="C26" s="10"/>
      <c r="D26" s="2"/>
      <c r="E26" s="2"/>
      <c r="F26" s="6"/>
      <c r="G26" s="2"/>
      <c r="H26" s="2"/>
      <c r="I26" s="2"/>
      <c r="J26" s="6"/>
      <c r="K26" s="2"/>
      <c r="L26" s="2"/>
      <c r="M26" s="2"/>
      <c r="N26" s="6"/>
      <c r="O26" s="10"/>
      <c r="P26" s="2"/>
      <c r="Q26" s="2"/>
      <c r="R26" s="6"/>
      <c r="S26" s="2"/>
      <c r="T26" s="2"/>
      <c r="U26" s="2"/>
      <c r="V26" s="6"/>
      <c r="W26" s="2"/>
      <c r="X26" s="2"/>
      <c r="Y26" s="2"/>
      <c r="Z26" s="6"/>
    </row>
    <row r="27" spans="1:26" s="23" customFormat="1" x14ac:dyDescent="0.3">
      <c r="A27" s="10"/>
      <c r="B27" s="26" t="s">
        <v>277</v>
      </c>
      <c r="C27" s="26"/>
      <c r="D27" s="21" t="e">
        <f ca="1">+D18-D20+D24</f>
        <v>#NAME?</v>
      </c>
      <c r="E27" s="13"/>
      <c r="F27" s="22" t="e">
        <f ca="1">IF(D$12=0,0,D27/D$12)</f>
        <v>#NAME?</v>
      </c>
      <c r="G27" s="13"/>
      <c r="H27" s="21" t="e">
        <f ca="1">+H18-H20+H24</f>
        <v>#NAME?</v>
      </c>
      <c r="I27" s="13"/>
      <c r="J27" s="22" t="e">
        <f ca="1">IF(H$12=0,0,H27/H$12)</f>
        <v>#NAME?</v>
      </c>
      <c r="K27" s="16"/>
      <c r="L27" s="21" t="e">
        <f ca="1">+D27-H27</f>
        <v>#NAME?</v>
      </c>
      <c r="M27" s="16"/>
      <c r="N27" s="22" t="e">
        <f ca="1">IF(H27=0,0,L27/H27)</f>
        <v>#NAME?</v>
      </c>
      <c r="O27" s="25"/>
      <c r="P27" s="21" t="e">
        <f ca="1">+P18-P20+P24</f>
        <v>#NAME?</v>
      </c>
      <c r="Q27" s="13"/>
      <c r="R27" s="22" t="e">
        <f ca="1">IF(P$12=0,0,P27/P$12)</f>
        <v>#NAME?</v>
      </c>
      <c r="S27" s="13"/>
      <c r="T27" s="21" t="e">
        <f ca="1">+T18-T20+T24</f>
        <v>#NAME?</v>
      </c>
      <c r="U27" s="13"/>
      <c r="V27" s="22" t="e">
        <f ca="1">IF(T$12=0,0,T27/T$12)</f>
        <v>#NAME?</v>
      </c>
      <c r="W27" s="16"/>
      <c r="X27" s="21" t="e">
        <f ca="1">+P27-T27</f>
        <v>#NAME?</v>
      </c>
      <c r="Y27" s="16"/>
      <c r="Z27" s="22" t="e">
        <f ca="1">IF(T27=0,0,X27/T27)</f>
        <v>#NAME?</v>
      </c>
    </row>
    <row r="28" spans="1:26" x14ac:dyDescent="0.3">
      <c r="A28" s="9"/>
      <c r="B28" s="10"/>
      <c r="C28" s="9"/>
      <c r="D28" s="2"/>
      <c r="E28" s="2"/>
      <c r="F28" s="6"/>
      <c r="G28" s="2"/>
      <c r="H28" s="2"/>
      <c r="I28" s="2"/>
      <c r="J28" s="6"/>
      <c r="K28" s="2"/>
      <c r="L28" s="2"/>
      <c r="M28" s="2"/>
      <c r="N28" s="6"/>
      <c r="P28" s="2"/>
      <c r="Q28" s="2"/>
      <c r="R28" s="6"/>
      <c r="S28" s="2"/>
      <c r="T28" s="2"/>
      <c r="U28" s="2"/>
      <c r="V28" s="6"/>
      <c r="W28" s="2"/>
      <c r="X28" s="2"/>
      <c r="Y28" s="2"/>
      <c r="Z28" s="6"/>
    </row>
    <row r="29" spans="1:26" s="23" customFormat="1" x14ac:dyDescent="0.3">
      <c r="A29" s="52"/>
      <c r="B29" s="10" t="s">
        <v>128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3">
      <c r="A30" s="9"/>
      <c r="B30" s="10"/>
      <c r="C30" s="10"/>
      <c r="D30" s="2"/>
      <c r="E30" s="2"/>
      <c r="F30" s="6"/>
      <c r="G30" s="2"/>
      <c r="H30" s="2"/>
      <c r="I30" s="2"/>
      <c r="J30" s="6"/>
      <c r="K30" s="2"/>
      <c r="L30" s="2"/>
      <c r="M30" s="2"/>
      <c r="N30" s="6"/>
      <c r="O30" s="10"/>
      <c r="P30" s="2"/>
      <c r="Q30" s="2"/>
      <c r="R30" s="6"/>
      <c r="S30" s="2"/>
      <c r="T30" s="2"/>
      <c r="U30" s="2"/>
      <c r="V30" s="6"/>
      <c r="W30" s="2"/>
      <c r="X30" s="2"/>
      <c r="Y30" s="2"/>
      <c r="Z30" s="6"/>
    </row>
    <row r="31" spans="1:26" s="23" customFormat="1" ht="15" thickBot="1" x14ac:dyDescent="0.35">
      <c r="A31" s="10"/>
      <c r="B31" s="26" t="s">
        <v>126</v>
      </c>
      <c r="C31" s="26"/>
      <c r="D31" s="35" t="e">
        <f ca="1">+D27-D29</f>
        <v>#NAME?</v>
      </c>
      <c r="E31" s="13"/>
      <c r="F31" s="30" t="e">
        <f ca="1">IF(D$12=0,0,D31/D$12)</f>
        <v>#NAME?</v>
      </c>
      <c r="G31" s="13"/>
      <c r="H31" s="35" t="e">
        <f ca="1">+H27-H29</f>
        <v>#NAME?</v>
      </c>
      <c r="I31" s="13"/>
      <c r="J31" s="30" t="e">
        <f ca="1">IF(H$12=0,0,H31/H$12)</f>
        <v>#NAME?</v>
      </c>
      <c r="K31" s="16"/>
      <c r="L31" s="35" t="e">
        <f ca="1">D31-H31</f>
        <v>#NAME?</v>
      </c>
      <c r="M31" s="16"/>
      <c r="N31" s="30" t="e">
        <f ca="1">IF(H31=0,0,L31/H31)</f>
        <v>#NAME?</v>
      </c>
      <c r="O31" s="25"/>
      <c r="P31" s="35" t="e">
        <f ca="1">+P27-P29</f>
        <v>#NAME?</v>
      </c>
      <c r="Q31" s="13"/>
      <c r="R31" s="30" t="e">
        <f ca="1">IF(P$12=0,0,P31/P$12)</f>
        <v>#NAME?</v>
      </c>
      <c r="S31" s="13"/>
      <c r="T31" s="35" t="e">
        <f ca="1">+T27-T29</f>
        <v>#NAME?</v>
      </c>
      <c r="U31" s="13"/>
      <c r="V31" s="30" t="e">
        <f ca="1">IF(T$12=0,0,T31/T$12)</f>
        <v>#NAME?</v>
      </c>
      <c r="W31" s="16"/>
      <c r="X31" s="35" t="e">
        <f ca="1">P31-T31</f>
        <v>#NAME?</v>
      </c>
      <c r="Y31" s="16"/>
      <c r="Z31" s="30" t="e">
        <f ca="1">IF(T31=0,0,X31/T31)</f>
        <v>#NAME?</v>
      </c>
    </row>
    <row r="32" spans="1:26" ht="15" thickTop="1" x14ac:dyDescent="0.3">
      <c r="A32" s="9"/>
      <c r="B32" s="9"/>
      <c r="C32" s="9"/>
      <c r="D32" s="2"/>
      <c r="E32" s="2"/>
      <c r="F32" s="6"/>
      <c r="G32" s="2"/>
      <c r="H32" s="2"/>
      <c r="I32" s="2"/>
      <c r="J32" s="6"/>
      <c r="K32" s="2"/>
      <c r="L32" s="2"/>
      <c r="M32" s="2"/>
      <c r="N32" s="6"/>
      <c r="P32" s="2"/>
      <c r="Q32" s="2"/>
      <c r="R32" s="6"/>
      <c r="S32" s="2"/>
      <c r="T32" s="2"/>
      <c r="U32" s="2"/>
      <c r="V32" s="6"/>
      <c r="W32" s="2"/>
      <c r="X32" s="2"/>
      <c r="Y32" s="2"/>
      <c r="Z32" s="6"/>
    </row>
    <row r="33" spans="1:26" s="23" customFormat="1" x14ac:dyDescent="0.3">
      <c r="A33" s="52"/>
      <c r="B33" s="10" t="s">
        <v>184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3">
      <c r="A34" s="52"/>
      <c r="B34" s="10" t="s">
        <v>82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3">
      <c r="A35" s="9"/>
      <c r="B35" s="9"/>
      <c r="C35" s="9"/>
      <c r="D35" s="2"/>
      <c r="E35" s="2"/>
      <c r="F35" s="6"/>
      <c r="G35" s="2"/>
      <c r="H35" s="2"/>
      <c r="I35" s="2"/>
      <c r="J35" s="6"/>
      <c r="K35" s="2"/>
      <c r="L35" s="2"/>
      <c r="M35" s="2"/>
      <c r="N35" s="6"/>
      <c r="P35" s="2"/>
      <c r="Q35" s="2"/>
      <c r="R35" s="6"/>
      <c r="S35" s="2"/>
      <c r="T35" s="2"/>
      <c r="U35" s="2"/>
      <c r="V35" s="6"/>
      <c r="W35" s="2"/>
      <c r="X35" s="2"/>
      <c r="Y35" s="2"/>
      <c r="Z35" s="6"/>
    </row>
    <row r="36" spans="1:26" s="23" customFormat="1" ht="15" thickBot="1" x14ac:dyDescent="0.35">
      <c r="A36" s="10"/>
      <c r="B36" s="26" t="s">
        <v>294</v>
      </c>
      <c r="C36" s="26"/>
      <c r="D36" s="33" t="e">
        <f ca="1">SUM(D31:D35)</f>
        <v>#NAME?</v>
      </c>
      <c r="E36" s="13"/>
      <c r="F36" s="31" t="e">
        <f ca="1">IF(D$12=0,0,D36/D$12)</f>
        <v>#NAME?</v>
      </c>
      <c r="G36" s="13"/>
      <c r="H36" s="33" t="e">
        <f ca="1">SUM(H31:H35)</f>
        <v>#NAME?</v>
      </c>
      <c r="I36" s="13"/>
      <c r="J36" s="31" t="e">
        <f ca="1">IF(H$12=0,0,H36/H$12)</f>
        <v>#NAME?</v>
      </c>
      <c r="K36" s="16"/>
      <c r="L36" s="33" t="e">
        <f ca="1">+D36-H36</f>
        <v>#NAME?</v>
      </c>
      <c r="M36" s="16"/>
      <c r="N36" s="31" t="e">
        <f ca="1">IF(H36=0,0,L36/H36)</f>
        <v>#NAME?</v>
      </c>
      <c r="O36" s="25"/>
      <c r="P36" s="33" t="e">
        <f ca="1">SUM(P31:P35)</f>
        <v>#NAME?</v>
      </c>
      <c r="Q36" s="13"/>
      <c r="R36" s="31" t="e">
        <f ca="1">IF(P$12=0,0,P36/P$12)</f>
        <v>#NAME?</v>
      </c>
      <c r="S36" s="13"/>
      <c r="T36" s="33" t="e">
        <f ca="1">SUM(T31:T35)</f>
        <v>#NAME?</v>
      </c>
      <c r="U36" s="13"/>
      <c r="V36" s="31" t="e">
        <f ca="1">IF(T$12=0,0,T36/T$12)</f>
        <v>#NAME?</v>
      </c>
      <c r="W36" s="16"/>
      <c r="X36" s="33" t="e">
        <f ca="1">+P36-T36</f>
        <v>#NAME?</v>
      </c>
      <c r="Y36" s="16"/>
      <c r="Z36" s="31" t="e">
        <f ca="1">IF(T36=0,0,X36/T36)</f>
        <v>#NAME?</v>
      </c>
    </row>
    <row r="37" spans="1:26" ht="15" thickTop="1" x14ac:dyDescent="0.3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3">
      <c r="A38" s="9"/>
      <c r="B38" s="54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3">
      <c r="A39" s="9"/>
      <c r="B39" s="59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3">
      <c r="A40" s="9"/>
      <c r="B40" s="55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3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tabColor theme="5" tint="0.39997558519241921"/>
    <outlinePr summaryBelow="0" summaryRight="0"/>
  </sheetPr>
  <dimension ref="A2:Z114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50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7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50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7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7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7" customWidth="1" outlineLevel="1"/>
  </cols>
  <sheetData>
    <row r="2" spans="1:26" x14ac:dyDescent="0.3">
      <c r="D2" s="57" t="s">
        <v>23</v>
      </c>
    </row>
    <row r="3" spans="1:26" x14ac:dyDescent="0.3">
      <c r="D3" s="57" t="s">
        <v>237</v>
      </c>
      <c r="E3" s="17"/>
      <c r="F3" s="51"/>
      <c r="G3" s="17"/>
      <c r="H3" s="17"/>
      <c r="I3" s="17"/>
      <c r="J3" s="39"/>
      <c r="K3" s="17"/>
      <c r="L3" s="17"/>
      <c r="M3" s="17"/>
      <c r="N3" s="51"/>
      <c r="O3" s="61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3">
      <c r="D4" s="57" t="str">
        <f>CONCATENATE("Period ",RIGHT(202201,2),", ",2022)</f>
        <v>Period 01, 2022</v>
      </c>
      <c r="E4" s="17"/>
      <c r="F4" s="51"/>
      <c r="G4" s="17"/>
      <c r="H4" s="17"/>
      <c r="I4" s="17"/>
      <c r="J4" s="39"/>
      <c r="K4" s="17"/>
      <c r="L4" s="17"/>
      <c r="M4" s="17"/>
      <c r="N4" s="51"/>
      <c r="O4" s="61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3">
      <c r="A5" s="23"/>
      <c r="D5" s="64">
        <v>44408</v>
      </c>
      <c r="E5" s="17"/>
      <c r="F5" s="51"/>
      <c r="G5" s="17"/>
      <c r="H5" s="17"/>
      <c r="I5" s="17"/>
      <c r="J5" s="39"/>
      <c r="K5" s="17"/>
      <c r="L5" s="17"/>
      <c r="M5" s="17"/>
      <c r="N5" s="51"/>
      <c r="O5" s="61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3">
      <c r="A6" s="23"/>
      <c r="B6" s="47"/>
      <c r="C6" s="47"/>
      <c r="D6" s="23" t="s">
        <v>55</v>
      </c>
      <c r="E6" s="17"/>
      <c r="F6" s="51"/>
      <c r="G6" s="17"/>
      <c r="H6" s="17"/>
      <c r="I6" s="17"/>
      <c r="J6" s="39"/>
      <c r="K6" s="17"/>
      <c r="L6" s="17"/>
      <c r="M6" s="17"/>
      <c r="N6" s="51"/>
      <c r="O6" s="60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3">
      <c r="B7" s="63"/>
    </row>
    <row r="8" spans="1:26" x14ac:dyDescent="0.3">
      <c r="B8" s="63"/>
    </row>
    <row r="9" spans="1:26" x14ac:dyDescent="0.3">
      <c r="B9" s="9"/>
      <c r="C9" s="9"/>
      <c r="D9" s="15" t="s">
        <v>292</v>
      </c>
      <c r="E9" s="15"/>
      <c r="F9" s="38"/>
      <c r="G9" s="15"/>
      <c r="H9" s="15"/>
      <c r="I9" s="15"/>
      <c r="J9" s="49"/>
      <c r="K9" s="15"/>
      <c r="L9" s="15"/>
      <c r="M9" s="15"/>
      <c r="N9" s="38"/>
      <c r="P9" s="15" t="s">
        <v>39</v>
      </c>
      <c r="Q9" s="15"/>
      <c r="R9" s="38"/>
      <c r="S9" s="15"/>
      <c r="T9" s="15"/>
      <c r="U9" s="15"/>
      <c r="V9" s="49"/>
      <c r="W9" s="15"/>
      <c r="X9" s="15"/>
      <c r="Y9" s="15"/>
      <c r="Z9" s="38"/>
    </row>
    <row r="10" spans="1:26" x14ac:dyDescent="0.3">
      <c r="A10" s="10"/>
      <c r="B10" s="53"/>
      <c r="C10" s="10"/>
      <c r="D10" s="42" t="s">
        <v>57</v>
      </c>
      <c r="E10" s="34"/>
      <c r="F10" s="40" t="s">
        <v>40</v>
      </c>
      <c r="G10" s="34"/>
      <c r="H10" s="45" t="s">
        <v>238</v>
      </c>
      <c r="I10" s="34"/>
      <c r="J10" s="48" t="s">
        <v>58</v>
      </c>
      <c r="K10" s="10"/>
      <c r="L10" s="42" t="s">
        <v>127</v>
      </c>
      <c r="M10" s="10"/>
      <c r="N10" s="40" t="s">
        <v>258</v>
      </c>
      <c r="O10" s="10"/>
      <c r="P10" s="56" t="s">
        <v>57</v>
      </c>
      <c r="Q10" s="34"/>
      <c r="R10" s="40" t="s">
        <v>40</v>
      </c>
      <c r="S10" s="34"/>
      <c r="T10" s="45" t="s">
        <v>238</v>
      </c>
      <c r="U10" s="34"/>
      <c r="V10" s="48" t="s">
        <v>58</v>
      </c>
      <c r="W10" s="10"/>
      <c r="X10" s="42" t="s">
        <v>127</v>
      </c>
      <c r="Y10" s="10"/>
      <c r="Z10" s="40" t="s">
        <v>258</v>
      </c>
    </row>
    <row r="11" spans="1:26" ht="15.6" x14ac:dyDescent="0.3">
      <c r="A11" s="9"/>
      <c r="B11" s="58"/>
      <c r="C11" s="9"/>
      <c r="D11" s="9"/>
      <c r="E11" s="9"/>
      <c r="F11" s="6"/>
      <c r="G11" s="9"/>
      <c r="H11" s="9"/>
      <c r="I11" s="9"/>
      <c r="J11" s="46"/>
      <c r="K11" s="9"/>
      <c r="L11" s="9"/>
      <c r="M11" s="9"/>
      <c r="N11" s="6"/>
      <c r="P11" s="9"/>
      <c r="Q11" s="9"/>
      <c r="R11" s="6"/>
      <c r="S11" s="9"/>
      <c r="T11" s="9"/>
      <c r="U11" s="9"/>
      <c r="V11" s="46"/>
      <c r="W11" s="9"/>
      <c r="X11" s="9"/>
      <c r="Y11" s="9"/>
      <c r="Z11" s="6"/>
    </row>
    <row r="12" spans="1:26" s="23" customFormat="1" collapsed="1" x14ac:dyDescent="0.3">
      <c r="A12" s="10"/>
      <c r="B12" s="25" t="s">
        <v>140</v>
      </c>
      <c r="C12" s="10"/>
      <c r="D12" s="4">
        <f>SUM(OSRRefD13x_0)</f>
        <v>19702.309999999998</v>
      </c>
      <c r="E12" s="4"/>
      <c r="F12" s="12"/>
      <c r="G12" s="4"/>
      <c r="H12" s="4">
        <f>SUM(OSRRefH13x_0)</f>
        <v>8515</v>
      </c>
      <c r="I12" s="4"/>
      <c r="J12" s="12"/>
      <c r="K12" s="4"/>
      <c r="L12" s="4">
        <f t="shared" ref="L12:L16" si="0">+D12-H12</f>
        <v>11187.309999999998</v>
      </c>
      <c r="M12" s="4"/>
      <c r="N12" s="12">
        <f t="shared" ref="N12:N16" si="1">IF(H12=0,0,L12/H12)</f>
        <v>1.3138355842630649</v>
      </c>
      <c r="O12" s="10"/>
      <c r="P12" s="4">
        <f>SUM(OSRRefP13x_0)</f>
        <v>19702.309999999998</v>
      </c>
      <c r="Q12" s="4"/>
      <c r="R12" s="12"/>
      <c r="S12" s="4"/>
      <c r="T12" s="4">
        <f>SUM(OSRRefT13x_0)</f>
        <v>8515</v>
      </c>
      <c r="U12" s="4"/>
      <c r="V12" s="12"/>
      <c r="W12" s="4"/>
      <c r="X12" s="4">
        <f t="shared" ref="X12:X16" si="2">+P12-T12</f>
        <v>11187.309999999998</v>
      </c>
      <c r="Y12" s="4"/>
      <c r="Z12" s="12">
        <f t="shared" ref="Z12:Z16" si="3">IF(T12=0,0,X12/T12)</f>
        <v>1.3138355842630649</v>
      </c>
    </row>
    <row r="13" spans="1:26" s="24" customFormat="1" hidden="1" outlineLevel="1" x14ac:dyDescent="0.3">
      <c r="A13" s="44"/>
      <c r="B13" s="11" t="str">
        <f>CONCATENATE("          ", "4000", " - ", "TAXABLE SALES")</f>
        <v xml:space="preserve">          4000 - TAXABLE SALES</v>
      </c>
      <c r="C13" s="11"/>
      <c r="D13" s="3">
        <f>0</f>
        <v>0</v>
      </c>
      <c r="E13" s="3"/>
      <c r="F13" s="19"/>
      <c r="G13" s="3"/>
      <c r="H13" s="3">
        <v>2762</v>
      </c>
      <c r="I13" s="3"/>
      <c r="J13" s="19"/>
      <c r="K13" s="3"/>
      <c r="L13" s="3">
        <f t="shared" si="0"/>
        <v>-2762</v>
      </c>
      <c r="M13" s="3"/>
      <c r="N13" s="19">
        <f t="shared" si="1"/>
        <v>-1</v>
      </c>
      <c r="O13" s="11"/>
      <c r="P13" s="3">
        <f>0</f>
        <v>0</v>
      </c>
      <c r="Q13" s="3"/>
      <c r="R13" s="19"/>
      <c r="S13" s="3"/>
      <c r="T13" s="3">
        <v>2762</v>
      </c>
      <c r="U13" s="3"/>
      <c r="V13" s="19"/>
      <c r="W13" s="3"/>
      <c r="X13" s="3">
        <f t="shared" si="2"/>
        <v>-2762</v>
      </c>
      <c r="Y13" s="3"/>
      <c r="Z13" s="19">
        <f t="shared" si="3"/>
        <v>-1</v>
      </c>
    </row>
    <row r="14" spans="1:26" s="24" customFormat="1" hidden="1" outlineLevel="1" x14ac:dyDescent="0.3">
      <c r="A14" s="44"/>
      <c r="B14" s="11" t="str">
        <f>CONCATENATE("          ", "4051", " - ", "TAXABLE SALES-FOOD")</f>
        <v xml:space="preserve">          4051 - TAXABLE SALES-FOOD</v>
      </c>
      <c r="C14" s="11"/>
      <c r="D14" s="3">
        <f>--10630.93</f>
        <v>10630.93</v>
      </c>
      <c r="E14" s="3"/>
      <c r="F14" s="19"/>
      <c r="G14" s="3"/>
      <c r="H14" s="3"/>
      <c r="I14" s="3"/>
      <c r="J14" s="19"/>
      <c r="K14" s="3"/>
      <c r="L14" s="3">
        <f t="shared" si="0"/>
        <v>10630.93</v>
      </c>
      <c r="M14" s="3"/>
      <c r="N14" s="19">
        <f t="shared" si="1"/>
        <v>0</v>
      </c>
      <c r="O14" s="11"/>
      <c r="P14" s="3">
        <f>--10630.93</f>
        <v>10630.93</v>
      </c>
      <c r="Q14" s="3"/>
      <c r="R14" s="19"/>
      <c r="S14" s="3"/>
      <c r="T14" s="3"/>
      <c r="U14" s="3"/>
      <c r="V14" s="19"/>
      <c r="W14" s="3"/>
      <c r="X14" s="3">
        <f t="shared" si="2"/>
        <v>10630.93</v>
      </c>
      <c r="Y14" s="3"/>
      <c r="Z14" s="19">
        <f t="shared" si="3"/>
        <v>0</v>
      </c>
    </row>
    <row r="15" spans="1:26" s="24" customFormat="1" hidden="1" outlineLevel="1" x14ac:dyDescent="0.3">
      <c r="A15" s="44"/>
      <c r="B15" s="11" t="str">
        <f>CONCATENATE("          ", "4100", " - ", "NON-TAXABLE SALES")</f>
        <v xml:space="preserve">          4100 - NON-TAXABLE SALES</v>
      </c>
      <c r="C15" s="11"/>
      <c r="D15" s="3">
        <f>0</f>
        <v>0</v>
      </c>
      <c r="E15" s="3"/>
      <c r="F15" s="19"/>
      <c r="G15" s="3"/>
      <c r="H15" s="3">
        <v>5753</v>
      </c>
      <c r="I15" s="3"/>
      <c r="J15" s="19"/>
      <c r="K15" s="3"/>
      <c r="L15" s="3">
        <f t="shared" si="0"/>
        <v>-5753</v>
      </c>
      <c r="M15" s="3"/>
      <c r="N15" s="19">
        <f t="shared" si="1"/>
        <v>-1</v>
      </c>
      <c r="O15" s="11"/>
      <c r="P15" s="3">
        <f>0</f>
        <v>0</v>
      </c>
      <c r="Q15" s="3"/>
      <c r="R15" s="19"/>
      <c r="S15" s="3"/>
      <c r="T15" s="3">
        <v>5753</v>
      </c>
      <c r="U15" s="3"/>
      <c r="V15" s="19"/>
      <c r="W15" s="3"/>
      <c r="X15" s="3">
        <f t="shared" si="2"/>
        <v>-5753</v>
      </c>
      <c r="Y15" s="3"/>
      <c r="Z15" s="19">
        <f t="shared" si="3"/>
        <v>-1</v>
      </c>
    </row>
    <row r="16" spans="1:26" s="24" customFormat="1" hidden="1" outlineLevel="1" x14ac:dyDescent="0.3">
      <c r="A16" s="44"/>
      <c r="B16" s="11" t="str">
        <f>CONCATENATE("          ", "4151", " - ", "NON-TAXABLE SALES-FOOD")</f>
        <v xml:space="preserve">          4151 - NON-TAXABLE SALES-FOOD</v>
      </c>
      <c r="C16" s="11"/>
      <c r="D16" s="3">
        <f>--9071.38</f>
        <v>9071.3799999999992</v>
      </c>
      <c r="E16" s="3"/>
      <c r="F16" s="19"/>
      <c r="G16" s="3"/>
      <c r="H16" s="3"/>
      <c r="I16" s="3"/>
      <c r="J16" s="19"/>
      <c r="K16" s="3"/>
      <c r="L16" s="3">
        <f t="shared" si="0"/>
        <v>9071.3799999999992</v>
      </c>
      <c r="M16" s="3"/>
      <c r="N16" s="19">
        <f t="shared" si="1"/>
        <v>0</v>
      </c>
      <c r="O16" s="11"/>
      <c r="P16" s="3">
        <f>--9071.38</f>
        <v>9071.3799999999992</v>
      </c>
      <c r="Q16" s="3"/>
      <c r="R16" s="19"/>
      <c r="S16" s="3"/>
      <c r="T16" s="3"/>
      <c r="U16" s="3"/>
      <c r="V16" s="19"/>
      <c r="W16" s="3"/>
      <c r="X16" s="3">
        <f t="shared" si="2"/>
        <v>9071.3799999999992</v>
      </c>
      <c r="Y16" s="3"/>
      <c r="Z16" s="19">
        <f t="shared" si="3"/>
        <v>0</v>
      </c>
    </row>
    <row r="17" spans="1:26" x14ac:dyDescent="0.3">
      <c r="A17" s="9"/>
      <c r="B17" s="10"/>
      <c r="C17" s="9"/>
      <c r="D17" s="2"/>
      <c r="E17" s="2"/>
      <c r="F17" s="6"/>
      <c r="G17" s="2"/>
      <c r="H17" s="2"/>
      <c r="I17" s="2"/>
      <c r="J17" s="6"/>
      <c r="K17" s="2"/>
      <c r="L17" s="2"/>
      <c r="M17" s="2"/>
      <c r="N17" s="6"/>
      <c r="P17" s="2"/>
      <c r="Q17" s="2"/>
      <c r="R17" s="6"/>
      <c r="S17" s="2"/>
      <c r="T17" s="2"/>
      <c r="U17" s="2"/>
      <c r="V17" s="6"/>
      <c r="W17" s="2"/>
      <c r="X17" s="2"/>
      <c r="Y17" s="2"/>
      <c r="Z17" s="6"/>
    </row>
    <row r="18" spans="1:26" s="23" customFormat="1" collapsed="1" x14ac:dyDescent="0.3">
      <c r="A18" s="10"/>
      <c r="B18" s="25" t="s">
        <v>257</v>
      </c>
      <c r="C18" s="10"/>
      <c r="D18" s="4">
        <f>SUM(OSRRefD16x_0)</f>
        <v>5059.3799999999992</v>
      </c>
      <c r="E18" s="4"/>
      <c r="F18" s="12">
        <f t="shared" ref="F18:F21" si="4">IF(D$12=0,0,D18/D$12)</f>
        <v>0.25679120874658856</v>
      </c>
      <c r="G18" s="4"/>
      <c r="H18" s="4">
        <f>SUM(OSRRefH16x_0)</f>
        <v>3249</v>
      </c>
      <c r="I18" s="4"/>
      <c r="J18" s="12">
        <f t="shared" ref="J18:J21" si="5">IF(H$12=0,0,H18/H$12)</f>
        <v>0.38156194950088079</v>
      </c>
      <c r="K18" s="4"/>
      <c r="L18" s="4">
        <f t="shared" ref="L18:L21" si="6">+D18-H18</f>
        <v>1810.3799999999992</v>
      </c>
      <c r="M18" s="4"/>
      <c r="N18" s="12">
        <f t="shared" ref="N18:N21" si="7">IF(H18=0,0,L18/H18)</f>
        <v>0.55721144967682334</v>
      </c>
      <c r="O18" s="10"/>
      <c r="P18" s="4">
        <f>SUM(OSRRefP16x_0)</f>
        <v>5059.3799999999992</v>
      </c>
      <c r="Q18" s="4"/>
      <c r="R18" s="12">
        <f t="shared" ref="R18:R21" si="8">IF(P$12=0,0,P18/P$12)</f>
        <v>0.25679120874658856</v>
      </c>
      <c r="S18" s="4"/>
      <c r="T18" s="4">
        <f>SUM(OSRRefT16x_0)</f>
        <v>3249</v>
      </c>
      <c r="U18" s="4"/>
      <c r="V18" s="12">
        <f t="shared" ref="V18:V21" si="9">IF(T$12=0,0,T18/T$12)</f>
        <v>0.38156194950088079</v>
      </c>
      <c r="W18" s="4"/>
      <c r="X18" s="4">
        <f t="shared" ref="X18:X21" si="10">+P18-T18</f>
        <v>1810.3799999999992</v>
      </c>
      <c r="Y18" s="4"/>
      <c r="Z18" s="12">
        <f t="shared" ref="Z18:Z21" si="11">IF(T18=0,0,X18/T18)</f>
        <v>0.55721144967682334</v>
      </c>
    </row>
    <row r="19" spans="1:26" s="24" customFormat="1" hidden="1" outlineLevel="1" x14ac:dyDescent="0.3">
      <c r="A19" s="44"/>
      <c r="B19" s="11" t="str">
        <f>CONCATENATE("          ", "5000", " - ", "PURCHASES @ COST")</f>
        <v xml:space="preserve">          5000 - PURCHASES @ COST</v>
      </c>
      <c r="C19" s="11"/>
      <c r="D19" s="3"/>
      <c r="E19" s="3"/>
      <c r="F19" s="19">
        <f t="shared" si="4"/>
        <v>0</v>
      </c>
      <c r="G19" s="3"/>
      <c r="H19" s="3">
        <v>3249</v>
      </c>
      <c r="I19" s="3"/>
      <c r="J19" s="19">
        <f t="shared" si="5"/>
        <v>0.38156194950088079</v>
      </c>
      <c r="K19" s="3"/>
      <c r="L19" s="3">
        <f t="shared" si="6"/>
        <v>-3249</v>
      </c>
      <c r="M19" s="3"/>
      <c r="N19" s="19">
        <f t="shared" si="7"/>
        <v>-1</v>
      </c>
      <c r="O19" s="11"/>
      <c r="P19" s="3"/>
      <c r="Q19" s="3"/>
      <c r="R19" s="19">
        <f t="shared" si="8"/>
        <v>0</v>
      </c>
      <c r="S19" s="3"/>
      <c r="T19" s="3">
        <v>3249</v>
      </c>
      <c r="U19" s="3"/>
      <c r="V19" s="19">
        <f t="shared" si="9"/>
        <v>0.38156194950088079</v>
      </c>
      <c r="W19" s="3"/>
      <c r="X19" s="3">
        <f t="shared" si="10"/>
        <v>-3249</v>
      </c>
      <c r="Y19" s="3"/>
      <c r="Z19" s="19">
        <f t="shared" si="11"/>
        <v>-1</v>
      </c>
    </row>
    <row r="20" spans="1:26" s="24" customFormat="1" hidden="1" outlineLevel="1" x14ac:dyDescent="0.3">
      <c r="A20" s="44"/>
      <c r="B20" s="11" t="str">
        <f>CONCATENATE("          ", "5053", " - ", "PURCHASES @ COST-FOOD")</f>
        <v xml:space="preserve">          5053 - PURCHASES @ COST-FOOD</v>
      </c>
      <c r="C20" s="11"/>
      <c r="D20" s="3">
        <v>8224.3799999999992</v>
      </c>
      <c r="E20" s="3"/>
      <c r="F20" s="19">
        <f t="shared" si="4"/>
        <v>0.41743227063222538</v>
      </c>
      <c r="G20" s="3"/>
      <c r="H20" s="3"/>
      <c r="I20" s="3"/>
      <c r="J20" s="19">
        <f t="shared" si="5"/>
        <v>0</v>
      </c>
      <c r="K20" s="3"/>
      <c r="L20" s="3">
        <f t="shared" si="6"/>
        <v>8224.3799999999992</v>
      </c>
      <c r="M20" s="3"/>
      <c r="N20" s="19">
        <f t="shared" si="7"/>
        <v>0</v>
      </c>
      <c r="O20" s="11"/>
      <c r="P20" s="3">
        <v>8224.3799999999992</v>
      </c>
      <c r="Q20" s="3"/>
      <c r="R20" s="19">
        <f t="shared" si="8"/>
        <v>0.41743227063222538</v>
      </c>
      <c r="S20" s="3"/>
      <c r="T20" s="3"/>
      <c r="U20" s="3"/>
      <c r="V20" s="19">
        <f t="shared" si="9"/>
        <v>0</v>
      </c>
      <c r="W20" s="3"/>
      <c r="X20" s="3">
        <f t="shared" si="10"/>
        <v>8224.3799999999992</v>
      </c>
      <c r="Y20" s="3"/>
      <c r="Z20" s="19">
        <f t="shared" si="11"/>
        <v>0</v>
      </c>
    </row>
    <row r="21" spans="1:26" s="24" customFormat="1" hidden="1" outlineLevel="1" x14ac:dyDescent="0.3">
      <c r="A21" s="44"/>
      <c r="B21" s="11" t="str">
        <f>CONCATENATE("          ", "5059", " - ", "PURCHASES @ COST-FOOD")</f>
        <v xml:space="preserve">          5059 - PURCHASES @ COST-FOOD</v>
      </c>
      <c r="C21" s="11"/>
      <c r="D21" s="3">
        <v>-3165</v>
      </c>
      <c r="E21" s="3"/>
      <c r="F21" s="19">
        <f t="shared" si="4"/>
        <v>-0.16064106188563679</v>
      </c>
      <c r="G21" s="3"/>
      <c r="H21" s="3"/>
      <c r="I21" s="3"/>
      <c r="J21" s="19">
        <f t="shared" si="5"/>
        <v>0</v>
      </c>
      <c r="K21" s="3"/>
      <c r="L21" s="3">
        <f t="shared" si="6"/>
        <v>-3165</v>
      </c>
      <c r="M21" s="3"/>
      <c r="N21" s="19">
        <f t="shared" si="7"/>
        <v>0</v>
      </c>
      <c r="O21" s="11"/>
      <c r="P21" s="3">
        <v>-3165</v>
      </c>
      <c r="Q21" s="3"/>
      <c r="R21" s="19">
        <f t="shared" si="8"/>
        <v>-0.16064106188563679</v>
      </c>
      <c r="S21" s="3"/>
      <c r="T21" s="3"/>
      <c r="U21" s="3"/>
      <c r="V21" s="19">
        <f t="shared" si="9"/>
        <v>0</v>
      </c>
      <c r="W21" s="3"/>
      <c r="X21" s="3">
        <f t="shared" si="10"/>
        <v>-3165</v>
      </c>
      <c r="Y21" s="3"/>
      <c r="Z21" s="19">
        <f t="shared" si="11"/>
        <v>0</v>
      </c>
    </row>
    <row r="22" spans="1:26" x14ac:dyDescent="0.3">
      <c r="A22" s="9"/>
      <c r="B22" s="10"/>
      <c r="C22" s="10"/>
      <c r="D22" s="2"/>
      <c r="E22" s="2"/>
      <c r="F22" s="6"/>
      <c r="G22" s="2"/>
      <c r="H22" s="2"/>
      <c r="I22" s="2"/>
      <c r="J22" s="6"/>
      <c r="K22" s="2"/>
      <c r="L22" s="2"/>
      <c r="M22" s="2"/>
      <c r="N22" s="6"/>
      <c r="O22" s="10"/>
      <c r="P22" s="2"/>
      <c r="Q22" s="2"/>
      <c r="R22" s="6"/>
      <c r="S22" s="2"/>
      <c r="T22" s="2"/>
      <c r="U22" s="2"/>
      <c r="V22" s="6"/>
      <c r="W22" s="2"/>
      <c r="X22" s="2"/>
      <c r="Y22" s="2"/>
      <c r="Z22" s="6"/>
    </row>
    <row r="23" spans="1:26" s="23" customFormat="1" x14ac:dyDescent="0.3">
      <c r="A23" s="10"/>
      <c r="B23" s="26" t="s">
        <v>108</v>
      </c>
      <c r="C23" s="26"/>
      <c r="D23" s="21">
        <f>D12-D18</f>
        <v>14642.929999999998</v>
      </c>
      <c r="E23" s="13"/>
      <c r="F23" s="22">
        <f>IF(D$12=0,0,D23/D$12)</f>
        <v>0.74320879125341144</v>
      </c>
      <c r="G23" s="13"/>
      <c r="H23" s="21">
        <f>H12-H18</f>
        <v>5266</v>
      </c>
      <c r="I23" s="13"/>
      <c r="J23" s="22">
        <f>IF(H$12=0,0,H23/H$12)</f>
        <v>0.61843805049911915</v>
      </c>
      <c r="K23" s="16"/>
      <c r="L23" s="21">
        <f>+D23-H23</f>
        <v>9376.9299999999985</v>
      </c>
      <c r="M23" s="16"/>
      <c r="N23" s="22">
        <f>IF(H23=0,0,L23/H23)</f>
        <v>1.7806551462210403</v>
      </c>
      <c r="O23" s="25"/>
      <c r="P23" s="21">
        <f>P12-P18</f>
        <v>14642.929999999998</v>
      </c>
      <c r="Q23" s="13"/>
      <c r="R23" s="22">
        <f>IF(P$12=0,0,P23/P$12)</f>
        <v>0.74320879125341144</v>
      </c>
      <c r="S23" s="13"/>
      <c r="T23" s="21">
        <f>T12-T18</f>
        <v>5266</v>
      </c>
      <c r="U23" s="13"/>
      <c r="V23" s="22">
        <f>IF(T$12=0,0,T23/T$12)</f>
        <v>0.61843805049911915</v>
      </c>
      <c r="W23" s="16"/>
      <c r="X23" s="21">
        <f>+P23-T23</f>
        <v>9376.9299999999985</v>
      </c>
      <c r="Y23" s="16"/>
      <c r="Z23" s="22">
        <f>IF(T23=0,0,X23/T23)</f>
        <v>1.7806551462210403</v>
      </c>
    </row>
    <row r="24" spans="1:26" x14ac:dyDescent="0.3">
      <c r="A24" s="9"/>
      <c r="B24" s="10"/>
      <c r="C24" s="9"/>
      <c r="D24" s="1"/>
      <c r="E24" s="1"/>
      <c r="F24" s="5"/>
      <c r="G24" s="1"/>
      <c r="H24" s="1"/>
      <c r="I24" s="1"/>
      <c r="J24" s="5"/>
      <c r="K24" s="1"/>
      <c r="L24" s="1"/>
      <c r="M24" s="1"/>
      <c r="N24" s="5"/>
      <c r="O24" s="36"/>
      <c r="P24" s="1"/>
      <c r="Q24" s="1"/>
      <c r="R24" s="5"/>
      <c r="S24" s="1"/>
      <c r="T24" s="1"/>
      <c r="U24" s="1"/>
      <c r="V24" s="5"/>
      <c r="W24" s="1"/>
      <c r="X24" s="1"/>
      <c r="Y24" s="1"/>
      <c r="Z24" s="5"/>
    </row>
    <row r="25" spans="1:26" s="23" customFormat="1" x14ac:dyDescent="0.3">
      <c r="A25" s="10"/>
      <c r="B25" s="25" t="s">
        <v>295</v>
      </c>
      <c r="C25" s="10"/>
      <c r="D25" s="20">
        <f>SUM(OSRRefD22x_0)</f>
        <v>157781.03000000003</v>
      </c>
      <c r="E25" s="20"/>
      <c r="F25" s="32">
        <f t="shared" ref="F25:F35" si="12">IF(D$12=0,0,D25/D$12)</f>
        <v>8.0082503016143818</v>
      </c>
      <c r="G25" s="20"/>
      <c r="H25" s="20">
        <f>SUM(OSRRefH22x_0)</f>
        <v>186517.47018145572</v>
      </c>
      <c r="I25" s="20"/>
      <c r="J25" s="32">
        <f t="shared" ref="J25:J35" si="13">IF(H$12=0,0,H25/H$12)</f>
        <v>21.904576650787519</v>
      </c>
      <c r="K25" s="4"/>
      <c r="L25" s="20">
        <f t="shared" ref="L25:L35" si="14">+D25-H25</f>
        <v>-28736.440181455691</v>
      </c>
      <c r="M25" s="4"/>
      <c r="N25" s="32">
        <f t="shared" ref="N25:N35" si="15">IF(H25=0,0,L25/H25)</f>
        <v>-0.15406835699357871</v>
      </c>
      <c r="O25" s="10"/>
      <c r="P25" s="20">
        <f>SUM(OSRRefP22x_0)</f>
        <v>157781.03000000003</v>
      </c>
      <c r="Q25" s="20"/>
      <c r="R25" s="32">
        <f t="shared" ref="R25:R35" si="16">IF(P$12=0,0,P25/P$12)</f>
        <v>8.0082503016143818</v>
      </c>
      <c r="S25" s="20"/>
      <c r="T25" s="20">
        <f>SUM(OSRRefT22x_0)</f>
        <v>186517.47018145572</v>
      </c>
      <c r="U25" s="20"/>
      <c r="V25" s="32">
        <f t="shared" ref="V25:V35" si="17">IF(T$12=0,0,T25/T$12)</f>
        <v>21.904576650787519</v>
      </c>
      <c r="W25" s="4"/>
      <c r="X25" s="20">
        <f t="shared" ref="X25:X35" si="18">+P25-T25</f>
        <v>-28736.440181455691</v>
      </c>
      <c r="Y25" s="4"/>
      <c r="Z25" s="32">
        <f t="shared" ref="Z25:Z35" si="19">IF(T25=0,0,X25/T25)</f>
        <v>-0.15406835699357871</v>
      </c>
    </row>
    <row r="26" spans="1:26" s="27" customFormat="1" outlineLevel="1" collapsed="1" x14ac:dyDescent="0.3">
      <c r="A26" s="28"/>
      <c r="B26" s="14" t="str">
        <f>CONCATENATE("     ","*Benefits                                         ")</f>
        <v xml:space="preserve">     *Benefits                                         </v>
      </c>
      <c r="C26" s="14"/>
      <c r="D26" s="1">
        <f>SUM(OSRRefD22_0x_0)</f>
        <v>25335.059999999998</v>
      </c>
      <c r="E26" s="1"/>
      <c r="F26" s="5">
        <f t="shared" si="12"/>
        <v>1.2858928724601328</v>
      </c>
      <c r="G26" s="1"/>
      <c r="H26" s="1">
        <f>SUM(OSRRefH22_0x_0)</f>
        <v>31739.15026799421</v>
      </c>
      <c r="I26" s="1"/>
      <c r="J26" s="5">
        <f t="shared" si="13"/>
        <v>3.7274398435694902</v>
      </c>
      <c r="K26" s="1"/>
      <c r="L26" s="1">
        <f t="shared" si="14"/>
        <v>-6404.0902679942119</v>
      </c>
      <c r="M26" s="1"/>
      <c r="N26" s="5">
        <f t="shared" si="15"/>
        <v>-0.20177258098973441</v>
      </c>
      <c r="O26" s="14"/>
      <c r="P26" s="1">
        <f>SUM(OSRRefP22_0x_0)</f>
        <v>25335.059999999998</v>
      </c>
      <c r="Q26" s="1"/>
      <c r="R26" s="5">
        <f t="shared" si="16"/>
        <v>1.2858928724601328</v>
      </c>
      <c r="S26" s="1"/>
      <c r="T26" s="1">
        <f>SUM(OSRRefT22_0x_0)</f>
        <v>31739.15026799421</v>
      </c>
      <c r="U26" s="1"/>
      <c r="V26" s="5">
        <f t="shared" si="17"/>
        <v>3.7274398435694902</v>
      </c>
      <c r="W26" s="1"/>
      <c r="X26" s="1">
        <f t="shared" si="18"/>
        <v>-6404.0902679942119</v>
      </c>
      <c r="Y26" s="1"/>
      <c r="Z26" s="5">
        <f t="shared" si="19"/>
        <v>-0.20177258098973441</v>
      </c>
    </row>
    <row r="27" spans="1:26" s="24" customFormat="1" hidden="1" outlineLevel="2" x14ac:dyDescent="0.3">
      <c r="A27" s="29"/>
      <c r="B27" s="11" t="str">
        <f>CONCATENATE("          ", "6111", " - ", "F.I.C.A.")</f>
        <v xml:space="preserve">          6111 - F.I.C.A.</v>
      </c>
      <c r="C27" s="11"/>
      <c r="D27" s="8">
        <v>3198.56</v>
      </c>
      <c r="E27" s="3"/>
      <c r="F27" s="7">
        <f t="shared" si="12"/>
        <v>0.16234441545179221</v>
      </c>
      <c r="G27" s="3"/>
      <c r="H27" s="8">
        <v>4219.07195260962</v>
      </c>
      <c r="I27" s="3"/>
      <c r="J27" s="7">
        <f t="shared" si="13"/>
        <v>0.49548701733524603</v>
      </c>
      <c r="K27" s="3"/>
      <c r="L27" s="8">
        <f t="shared" si="14"/>
        <v>-1020.51195260962</v>
      </c>
      <c r="M27" s="3"/>
      <c r="N27" s="7">
        <f t="shared" si="15"/>
        <v>-0.2418806704584413</v>
      </c>
      <c r="O27" s="11"/>
      <c r="P27" s="8">
        <v>3198.56</v>
      </c>
      <c r="Q27" s="3"/>
      <c r="R27" s="7">
        <f t="shared" si="16"/>
        <v>0.16234441545179221</v>
      </c>
      <c r="S27" s="3"/>
      <c r="T27" s="8">
        <v>4219.07195260962</v>
      </c>
      <c r="U27" s="3"/>
      <c r="V27" s="7">
        <f t="shared" si="17"/>
        <v>0.49548701733524603</v>
      </c>
      <c r="W27" s="3"/>
      <c r="X27" s="8">
        <f t="shared" si="18"/>
        <v>-1020.51195260962</v>
      </c>
      <c r="Y27" s="3"/>
      <c r="Z27" s="7">
        <f t="shared" si="19"/>
        <v>-0.2418806704584413</v>
      </c>
    </row>
    <row r="28" spans="1:26" s="24" customFormat="1" hidden="1" outlineLevel="2" x14ac:dyDescent="0.3">
      <c r="A28" s="29"/>
      <c r="B28" s="11" t="str">
        <f>CONCATENATE("          ", "6112", " - ", "COMPENSATION INSURANCE")</f>
        <v xml:space="preserve">          6112 - COMPENSATION INSURANCE</v>
      </c>
      <c r="C28" s="11"/>
      <c r="D28" s="8">
        <v>1106.6199999999999</v>
      </c>
      <c r="E28" s="3"/>
      <c r="F28" s="7">
        <f t="shared" si="12"/>
        <v>5.6167017979110063E-2</v>
      </c>
      <c r="G28" s="3"/>
      <c r="H28" s="8">
        <v>2106.9234548269201</v>
      </c>
      <c r="I28" s="3"/>
      <c r="J28" s="7">
        <f t="shared" si="13"/>
        <v>0.24743669463616208</v>
      </c>
      <c r="K28" s="3"/>
      <c r="L28" s="8">
        <f t="shared" si="14"/>
        <v>-1000.3034548269202</v>
      </c>
      <c r="M28" s="3"/>
      <c r="N28" s="7">
        <f t="shared" si="15"/>
        <v>-0.47476971815717589</v>
      </c>
      <c r="O28" s="11"/>
      <c r="P28" s="8">
        <v>1106.6199999999999</v>
      </c>
      <c r="Q28" s="3"/>
      <c r="R28" s="7">
        <f t="shared" si="16"/>
        <v>5.6167017979110063E-2</v>
      </c>
      <c r="S28" s="3"/>
      <c r="T28" s="8">
        <v>2106.9234548269201</v>
      </c>
      <c r="U28" s="3"/>
      <c r="V28" s="7">
        <f t="shared" si="17"/>
        <v>0.24743669463616208</v>
      </c>
      <c r="W28" s="3"/>
      <c r="X28" s="8">
        <f t="shared" si="18"/>
        <v>-1000.3034548269202</v>
      </c>
      <c r="Y28" s="3"/>
      <c r="Z28" s="7">
        <f t="shared" si="19"/>
        <v>-0.47476971815717589</v>
      </c>
    </row>
    <row r="29" spans="1:26" s="24" customFormat="1" hidden="1" outlineLevel="2" x14ac:dyDescent="0.3">
      <c r="A29" s="29"/>
      <c r="B29" s="11" t="str">
        <f>CONCATENATE("          ", "6113", " - ", "GROUP INSURANCE")</f>
        <v xml:space="preserve">          6113 - GROUP INSURANCE</v>
      </c>
      <c r="C29" s="11"/>
      <c r="D29" s="8">
        <v>11932.59</v>
      </c>
      <c r="E29" s="3"/>
      <c r="F29" s="7">
        <f t="shared" si="12"/>
        <v>0.60564421126253731</v>
      </c>
      <c r="G29" s="3"/>
      <c r="H29" s="8">
        <v>16147.9692307692</v>
      </c>
      <c r="I29" s="3"/>
      <c r="J29" s="7">
        <f t="shared" si="13"/>
        <v>1.8964144721983793</v>
      </c>
      <c r="K29" s="3"/>
      <c r="L29" s="8">
        <f t="shared" si="14"/>
        <v>-4215.3792307692001</v>
      </c>
      <c r="M29" s="3"/>
      <c r="N29" s="7">
        <f t="shared" si="15"/>
        <v>-0.26104701901072441</v>
      </c>
      <c r="O29" s="11"/>
      <c r="P29" s="8">
        <v>11932.59</v>
      </c>
      <c r="Q29" s="3"/>
      <c r="R29" s="7">
        <f t="shared" si="16"/>
        <v>0.60564421126253731</v>
      </c>
      <c r="S29" s="3"/>
      <c r="T29" s="8">
        <v>16147.9692307692</v>
      </c>
      <c r="U29" s="3"/>
      <c r="V29" s="7">
        <f t="shared" si="17"/>
        <v>1.8964144721983793</v>
      </c>
      <c r="W29" s="3"/>
      <c r="X29" s="8">
        <f t="shared" si="18"/>
        <v>-4215.3792307692001</v>
      </c>
      <c r="Y29" s="3"/>
      <c r="Z29" s="7">
        <f t="shared" si="19"/>
        <v>-0.26104701901072441</v>
      </c>
    </row>
    <row r="30" spans="1:26" s="24" customFormat="1" hidden="1" outlineLevel="2" x14ac:dyDescent="0.3">
      <c r="A30" s="29"/>
      <c r="B30" s="11" t="str">
        <f>CONCATENATE("          ", "6114", " - ", "STATE UNEMPLOYMENT INSURANCE")</f>
        <v xml:space="preserve">          6114 - STATE UNEMPLOYMENT INSURANCE</v>
      </c>
      <c r="C30" s="11"/>
      <c r="D30" s="8">
        <v>108.7</v>
      </c>
      <c r="E30" s="3"/>
      <c r="F30" s="7">
        <f t="shared" si="12"/>
        <v>5.5171195661828498E-3</v>
      </c>
      <c r="G30" s="3"/>
      <c r="H30" s="8">
        <v>116.742460557692</v>
      </c>
      <c r="I30" s="3"/>
      <c r="J30" s="7">
        <f t="shared" si="13"/>
        <v>1.3710212631555137E-2</v>
      </c>
      <c r="K30" s="3"/>
      <c r="L30" s="8">
        <f t="shared" si="14"/>
        <v>-8.0424605576919959</v>
      </c>
      <c r="M30" s="3"/>
      <c r="N30" s="7">
        <f t="shared" si="15"/>
        <v>-6.8890620595730534E-2</v>
      </c>
      <c r="O30" s="11"/>
      <c r="P30" s="8">
        <v>108.7</v>
      </c>
      <c r="Q30" s="3"/>
      <c r="R30" s="7">
        <f t="shared" si="16"/>
        <v>5.5171195661828498E-3</v>
      </c>
      <c r="S30" s="3"/>
      <c r="T30" s="8">
        <v>116.742460557692</v>
      </c>
      <c r="U30" s="3"/>
      <c r="V30" s="7">
        <f t="shared" si="17"/>
        <v>1.3710212631555137E-2</v>
      </c>
      <c r="W30" s="3"/>
      <c r="X30" s="8">
        <f t="shared" si="18"/>
        <v>-8.0424605576919959</v>
      </c>
      <c r="Y30" s="3"/>
      <c r="Z30" s="7">
        <f t="shared" si="19"/>
        <v>-6.8890620595730534E-2</v>
      </c>
    </row>
    <row r="31" spans="1:26" s="24" customFormat="1" hidden="1" outlineLevel="2" x14ac:dyDescent="0.3">
      <c r="A31" s="29"/>
      <c r="B31" s="11" t="str">
        <f>CONCATENATE("          ", "6115", " - ", "P.E.R.S.")</f>
        <v xml:space="preserve">          6115 - P.E.R.S.</v>
      </c>
      <c r="C31" s="11"/>
      <c r="D31" s="8">
        <v>2989.03</v>
      </c>
      <c r="E31" s="3"/>
      <c r="F31" s="7">
        <f t="shared" si="12"/>
        <v>0.15170962186667455</v>
      </c>
      <c r="G31" s="3"/>
      <c r="H31" s="8">
        <v>3433.42769807693</v>
      </c>
      <c r="I31" s="3"/>
      <c r="J31" s="7">
        <f t="shared" si="13"/>
        <v>0.40322110370838871</v>
      </c>
      <c r="K31" s="3"/>
      <c r="L31" s="8">
        <f t="shared" si="14"/>
        <v>-444.39769807692983</v>
      </c>
      <c r="M31" s="3"/>
      <c r="N31" s="7">
        <f t="shared" si="15"/>
        <v>-0.12943266529999684</v>
      </c>
      <c r="O31" s="11"/>
      <c r="P31" s="8">
        <v>2989.03</v>
      </c>
      <c r="Q31" s="3"/>
      <c r="R31" s="7">
        <f t="shared" si="16"/>
        <v>0.15170962186667455</v>
      </c>
      <c r="S31" s="3"/>
      <c r="T31" s="8">
        <v>3433.42769807693</v>
      </c>
      <c r="U31" s="3"/>
      <c r="V31" s="7">
        <f t="shared" si="17"/>
        <v>0.40322110370838871</v>
      </c>
      <c r="W31" s="3"/>
      <c r="X31" s="8">
        <f t="shared" si="18"/>
        <v>-444.39769807692983</v>
      </c>
      <c r="Y31" s="3"/>
      <c r="Z31" s="7">
        <f t="shared" si="19"/>
        <v>-0.12943266529999684</v>
      </c>
    </row>
    <row r="32" spans="1:26" s="24" customFormat="1" hidden="1" outlineLevel="2" x14ac:dyDescent="0.3">
      <c r="A32" s="29"/>
      <c r="B32" s="11" t="str">
        <f>CONCATENATE("          ", "6116", " - ", "EDUCATIONAL BENEFITS")</f>
        <v xml:space="preserve">          6116 - EDUCATIONAL BENEFITS</v>
      </c>
      <c r="C32" s="11"/>
      <c r="D32" s="8"/>
      <c r="E32" s="3"/>
      <c r="F32" s="7">
        <f t="shared" si="12"/>
        <v>0</v>
      </c>
      <c r="G32" s="3"/>
      <c r="H32" s="8">
        <v>0</v>
      </c>
      <c r="I32" s="3"/>
      <c r="J32" s="7">
        <f t="shared" si="13"/>
        <v>0</v>
      </c>
      <c r="K32" s="3"/>
      <c r="L32" s="8">
        <f t="shared" si="14"/>
        <v>0</v>
      </c>
      <c r="M32" s="3"/>
      <c r="N32" s="7">
        <f t="shared" si="15"/>
        <v>0</v>
      </c>
      <c r="O32" s="11"/>
      <c r="P32" s="8"/>
      <c r="Q32" s="3"/>
      <c r="R32" s="7">
        <f t="shared" si="16"/>
        <v>0</v>
      </c>
      <c r="S32" s="3"/>
      <c r="T32" s="8">
        <v>0</v>
      </c>
      <c r="U32" s="3"/>
      <c r="V32" s="7">
        <f t="shared" si="17"/>
        <v>0</v>
      </c>
      <c r="W32" s="3"/>
      <c r="X32" s="8">
        <f t="shared" si="18"/>
        <v>0</v>
      </c>
      <c r="Y32" s="3"/>
      <c r="Z32" s="7">
        <f t="shared" si="19"/>
        <v>0</v>
      </c>
    </row>
    <row r="33" spans="1:26" s="24" customFormat="1" hidden="1" outlineLevel="2" x14ac:dyDescent="0.3">
      <c r="A33" s="29"/>
      <c r="B33" s="11" t="str">
        <f>CONCATENATE("          ", "6118", " - ", "VACATION")</f>
        <v xml:space="preserve">          6118 - VACATION</v>
      </c>
      <c r="C33" s="11"/>
      <c r="D33" s="8">
        <v>2954.94</v>
      </c>
      <c r="E33" s="3"/>
      <c r="F33" s="7">
        <f t="shared" si="12"/>
        <v>0.14997936790153035</v>
      </c>
      <c r="G33" s="3"/>
      <c r="H33" s="8">
        <v>3104.9653980769199</v>
      </c>
      <c r="I33" s="3"/>
      <c r="J33" s="7">
        <f t="shared" si="13"/>
        <v>0.36464655291566883</v>
      </c>
      <c r="K33" s="3"/>
      <c r="L33" s="8">
        <f t="shared" si="14"/>
        <v>-150.02539807691983</v>
      </c>
      <c r="M33" s="3"/>
      <c r="N33" s="7">
        <f t="shared" si="15"/>
        <v>-4.831789693045823E-2</v>
      </c>
      <c r="O33" s="11"/>
      <c r="P33" s="8">
        <v>2954.94</v>
      </c>
      <c r="Q33" s="3"/>
      <c r="R33" s="7">
        <f t="shared" si="16"/>
        <v>0.14997936790153035</v>
      </c>
      <c r="S33" s="3"/>
      <c r="T33" s="8">
        <v>3104.9653980769199</v>
      </c>
      <c r="U33" s="3"/>
      <c r="V33" s="7">
        <f t="shared" si="17"/>
        <v>0.36464655291566883</v>
      </c>
      <c r="W33" s="3"/>
      <c r="X33" s="8">
        <f t="shared" si="18"/>
        <v>-150.02539807691983</v>
      </c>
      <c r="Y33" s="3"/>
      <c r="Z33" s="7">
        <f t="shared" si="19"/>
        <v>-4.831789693045823E-2</v>
      </c>
    </row>
    <row r="34" spans="1:26" s="24" customFormat="1" hidden="1" outlineLevel="2" x14ac:dyDescent="0.3">
      <c r="A34" s="29"/>
      <c r="B34" s="11" t="str">
        <f>CONCATENATE("          ", "6119", " - ", "SICK LEAVE")</f>
        <v xml:space="preserve">          6119 - SICK LEAVE</v>
      </c>
      <c r="C34" s="11"/>
      <c r="D34" s="8">
        <v>1898.78</v>
      </c>
      <c r="E34" s="3"/>
      <c r="F34" s="7">
        <f t="shared" si="12"/>
        <v>9.637347092802824E-2</v>
      </c>
      <c r="G34" s="3"/>
      <c r="H34" s="8">
        <v>985.05007307692404</v>
      </c>
      <c r="I34" s="3"/>
      <c r="J34" s="7">
        <f t="shared" si="13"/>
        <v>0.11568409548760118</v>
      </c>
      <c r="K34" s="3"/>
      <c r="L34" s="8">
        <f t="shared" si="14"/>
        <v>913.72992692307594</v>
      </c>
      <c r="M34" s="3"/>
      <c r="N34" s="7">
        <f t="shared" si="15"/>
        <v>0.92759744087823792</v>
      </c>
      <c r="O34" s="11"/>
      <c r="P34" s="8">
        <v>1898.78</v>
      </c>
      <c r="Q34" s="3"/>
      <c r="R34" s="7">
        <f t="shared" si="16"/>
        <v>9.637347092802824E-2</v>
      </c>
      <c r="S34" s="3"/>
      <c r="T34" s="8">
        <v>985.05007307692404</v>
      </c>
      <c r="U34" s="3"/>
      <c r="V34" s="7">
        <f t="shared" si="17"/>
        <v>0.11568409548760118</v>
      </c>
      <c r="W34" s="3"/>
      <c r="X34" s="8">
        <f t="shared" si="18"/>
        <v>913.72992692307594</v>
      </c>
      <c r="Y34" s="3"/>
      <c r="Z34" s="7">
        <f t="shared" si="19"/>
        <v>0.92759744087823792</v>
      </c>
    </row>
    <row r="35" spans="1:26" s="24" customFormat="1" hidden="1" outlineLevel="2" x14ac:dyDescent="0.3">
      <c r="A35" s="29"/>
      <c r="B35" s="11" t="str">
        <f>CONCATENATE("          ", "6156", " - ", "EMPLOYEE MEALS")</f>
        <v xml:space="preserve">          6156 - EMPLOYEE MEALS</v>
      </c>
      <c r="C35" s="11"/>
      <c r="D35" s="8">
        <v>1145.8399999999999</v>
      </c>
      <c r="E35" s="3"/>
      <c r="F35" s="7">
        <f t="shared" si="12"/>
        <v>5.8157647504277418E-2</v>
      </c>
      <c r="G35" s="3"/>
      <c r="H35" s="8">
        <v>1625</v>
      </c>
      <c r="I35" s="3"/>
      <c r="J35" s="7">
        <f t="shared" si="13"/>
        <v>0.19083969465648856</v>
      </c>
      <c r="K35" s="3"/>
      <c r="L35" s="8">
        <f t="shared" si="14"/>
        <v>-479.16000000000008</v>
      </c>
      <c r="M35" s="3"/>
      <c r="N35" s="7">
        <f t="shared" si="15"/>
        <v>-0.29486769230769233</v>
      </c>
      <c r="O35" s="11"/>
      <c r="P35" s="8">
        <v>1145.8399999999999</v>
      </c>
      <c r="Q35" s="3"/>
      <c r="R35" s="7">
        <f t="shared" si="16"/>
        <v>5.8157647504277418E-2</v>
      </c>
      <c r="S35" s="3"/>
      <c r="T35" s="8">
        <v>1625</v>
      </c>
      <c r="U35" s="3"/>
      <c r="V35" s="7">
        <f t="shared" si="17"/>
        <v>0.19083969465648856</v>
      </c>
      <c r="W35" s="3"/>
      <c r="X35" s="8">
        <f t="shared" si="18"/>
        <v>-479.16000000000008</v>
      </c>
      <c r="Y35" s="3"/>
      <c r="Z35" s="7">
        <f t="shared" si="19"/>
        <v>-0.29486769230769233</v>
      </c>
    </row>
    <row r="36" spans="1:26" s="27" customFormat="1" outlineLevel="1" collapsed="1" x14ac:dyDescent="0.3">
      <c r="A36" s="28"/>
      <c r="B36" s="14" t="str">
        <f>CONCATENATE("     ","*Payroll                                          ")</f>
        <v xml:space="preserve">     *Payroll                                          </v>
      </c>
      <c r="C36" s="14"/>
      <c r="D36" s="1">
        <f>SUM(OSRRefD22_1x_0)</f>
        <v>52602.950000000004</v>
      </c>
      <c r="E36" s="1"/>
      <c r="F36" s="5">
        <f t="shared" ref="F36:F46" si="20">IF(D$12=0,0,D36/D$12)</f>
        <v>2.669887439594647</v>
      </c>
      <c r="G36" s="1"/>
      <c r="H36" s="1">
        <f>SUM(OSRRefH22_1x_0)</f>
        <v>51521.319913461499</v>
      </c>
      <c r="I36" s="1"/>
      <c r="J36" s="5">
        <f t="shared" ref="J36:J46" si="21">IF(H$12=0,0,H36/H$12)</f>
        <v>6.0506541295903107</v>
      </c>
      <c r="K36" s="1"/>
      <c r="L36" s="1">
        <f t="shared" ref="L36:L46" si="22">+D36-H36</f>
        <v>1081.6300865385056</v>
      </c>
      <c r="M36" s="1"/>
      <c r="N36" s="5">
        <f t="shared" ref="N36:N46" si="23">IF(H36=0,0,L36/H36)</f>
        <v>2.0993834947460207E-2</v>
      </c>
      <c r="O36" s="14"/>
      <c r="P36" s="1">
        <f>SUM(OSRRefP22_1x_0)</f>
        <v>52602.950000000004</v>
      </c>
      <c r="Q36" s="1"/>
      <c r="R36" s="5">
        <f t="shared" ref="R36:R46" si="24">IF(P$12=0,0,P36/P$12)</f>
        <v>2.669887439594647</v>
      </c>
      <c r="S36" s="1"/>
      <c r="T36" s="1">
        <f>SUM(OSRRefT22_1x_0)</f>
        <v>51521.319913461499</v>
      </c>
      <c r="U36" s="1"/>
      <c r="V36" s="5">
        <f t="shared" ref="V36:V46" si="25">IF(T$12=0,0,T36/T$12)</f>
        <v>6.0506541295903107</v>
      </c>
      <c r="W36" s="1"/>
      <c r="X36" s="1">
        <f t="shared" ref="X36:X46" si="26">+P36-T36</f>
        <v>1081.6300865385056</v>
      </c>
      <c r="Y36" s="1"/>
      <c r="Z36" s="5">
        <f t="shared" ref="Z36:Z46" si="27">IF(T36=0,0,X36/T36)</f>
        <v>2.0993834947460207E-2</v>
      </c>
    </row>
    <row r="37" spans="1:26" s="24" customFormat="1" hidden="1" outlineLevel="2" x14ac:dyDescent="0.3">
      <c r="A37" s="29"/>
      <c r="B37" s="11" t="str">
        <f>CONCATENATE("          ", "6001", " - ", "ADMINISTRATIVE SALARIES")</f>
        <v xml:space="preserve">          6001 - ADMINISTRATIVE SALARIES</v>
      </c>
      <c r="C37" s="11"/>
      <c r="D37" s="8">
        <v>13836.28</v>
      </c>
      <c r="E37" s="3"/>
      <c r="F37" s="7">
        <f t="shared" si="20"/>
        <v>0.70226689154723498</v>
      </c>
      <c r="G37" s="3"/>
      <c r="H37" s="8">
        <v>12835.384615384601</v>
      </c>
      <c r="I37" s="3"/>
      <c r="J37" s="7">
        <f t="shared" si="21"/>
        <v>1.5073851574145156</v>
      </c>
      <c r="K37" s="3"/>
      <c r="L37" s="8">
        <f t="shared" si="22"/>
        <v>1000.8953846154</v>
      </c>
      <c r="M37" s="3"/>
      <c r="N37" s="7">
        <f t="shared" si="23"/>
        <v>7.7979383914660277E-2</v>
      </c>
      <c r="O37" s="11"/>
      <c r="P37" s="8">
        <v>13836.28</v>
      </c>
      <c r="Q37" s="3"/>
      <c r="R37" s="7">
        <f t="shared" si="24"/>
        <v>0.70226689154723498</v>
      </c>
      <c r="S37" s="3"/>
      <c r="T37" s="8">
        <v>12835.384615384601</v>
      </c>
      <c r="U37" s="3"/>
      <c r="V37" s="7">
        <f t="shared" si="25"/>
        <v>1.5073851574145156</v>
      </c>
      <c r="W37" s="3"/>
      <c r="X37" s="8">
        <f t="shared" si="26"/>
        <v>1000.8953846154</v>
      </c>
      <c r="Y37" s="3"/>
      <c r="Z37" s="7">
        <f t="shared" si="27"/>
        <v>7.7979383914660277E-2</v>
      </c>
    </row>
    <row r="38" spans="1:26" s="24" customFormat="1" hidden="1" outlineLevel="2" x14ac:dyDescent="0.3">
      <c r="A38" s="29"/>
      <c r="B38" s="11" t="str">
        <f>CONCATENATE("          ", "6002", " - ", "STAFF SALARIES")</f>
        <v xml:space="preserve">          6002 - STAFF SALARIES</v>
      </c>
      <c r="C38" s="11"/>
      <c r="D38" s="8">
        <v>23724.02</v>
      </c>
      <c r="E38" s="3"/>
      <c r="F38" s="7">
        <f t="shared" si="20"/>
        <v>1.2041237804095055</v>
      </c>
      <c r="G38" s="3"/>
      <c r="H38" s="8">
        <v>23693.591298076899</v>
      </c>
      <c r="I38" s="3"/>
      <c r="J38" s="7">
        <f t="shared" si="21"/>
        <v>2.7825709099326952</v>
      </c>
      <c r="K38" s="3"/>
      <c r="L38" s="8">
        <f t="shared" si="22"/>
        <v>30.428701923101471</v>
      </c>
      <c r="M38" s="3"/>
      <c r="N38" s="7">
        <f t="shared" si="23"/>
        <v>1.2842587491399512E-3</v>
      </c>
      <c r="O38" s="11"/>
      <c r="P38" s="8">
        <v>23724.02</v>
      </c>
      <c r="Q38" s="3"/>
      <c r="R38" s="7">
        <f t="shared" si="24"/>
        <v>1.2041237804095055</v>
      </c>
      <c r="S38" s="3"/>
      <c r="T38" s="8">
        <v>23693.591298076899</v>
      </c>
      <c r="U38" s="3"/>
      <c r="V38" s="7">
        <f t="shared" si="25"/>
        <v>2.7825709099326952</v>
      </c>
      <c r="W38" s="3"/>
      <c r="X38" s="8">
        <f t="shared" si="26"/>
        <v>30.428701923101471</v>
      </c>
      <c r="Y38" s="3"/>
      <c r="Z38" s="7">
        <f t="shared" si="27"/>
        <v>1.2842587491399512E-3</v>
      </c>
    </row>
    <row r="39" spans="1:26" s="24" customFormat="1" hidden="1" outlineLevel="2" x14ac:dyDescent="0.3">
      <c r="A39" s="29"/>
      <c r="B39" s="11" t="str">
        <f>CONCATENATE("          ", "6003", " - ", "STAFF HOURLY-9 MONTH")</f>
        <v xml:space="preserve">          6003 - STAFF HOURLY-9 MONTH</v>
      </c>
      <c r="C39" s="11"/>
      <c r="D39" s="8"/>
      <c r="E39" s="3"/>
      <c r="F39" s="7">
        <f t="shared" si="20"/>
        <v>0</v>
      </c>
      <c r="G39" s="3"/>
      <c r="H39" s="8">
        <v>0</v>
      </c>
      <c r="I39" s="3"/>
      <c r="J39" s="7">
        <f t="shared" si="21"/>
        <v>0</v>
      </c>
      <c r="K39" s="3"/>
      <c r="L39" s="8">
        <f t="shared" si="22"/>
        <v>0</v>
      </c>
      <c r="M39" s="3"/>
      <c r="N39" s="7">
        <f t="shared" si="23"/>
        <v>0</v>
      </c>
      <c r="O39" s="11"/>
      <c r="P39" s="8"/>
      <c r="Q39" s="3"/>
      <c r="R39" s="7">
        <f t="shared" si="24"/>
        <v>0</v>
      </c>
      <c r="S39" s="3"/>
      <c r="T39" s="8">
        <v>0</v>
      </c>
      <c r="U39" s="3"/>
      <c r="V39" s="7">
        <f t="shared" si="25"/>
        <v>0</v>
      </c>
      <c r="W39" s="3"/>
      <c r="X39" s="8">
        <f t="shared" si="26"/>
        <v>0</v>
      </c>
      <c r="Y39" s="3"/>
      <c r="Z39" s="7">
        <f t="shared" si="27"/>
        <v>0</v>
      </c>
    </row>
    <row r="40" spans="1:26" s="24" customFormat="1" hidden="1" outlineLevel="2" x14ac:dyDescent="0.3">
      <c r="A40" s="29"/>
      <c r="B40" s="11" t="str">
        <f>CONCATENATE("          ", "6004", " - ", "STAFF HOURLY")</f>
        <v xml:space="preserve">          6004 - STAFF HOURLY</v>
      </c>
      <c r="C40" s="11"/>
      <c r="D40" s="8">
        <v>7726.26</v>
      </c>
      <c r="E40" s="3"/>
      <c r="F40" s="7">
        <f t="shared" si="20"/>
        <v>0.39214995602038549</v>
      </c>
      <c r="G40" s="3"/>
      <c r="H40" s="8">
        <v>14544.204</v>
      </c>
      <c r="I40" s="3"/>
      <c r="J40" s="7">
        <f t="shared" si="21"/>
        <v>1.7080685848502641</v>
      </c>
      <c r="K40" s="3"/>
      <c r="L40" s="8">
        <f t="shared" si="22"/>
        <v>-6817.9439999999995</v>
      </c>
      <c r="M40" s="3"/>
      <c r="N40" s="7">
        <f t="shared" si="23"/>
        <v>-0.46877395284059542</v>
      </c>
      <c r="O40" s="11"/>
      <c r="P40" s="8">
        <v>7726.26</v>
      </c>
      <c r="Q40" s="3"/>
      <c r="R40" s="7">
        <f t="shared" si="24"/>
        <v>0.39214995602038549</v>
      </c>
      <c r="S40" s="3"/>
      <c r="T40" s="8">
        <v>14544.204</v>
      </c>
      <c r="U40" s="3"/>
      <c r="V40" s="7">
        <f t="shared" si="25"/>
        <v>1.7080685848502641</v>
      </c>
      <c r="W40" s="3"/>
      <c r="X40" s="8">
        <f t="shared" si="26"/>
        <v>-6817.9439999999995</v>
      </c>
      <c r="Y40" s="3"/>
      <c r="Z40" s="7">
        <f t="shared" si="27"/>
        <v>-0.46877395284059542</v>
      </c>
    </row>
    <row r="41" spans="1:26" s="24" customFormat="1" hidden="1" outlineLevel="2" x14ac:dyDescent="0.3">
      <c r="A41" s="29"/>
      <c r="B41" s="11" t="str">
        <f>CONCATENATE("          ", "6005", " - ", "TEMPORARY WAGES-HOURLY")</f>
        <v xml:space="preserve">          6005 - TEMPORARY WAGES-HOURLY</v>
      </c>
      <c r="C41" s="11"/>
      <c r="D41" s="8">
        <v>3353.39</v>
      </c>
      <c r="E41" s="3"/>
      <c r="F41" s="7">
        <f t="shared" si="20"/>
        <v>0.17020288483939194</v>
      </c>
      <c r="G41" s="3"/>
      <c r="H41" s="8">
        <v>448.14</v>
      </c>
      <c r="I41" s="3"/>
      <c r="J41" s="7">
        <f t="shared" si="21"/>
        <v>5.2629477392836167E-2</v>
      </c>
      <c r="K41" s="3"/>
      <c r="L41" s="8">
        <f t="shared" si="22"/>
        <v>2905.25</v>
      </c>
      <c r="M41" s="3"/>
      <c r="N41" s="7">
        <f t="shared" si="23"/>
        <v>6.4829071272370244</v>
      </c>
      <c r="O41" s="11"/>
      <c r="P41" s="8">
        <v>3353.39</v>
      </c>
      <c r="Q41" s="3"/>
      <c r="R41" s="7">
        <f t="shared" si="24"/>
        <v>0.17020288483939194</v>
      </c>
      <c r="S41" s="3"/>
      <c r="T41" s="8">
        <v>448.14</v>
      </c>
      <c r="U41" s="3"/>
      <c r="V41" s="7">
        <f t="shared" si="25"/>
        <v>5.2629477392836167E-2</v>
      </c>
      <c r="W41" s="3"/>
      <c r="X41" s="8">
        <f t="shared" si="26"/>
        <v>2905.25</v>
      </c>
      <c r="Y41" s="3"/>
      <c r="Z41" s="7">
        <f t="shared" si="27"/>
        <v>6.4829071272370244</v>
      </c>
    </row>
    <row r="42" spans="1:26" s="24" customFormat="1" hidden="1" outlineLevel="2" x14ac:dyDescent="0.3">
      <c r="A42" s="29"/>
      <c r="B42" s="11" t="str">
        <f>CONCATENATE("          ", "6006", " - ", "TEMPORARY PART TIME")</f>
        <v xml:space="preserve">          6006 - TEMPORARY PART TIME</v>
      </c>
      <c r="C42" s="11"/>
      <c r="D42" s="8"/>
      <c r="E42" s="3"/>
      <c r="F42" s="7">
        <f t="shared" si="20"/>
        <v>0</v>
      </c>
      <c r="G42" s="3"/>
      <c r="H42" s="8">
        <v>0</v>
      </c>
      <c r="I42" s="3"/>
      <c r="J42" s="7">
        <f t="shared" si="21"/>
        <v>0</v>
      </c>
      <c r="K42" s="3"/>
      <c r="L42" s="8">
        <f t="shared" si="22"/>
        <v>0</v>
      </c>
      <c r="M42" s="3"/>
      <c r="N42" s="7">
        <f t="shared" si="23"/>
        <v>0</v>
      </c>
      <c r="O42" s="11"/>
      <c r="P42" s="8"/>
      <c r="Q42" s="3"/>
      <c r="R42" s="7">
        <f t="shared" si="24"/>
        <v>0</v>
      </c>
      <c r="S42" s="3"/>
      <c r="T42" s="8">
        <v>0</v>
      </c>
      <c r="U42" s="3"/>
      <c r="V42" s="7">
        <f t="shared" si="25"/>
        <v>0</v>
      </c>
      <c r="W42" s="3"/>
      <c r="X42" s="8">
        <f t="shared" si="26"/>
        <v>0</v>
      </c>
      <c r="Y42" s="3"/>
      <c r="Z42" s="7">
        <f t="shared" si="27"/>
        <v>0</v>
      </c>
    </row>
    <row r="43" spans="1:26" s="24" customFormat="1" hidden="1" outlineLevel="2" x14ac:dyDescent="0.3">
      <c r="A43" s="29"/>
      <c r="B43" s="11" t="str">
        <f>CONCATENATE("          ", "6007", " - ", "STUDENT HOURLY")</f>
        <v xml:space="preserve">          6007 - STUDENT HOURLY</v>
      </c>
      <c r="C43" s="11"/>
      <c r="D43" s="8">
        <v>3963</v>
      </c>
      <c r="E43" s="3"/>
      <c r="F43" s="7">
        <f t="shared" si="20"/>
        <v>0.20114392677812909</v>
      </c>
      <c r="G43" s="3"/>
      <c r="H43" s="8">
        <v>0</v>
      </c>
      <c r="I43" s="3"/>
      <c r="J43" s="7">
        <f t="shared" si="21"/>
        <v>0</v>
      </c>
      <c r="K43" s="3"/>
      <c r="L43" s="8">
        <f t="shared" si="22"/>
        <v>3963</v>
      </c>
      <c r="M43" s="3"/>
      <c r="N43" s="7">
        <f t="shared" si="23"/>
        <v>0</v>
      </c>
      <c r="O43" s="11"/>
      <c r="P43" s="8">
        <v>3963</v>
      </c>
      <c r="Q43" s="3"/>
      <c r="R43" s="7">
        <f t="shared" si="24"/>
        <v>0.20114392677812909</v>
      </c>
      <c r="S43" s="3"/>
      <c r="T43" s="8">
        <v>0</v>
      </c>
      <c r="U43" s="3"/>
      <c r="V43" s="7">
        <f t="shared" si="25"/>
        <v>0</v>
      </c>
      <c r="W43" s="3"/>
      <c r="X43" s="8">
        <f t="shared" si="26"/>
        <v>3963</v>
      </c>
      <c r="Y43" s="3"/>
      <c r="Z43" s="7">
        <f t="shared" si="27"/>
        <v>0</v>
      </c>
    </row>
    <row r="44" spans="1:26" s="24" customFormat="1" hidden="1" outlineLevel="2" x14ac:dyDescent="0.3">
      <c r="A44" s="29"/>
      <c r="B44" s="11" t="str">
        <f>CONCATENATE("          ", "6008", " - ", "STUDENT HOURLY-FICA EXEMPT")</f>
        <v xml:space="preserve">          6008 - STUDENT HOURLY-FICA EXEMPT</v>
      </c>
      <c r="C44" s="11"/>
      <c r="D44" s="8"/>
      <c r="E44" s="3"/>
      <c r="F44" s="7">
        <f t="shared" si="20"/>
        <v>0</v>
      </c>
      <c r="G44" s="3"/>
      <c r="H44" s="8">
        <v>0</v>
      </c>
      <c r="I44" s="3"/>
      <c r="J44" s="7">
        <f t="shared" si="21"/>
        <v>0</v>
      </c>
      <c r="K44" s="3"/>
      <c r="L44" s="8">
        <f t="shared" si="22"/>
        <v>0</v>
      </c>
      <c r="M44" s="3"/>
      <c r="N44" s="7">
        <f t="shared" si="23"/>
        <v>0</v>
      </c>
      <c r="O44" s="11"/>
      <c r="P44" s="8"/>
      <c r="Q44" s="3"/>
      <c r="R44" s="7">
        <f t="shared" si="24"/>
        <v>0</v>
      </c>
      <c r="S44" s="3"/>
      <c r="T44" s="8">
        <v>0</v>
      </c>
      <c r="U44" s="3"/>
      <c r="V44" s="7">
        <f t="shared" si="25"/>
        <v>0</v>
      </c>
      <c r="W44" s="3"/>
      <c r="X44" s="8">
        <f t="shared" si="26"/>
        <v>0</v>
      </c>
      <c r="Y44" s="3"/>
      <c r="Z44" s="7">
        <f t="shared" si="27"/>
        <v>0</v>
      </c>
    </row>
    <row r="45" spans="1:26" s="24" customFormat="1" hidden="1" outlineLevel="2" x14ac:dyDescent="0.3">
      <c r="A45" s="29"/>
      <c r="B45" s="11" t="str">
        <f>CONCATENATE("          ", "6009", " - ", "TEMPORARY-SEASONAL")</f>
        <v xml:space="preserve">          6009 - TEMPORARY-SEASONAL</v>
      </c>
      <c r="C45" s="11"/>
      <c r="D45" s="8"/>
      <c r="E45" s="3"/>
      <c r="F45" s="7">
        <f t="shared" si="20"/>
        <v>0</v>
      </c>
      <c r="G45" s="3"/>
      <c r="H45" s="8">
        <v>0</v>
      </c>
      <c r="I45" s="3"/>
      <c r="J45" s="7">
        <f t="shared" si="21"/>
        <v>0</v>
      </c>
      <c r="K45" s="3"/>
      <c r="L45" s="8">
        <f t="shared" si="22"/>
        <v>0</v>
      </c>
      <c r="M45" s="3"/>
      <c r="N45" s="7">
        <f t="shared" si="23"/>
        <v>0</v>
      </c>
      <c r="O45" s="11"/>
      <c r="P45" s="8"/>
      <c r="Q45" s="3"/>
      <c r="R45" s="7">
        <f t="shared" si="24"/>
        <v>0</v>
      </c>
      <c r="S45" s="3"/>
      <c r="T45" s="8">
        <v>0</v>
      </c>
      <c r="U45" s="3"/>
      <c r="V45" s="7">
        <f t="shared" si="25"/>
        <v>0</v>
      </c>
      <c r="W45" s="3"/>
      <c r="X45" s="8">
        <f t="shared" si="26"/>
        <v>0</v>
      </c>
      <c r="Y45" s="3"/>
      <c r="Z45" s="7">
        <f t="shared" si="27"/>
        <v>0</v>
      </c>
    </row>
    <row r="46" spans="1:26" s="24" customFormat="1" hidden="1" outlineLevel="2" x14ac:dyDescent="0.3">
      <c r="A46" s="29"/>
      <c r="B46" s="11" t="str">
        <f>CONCATENATE("          ", "6010", " - ", "GRATUITY")</f>
        <v xml:space="preserve">          6010 - GRATUITY</v>
      </c>
      <c r="C46" s="11"/>
      <c r="D46" s="8"/>
      <c r="E46" s="3"/>
      <c r="F46" s="7">
        <f t="shared" si="20"/>
        <v>0</v>
      </c>
      <c r="G46" s="3"/>
      <c r="H46" s="8">
        <v>0</v>
      </c>
      <c r="I46" s="3"/>
      <c r="J46" s="7">
        <f t="shared" si="21"/>
        <v>0</v>
      </c>
      <c r="K46" s="3"/>
      <c r="L46" s="8">
        <f t="shared" si="22"/>
        <v>0</v>
      </c>
      <c r="M46" s="3"/>
      <c r="N46" s="7">
        <f t="shared" si="23"/>
        <v>0</v>
      </c>
      <c r="O46" s="11"/>
      <c r="P46" s="8"/>
      <c r="Q46" s="3"/>
      <c r="R46" s="7">
        <f t="shared" si="24"/>
        <v>0</v>
      </c>
      <c r="S46" s="3"/>
      <c r="T46" s="8">
        <v>0</v>
      </c>
      <c r="U46" s="3"/>
      <c r="V46" s="7">
        <f t="shared" si="25"/>
        <v>0</v>
      </c>
      <c r="W46" s="3"/>
      <c r="X46" s="8">
        <f t="shared" si="26"/>
        <v>0</v>
      </c>
      <c r="Y46" s="3"/>
      <c r="Z46" s="7">
        <f t="shared" si="27"/>
        <v>0</v>
      </c>
    </row>
    <row r="47" spans="1:26" s="27" customFormat="1" outlineLevel="1" collapsed="1" x14ac:dyDescent="0.3">
      <c r="A47" s="28"/>
      <c r="B47" s="14" t="str">
        <f>CONCATENATE("     ","Advertising/Promo                                 ")</f>
        <v xml:space="preserve">     Advertising/Promo                                 </v>
      </c>
      <c r="C47" s="14"/>
      <c r="D47" s="1">
        <f>SUM(OSRRefD22_2x_0)</f>
        <v>424.79</v>
      </c>
      <c r="E47" s="1"/>
      <c r="F47" s="5">
        <f t="shared" ref="F47:F55" si="28">IF(D$12=0,0,D47/D$12)</f>
        <v>2.1560416012132592E-2</v>
      </c>
      <c r="G47" s="1"/>
      <c r="H47" s="1">
        <f>SUM(OSRRefH22_2x_0)</f>
        <v>0</v>
      </c>
      <c r="I47" s="1"/>
      <c r="J47" s="5">
        <f t="shared" ref="J47:J55" si="29">IF(H$12=0,0,H47/H$12)</f>
        <v>0</v>
      </c>
      <c r="K47" s="1"/>
      <c r="L47" s="1">
        <f t="shared" ref="L47:L55" si="30">+D47-H47</f>
        <v>424.79</v>
      </c>
      <c r="M47" s="1"/>
      <c r="N47" s="5">
        <f t="shared" ref="N47:N55" si="31">IF(H47=0,0,L47/H47)</f>
        <v>0</v>
      </c>
      <c r="O47" s="14"/>
      <c r="P47" s="1">
        <f>SUM(OSRRefP22_2x_0)</f>
        <v>424.79</v>
      </c>
      <c r="Q47" s="1"/>
      <c r="R47" s="5">
        <f t="shared" ref="R47:R55" si="32">IF(P$12=0,0,P47/P$12)</f>
        <v>2.1560416012132592E-2</v>
      </c>
      <c r="S47" s="1"/>
      <c r="T47" s="1">
        <f>SUM(OSRRefT22_2x_0)</f>
        <v>0</v>
      </c>
      <c r="U47" s="1"/>
      <c r="V47" s="5">
        <f t="shared" ref="V47:V55" si="33">IF(T$12=0,0,T47/T$12)</f>
        <v>0</v>
      </c>
      <c r="W47" s="1"/>
      <c r="X47" s="1">
        <f t="shared" ref="X47:X55" si="34">+P47-T47</f>
        <v>424.79</v>
      </c>
      <c r="Y47" s="1"/>
      <c r="Z47" s="5">
        <f t="shared" ref="Z47:Z55" si="35">IF(T47=0,0,X47/T47)</f>
        <v>0</v>
      </c>
    </row>
    <row r="48" spans="1:26" s="24" customFormat="1" hidden="1" outlineLevel="2" x14ac:dyDescent="0.3">
      <c r="A48" s="29"/>
      <c r="B48" s="11" t="str">
        <f>CONCATENATE("          ", "6362", " - ", "ADVERTISING EXPENSE")</f>
        <v xml:space="preserve">          6362 - ADVERTISING EXPENSE</v>
      </c>
      <c r="C48" s="11"/>
      <c r="D48" s="8">
        <v>424.79</v>
      </c>
      <c r="E48" s="3"/>
      <c r="F48" s="7">
        <f t="shared" si="28"/>
        <v>2.1560416012132592E-2</v>
      </c>
      <c r="G48" s="3"/>
      <c r="H48" s="8"/>
      <c r="I48" s="3"/>
      <c r="J48" s="7">
        <f t="shared" si="29"/>
        <v>0</v>
      </c>
      <c r="K48" s="3"/>
      <c r="L48" s="8">
        <f t="shared" si="30"/>
        <v>424.79</v>
      </c>
      <c r="M48" s="3"/>
      <c r="N48" s="7">
        <f t="shared" si="31"/>
        <v>0</v>
      </c>
      <c r="O48" s="11"/>
      <c r="P48" s="8">
        <v>424.79</v>
      </c>
      <c r="Q48" s="3"/>
      <c r="R48" s="7">
        <f t="shared" si="32"/>
        <v>2.1560416012132592E-2</v>
      </c>
      <c r="S48" s="3"/>
      <c r="T48" s="8"/>
      <c r="U48" s="3"/>
      <c r="V48" s="7">
        <f t="shared" si="33"/>
        <v>0</v>
      </c>
      <c r="W48" s="3"/>
      <c r="X48" s="8">
        <f t="shared" si="34"/>
        <v>424.79</v>
      </c>
      <c r="Y48" s="3"/>
      <c r="Z48" s="7">
        <f t="shared" si="35"/>
        <v>0</v>
      </c>
    </row>
    <row r="49" spans="1:26" s="27" customFormat="1" outlineLevel="1" collapsed="1" x14ac:dyDescent="0.3">
      <c r="A49" s="28"/>
      <c r="B49" s="14" t="str">
        <f>CONCATENATE("     ","Bad Debts/Over/Short                              ")</f>
        <v xml:space="preserve">     Bad Debts/Over/Short                              </v>
      </c>
      <c r="C49" s="14"/>
      <c r="D49" s="1">
        <f>SUM(OSRRefD22_3x_0)</f>
        <v>-19.02</v>
      </c>
      <c r="E49" s="1"/>
      <c r="F49" s="5">
        <f t="shared" si="28"/>
        <v>-9.6536903540752337E-4</v>
      </c>
      <c r="G49" s="1"/>
      <c r="H49" s="1">
        <f>SUM(OSRRefH22_3x_0)</f>
        <v>10</v>
      </c>
      <c r="I49" s="1"/>
      <c r="J49" s="5">
        <f t="shared" si="29"/>
        <v>1.1743981209630064E-3</v>
      </c>
      <c r="K49" s="1"/>
      <c r="L49" s="1">
        <f t="shared" si="30"/>
        <v>-29.02</v>
      </c>
      <c r="M49" s="1"/>
      <c r="N49" s="5">
        <f t="shared" si="31"/>
        <v>-2.9020000000000001</v>
      </c>
      <c r="O49" s="14"/>
      <c r="P49" s="1">
        <f>SUM(OSRRefP22_3x_0)</f>
        <v>-19.02</v>
      </c>
      <c r="Q49" s="1"/>
      <c r="R49" s="5">
        <f t="shared" si="32"/>
        <v>-9.6536903540752337E-4</v>
      </c>
      <c r="S49" s="1"/>
      <c r="T49" s="1">
        <f>SUM(OSRRefT22_3x_0)</f>
        <v>10</v>
      </c>
      <c r="U49" s="1"/>
      <c r="V49" s="5">
        <f t="shared" si="33"/>
        <v>1.1743981209630064E-3</v>
      </c>
      <c r="W49" s="1"/>
      <c r="X49" s="1">
        <f t="shared" si="34"/>
        <v>-29.02</v>
      </c>
      <c r="Y49" s="1"/>
      <c r="Z49" s="5">
        <f t="shared" si="35"/>
        <v>-2.9020000000000001</v>
      </c>
    </row>
    <row r="50" spans="1:26" s="24" customFormat="1" hidden="1" outlineLevel="2" x14ac:dyDescent="0.3">
      <c r="A50" s="29"/>
      <c r="B50" s="11" t="str">
        <f>CONCATENATE("          ", "6272", " - ", "CASH (OVER/SHORT)")</f>
        <v xml:space="preserve">          6272 - CASH (OVER/SHORT)</v>
      </c>
      <c r="C50" s="11"/>
      <c r="D50" s="8">
        <v>-19.02</v>
      </c>
      <c r="E50" s="3"/>
      <c r="F50" s="7">
        <f t="shared" si="28"/>
        <v>-9.6536903540752337E-4</v>
      </c>
      <c r="G50" s="3"/>
      <c r="H50" s="8">
        <v>10</v>
      </c>
      <c r="I50" s="3"/>
      <c r="J50" s="7">
        <f t="shared" si="29"/>
        <v>1.1743981209630064E-3</v>
      </c>
      <c r="K50" s="3"/>
      <c r="L50" s="8">
        <f t="shared" si="30"/>
        <v>-29.02</v>
      </c>
      <c r="M50" s="3"/>
      <c r="N50" s="7">
        <f t="shared" si="31"/>
        <v>-2.9020000000000001</v>
      </c>
      <c r="O50" s="11"/>
      <c r="P50" s="8">
        <v>-19.02</v>
      </c>
      <c r="Q50" s="3"/>
      <c r="R50" s="7">
        <f t="shared" si="32"/>
        <v>-9.6536903540752337E-4</v>
      </c>
      <c r="S50" s="3"/>
      <c r="T50" s="8">
        <v>10</v>
      </c>
      <c r="U50" s="3"/>
      <c r="V50" s="7">
        <f t="shared" si="33"/>
        <v>1.1743981209630064E-3</v>
      </c>
      <c r="W50" s="3"/>
      <c r="X50" s="8">
        <f t="shared" si="34"/>
        <v>-29.02</v>
      </c>
      <c r="Y50" s="3"/>
      <c r="Z50" s="7">
        <f t="shared" si="35"/>
        <v>-2.9020000000000001</v>
      </c>
    </row>
    <row r="51" spans="1:26" s="27" customFormat="1" outlineLevel="1" collapsed="1" x14ac:dyDescent="0.3">
      <c r="A51" s="28"/>
      <c r="B51" s="14" t="str">
        <f>CONCATENATE("     ","Bank/card Fees                                    ")</f>
        <v xml:space="preserve">     Bank/card Fees                                    </v>
      </c>
      <c r="C51" s="14"/>
      <c r="D51" s="1">
        <f>SUM(OSRRefD22_4x_0)</f>
        <v>1008.71</v>
      </c>
      <c r="E51" s="1"/>
      <c r="F51" s="5">
        <f t="shared" si="28"/>
        <v>5.1197549931962301E-2</v>
      </c>
      <c r="G51" s="1"/>
      <c r="H51" s="1">
        <f>SUM(OSRRefH22_4x_0)</f>
        <v>1240</v>
      </c>
      <c r="I51" s="1"/>
      <c r="J51" s="5">
        <f t="shared" si="29"/>
        <v>0.14562536699941281</v>
      </c>
      <c r="K51" s="1"/>
      <c r="L51" s="1">
        <f t="shared" si="30"/>
        <v>-231.28999999999996</v>
      </c>
      <c r="M51" s="1"/>
      <c r="N51" s="5">
        <f t="shared" si="31"/>
        <v>-0.18652419354838706</v>
      </c>
      <c r="O51" s="14"/>
      <c r="P51" s="1">
        <f>SUM(OSRRefP22_4x_0)</f>
        <v>1008.71</v>
      </c>
      <c r="Q51" s="1"/>
      <c r="R51" s="5">
        <f t="shared" si="32"/>
        <v>5.1197549931962301E-2</v>
      </c>
      <c r="S51" s="1"/>
      <c r="T51" s="1">
        <f>SUM(OSRRefT22_4x_0)</f>
        <v>1240</v>
      </c>
      <c r="U51" s="1"/>
      <c r="V51" s="5">
        <f t="shared" si="33"/>
        <v>0.14562536699941281</v>
      </c>
      <c r="W51" s="1"/>
      <c r="X51" s="1">
        <f t="shared" si="34"/>
        <v>-231.28999999999996</v>
      </c>
      <c r="Y51" s="1"/>
      <c r="Z51" s="5">
        <f t="shared" si="35"/>
        <v>-0.18652419354838706</v>
      </c>
    </row>
    <row r="52" spans="1:26" s="24" customFormat="1" hidden="1" outlineLevel="2" x14ac:dyDescent="0.3">
      <c r="A52" s="29"/>
      <c r="B52" s="11" t="str">
        <f>CONCATENATE("          ", "6381", " - ", "BANK/CREDIT CARD FEES")</f>
        <v xml:space="preserve">          6381 - BANK/CREDIT CARD FEES</v>
      </c>
      <c r="C52" s="11"/>
      <c r="D52" s="8">
        <v>1008.71</v>
      </c>
      <c r="E52" s="3"/>
      <c r="F52" s="7">
        <f t="shared" si="28"/>
        <v>5.1197549931962301E-2</v>
      </c>
      <c r="G52" s="3"/>
      <c r="H52" s="8">
        <v>1240</v>
      </c>
      <c r="I52" s="3"/>
      <c r="J52" s="7">
        <f t="shared" si="29"/>
        <v>0.14562536699941281</v>
      </c>
      <c r="K52" s="3"/>
      <c r="L52" s="8">
        <f t="shared" si="30"/>
        <v>-231.28999999999996</v>
      </c>
      <c r="M52" s="3"/>
      <c r="N52" s="7">
        <f t="shared" si="31"/>
        <v>-0.18652419354838706</v>
      </c>
      <c r="O52" s="11"/>
      <c r="P52" s="8">
        <v>1008.71</v>
      </c>
      <c r="Q52" s="3"/>
      <c r="R52" s="7">
        <f t="shared" si="32"/>
        <v>5.1197549931962301E-2</v>
      </c>
      <c r="S52" s="3"/>
      <c r="T52" s="8">
        <v>1240</v>
      </c>
      <c r="U52" s="3"/>
      <c r="V52" s="7">
        <f t="shared" si="33"/>
        <v>0.14562536699941281</v>
      </c>
      <c r="W52" s="3"/>
      <c r="X52" s="8">
        <f t="shared" si="34"/>
        <v>-231.28999999999996</v>
      </c>
      <c r="Y52" s="3"/>
      <c r="Z52" s="7">
        <f t="shared" si="35"/>
        <v>-0.18652419354838706</v>
      </c>
    </row>
    <row r="53" spans="1:26" s="27" customFormat="1" outlineLevel="1" collapsed="1" x14ac:dyDescent="0.3">
      <c r="A53" s="28"/>
      <c r="B53" s="14" t="str">
        <f>CONCATENATE("     ","Depreciation                                      ")</f>
        <v xml:space="preserve">     Depreciation                                      </v>
      </c>
      <c r="C53" s="14"/>
      <c r="D53" s="1">
        <f>SUM(OSRRefD22_5x_0)</f>
        <v>39961.65</v>
      </c>
      <c r="E53" s="1"/>
      <c r="F53" s="5">
        <f t="shared" si="28"/>
        <v>2.0282723193371743</v>
      </c>
      <c r="G53" s="1"/>
      <c r="H53" s="1">
        <f>SUM(OSRRefH22_5x_0)</f>
        <v>39961</v>
      </c>
      <c r="I53" s="1"/>
      <c r="J53" s="5">
        <f t="shared" si="29"/>
        <v>4.6930123311802703</v>
      </c>
      <c r="K53" s="1"/>
      <c r="L53" s="1">
        <f t="shared" si="30"/>
        <v>0.65000000000145519</v>
      </c>
      <c r="M53" s="1"/>
      <c r="N53" s="5">
        <f t="shared" si="31"/>
        <v>1.6265859212768829E-5</v>
      </c>
      <c r="O53" s="14"/>
      <c r="P53" s="1">
        <f>SUM(OSRRefP22_5x_0)</f>
        <v>39961.65</v>
      </c>
      <c r="Q53" s="1"/>
      <c r="R53" s="5">
        <f t="shared" si="32"/>
        <v>2.0282723193371743</v>
      </c>
      <c r="S53" s="1"/>
      <c r="T53" s="1">
        <f>SUM(OSRRefT22_5x_0)</f>
        <v>39961</v>
      </c>
      <c r="U53" s="1"/>
      <c r="V53" s="5">
        <f t="shared" si="33"/>
        <v>4.6930123311802703</v>
      </c>
      <c r="W53" s="1"/>
      <c r="X53" s="1">
        <f t="shared" si="34"/>
        <v>0.65000000000145519</v>
      </c>
      <c r="Y53" s="1"/>
      <c r="Z53" s="5">
        <f t="shared" si="35"/>
        <v>1.6265859212768829E-5</v>
      </c>
    </row>
    <row r="54" spans="1:26" s="24" customFormat="1" hidden="1" outlineLevel="2" x14ac:dyDescent="0.3">
      <c r="A54" s="29"/>
      <c r="B54" s="11" t="str">
        <f>CONCATENATE("          ", "6321", " - ", "BUILDING DEPRECIATION")</f>
        <v xml:space="preserve">          6321 - BUILDING DEPRECIATION</v>
      </c>
      <c r="C54" s="11"/>
      <c r="D54" s="8">
        <v>28663.98</v>
      </c>
      <c r="E54" s="3"/>
      <c r="F54" s="7">
        <f t="shared" si="28"/>
        <v>1.4548537709537614</v>
      </c>
      <c r="G54" s="3"/>
      <c r="H54" s="8"/>
      <c r="I54" s="3"/>
      <c r="J54" s="7">
        <f t="shared" si="29"/>
        <v>0</v>
      </c>
      <c r="K54" s="3"/>
      <c r="L54" s="8">
        <f t="shared" si="30"/>
        <v>28663.98</v>
      </c>
      <c r="M54" s="3"/>
      <c r="N54" s="7">
        <f t="shared" si="31"/>
        <v>0</v>
      </c>
      <c r="O54" s="11"/>
      <c r="P54" s="8">
        <v>28663.98</v>
      </c>
      <c r="Q54" s="3"/>
      <c r="R54" s="7">
        <f t="shared" si="32"/>
        <v>1.4548537709537614</v>
      </c>
      <c r="S54" s="3"/>
      <c r="T54" s="8"/>
      <c r="U54" s="3"/>
      <c r="V54" s="7">
        <f t="shared" si="33"/>
        <v>0</v>
      </c>
      <c r="W54" s="3"/>
      <c r="X54" s="8">
        <f t="shared" si="34"/>
        <v>28663.98</v>
      </c>
      <c r="Y54" s="3"/>
      <c r="Z54" s="7">
        <f t="shared" si="35"/>
        <v>0</v>
      </c>
    </row>
    <row r="55" spans="1:26" s="24" customFormat="1" hidden="1" outlineLevel="2" x14ac:dyDescent="0.3">
      <c r="A55" s="29"/>
      <c r="B55" s="11" t="str">
        <f>CONCATENATE("          ", "6322", " - ", "EQUIPMENT DEPRECIATION EXPENSE")</f>
        <v xml:space="preserve">          6322 - EQUIPMENT DEPRECIATION EXPENSE</v>
      </c>
      <c r="C55" s="11"/>
      <c r="D55" s="8">
        <v>11297.67</v>
      </c>
      <c r="E55" s="3"/>
      <c r="F55" s="7">
        <f t="shared" si="28"/>
        <v>0.573418548383413</v>
      </c>
      <c r="G55" s="3"/>
      <c r="H55" s="8">
        <v>39961</v>
      </c>
      <c r="I55" s="3"/>
      <c r="J55" s="7">
        <f t="shared" si="29"/>
        <v>4.6930123311802703</v>
      </c>
      <c r="K55" s="3"/>
      <c r="L55" s="8">
        <f t="shared" si="30"/>
        <v>-28663.33</v>
      </c>
      <c r="M55" s="3"/>
      <c r="N55" s="7">
        <f t="shared" si="31"/>
        <v>-0.71728260053552217</v>
      </c>
      <c r="O55" s="11"/>
      <c r="P55" s="8">
        <v>11297.67</v>
      </c>
      <c r="Q55" s="3"/>
      <c r="R55" s="7">
        <f t="shared" si="32"/>
        <v>0.573418548383413</v>
      </c>
      <c r="S55" s="3"/>
      <c r="T55" s="8">
        <v>39961</v>
      </c>
      <c r="U55" s="3"/>
      <c r="V55" s="7">
        <f t="shared" si="33"/>
        <v>4.6930123311802703</v>
      </c>
      <c r="W55" s="3"/>
      <c r="X55" s="8">
        <f t="shared" si="34"/>
        <v>-28663.33</v>
      </c>
      <c r="Y55" s="3"/>
      <c r="Z55" s="7">
        <f t="shared" si="35"/>
        <v>-0.71728260053552217</v>
      </c>
    </row>
    <row r="56" spans="1:26" s="27" customFormat="1" outlineLevel="1" collapsed="1" x14ac:dyDescent="0.3">
      <c r="A56" s="28"/>
      <c r="B56" s="14" t="str">
        <f>CONCATENATE("     ","Equipment Rental                                  ")</f>
        <v xml:space="preserve">     Equipment Rental                                  </v>
      </c>
      <c r="C56" s="14"/>
      <c r="D56" s="1">
        <f>SUM(OSRRefD22_6x_0)</f>
        <v>467.93</v>
      </c>
      <c r="E56" s="1"/>
      <c r="F56" s="5">
        <f t="shared" ref="F56:F68" si="36">IF(D$12=0,0,D56/D$12)</f>
        <v>2.3750006978877098E-2</v>
      </c>
      <c r="G56" s="1"/>
      <c r="H56" s="1">
        <f>SUM(OSRRefH22_6x_0)</f>
        <v>951</v>
      </c>
      <c r="I56" s="1"/>
      <c r="J56" s="5">
        <f t="shared" ref="J56:J68" si="37">IF(H$12=0,0,H56/H$12)</f>
        <v>0.11168526130358192</v>
      </c>
      <c r="K56" s="1"/>
      <c r="L56" s="1">
        <f t="shared" ref="L56:L68" si="38">+D56-H56</f>
        <v>-483.07</v>
      </c>
      <c r="M56" s="1"/>
      <c r="N56" s="5">
        <f t="shared" ref="N56:N68" si="39">IF(H56=0,0,L56/H56)</f>
        <v>-0.50796004206098844</v>
      </c>
      <c r="O56" s="14"/>
      <c r="P56" s="1">
        <f>SUM(OSRRefP22_6x_0)</f>
        <v>467.93</v>
      </c>
      <c r="Q56" s="1"/>
      <c r="R56" s="5">
        <f t="shared" ref="R56:R68" si="40">IF(P$12=0,0,P56/P$12)</f>
        <v>2.3750006978877098E-2</v>
      </c>
      <c r="S56" s="1"/>
      <c r="T56" s="1">
        <f>SUM(OSRRefT22_6x_0)</f>
        <v>951</v>
      </c>
      <c r="U56" s="1"/>
      <c r="V56" s="5">
        <f t="shared" ref="V56:V68" si="41">IF(T$12=0,0,T56/T$12)</f>
        <v>0.11168526130358192</v>
      </c>
      <c r="W56" s="1"/>
      <c r="X56" s="1">
        <f t="shared" ref="X56:X68" si="42">+P56-T56</f>
        <v>-483.07</v>
      </c>
      <c r="Y56" s="1"/>
      <c r="Z56" s="5">
        <f t="shared" ref="Z56:Z68" si="43">IF(T56=0,0,X56/T56)</f>
        <v>-0.50796004206098844</v>
      </c>
    </row>
    <row r="57" spans="1:26" s="24" customFormat="1" hidden="1" outlineLevel="2" x14ac:dyDescent="0.3">
      <c r="A57" s="29"/>
      <c r="B57" s="11" t="str">
        <f>CONCATENATE("          ", "6351", " - ", "EQUIPMENT RENTAL")</f>
        <v xml:space="preserve">          6351 - EQUIPMENT RENTAL</v>
      </c>
      <c r="C57" s="11"/>
      <c r="D57" s="8">
        <v>467.93</v>
      </c>
      <c r="E57" s="3"/>
      <c r="F57" s="7">
        <f t="shared" si="36"/>
        <v>2.3750006978877098E-2</v>
      </c>
      <c r="G57" s="3"/>
      <c r="H57" s="8">
        <v>951</v>
      </c>
      <c r="I57" s="3"/>
      <c r="J57" s="7">
        <f t="shared" si="37"/>
        <v>0.11168526130358192</v>
      </c>
      <c r="K57" s="3"/>
      <c r="L57" s="8">
        <f t="shared" si="38"/>
        <v>-483.07</v>
      </c>
      <c r="M57" s="3"/>
      <c r="N57" s="7">
        <f t="shared" si="39"/>
        <v>-0.50796004206098844</v>
      </c>
      <c r="O57" s="11"/>
      <c r="P57" s="8">
        <v>467.93</v>
      </c>
      <c r="Q57" s="3"/>
      <c r="R57" s="7">
        <f t="shared" si="40"/>
        <v>2.3750006978877098E-2</v>
      </c>
      <c r="S57" s="3"/>
      <c r="T57" s="8">
        <v>951</v>
      </c>
      <c r="U57" s="3"/>
      <c r="V57" s="7">
        <f t="shared" si="41"/>
        <v>0.11168526130358192</v>
      </c>
      <c r="W57" s="3"/>
      <c r="X57" s="8">
        <f t="shared" si="42"/>
        <v>-483.07</v>
      </c>
      <c r="Y57" s="3"/>
      <c r="Z57" s="7">
        <f t="shared" si="43"/>
        <v>-0.50796004206098844</v>
      </c>
    </row>
    <row r="58" spans="1:26" s="27" customFormat="1" outlineLevel="1" collapsed="1" x14ac:dyDescent="0.3">
      <c r="A58" s="28"/>
      <c r="B58" s="14" t="str">
        <f>CONCATENATE("     ","General                                           ")</f>
        <v xml:space="preserve">     General                                           </v>
      </c>
      <c r="C58" s="14"/>
      <c r="D58" s="1">
        <f>SUM(OSRRefD22_7x_0)</f>
        <v>165.28</v>
      </c>
      <c r="E58" s="1"/>
      <c r="F58" s="5">
        <f t="shared" si="36"/>
        <v>8.3888640469061762E-3</v>
      </c>
      <c r="G58" s="1"/>
      <c r="H58" s="1">
        <f>SUM(OSRRefH22_7x_0)</f>
        <v>3235</v>
      </c>
      <c r="I58" s="1"/>
      <c r="J58" s="5">
        <f t="shared" si="37"/>
        <v>0.37991779213153259</v>
      </c>
      <c r="K58" s="1"/>
      <c r="L58" s="1">
        <f t="shared" si="38"/>
        <v>-3069.72</v>
      </c>
      <c r="M58" s="1"/>
      <c r="N58" s="5">
        <f t="shared" si="39"/>
        <v>-0.94890880989180826</v>
      </c>
      <c r="O58" s="14"/>
      <c r="P58" s="1">
        <f>SUM(OSRRefP22_7x_0)</f>
        <v>165.28</v>
      </c>
      <c r="Q58" s="1"/>
      <c r="R58" s="5">
        <f t="shared" si="40"/>
        <v>8.3888640469061762E-3</v>
      </c>
      <c r="S58" s="1"/>
      <c r="T58" s="1">
        <f>SUM(OSRRefT22_7x_0)</f>
        <v>3235</v>
      </c>
      <c r="U58" s="1"/>
      <c r="V58" s="5">
        <f t="shared" si="41"/>
        <v>0.37991779213153259</v>
      </c>
      <c r="W58" s="1"/>
      <c r="X58" s="1">
        <f t="shared" si="42"/>
        <v>-3069.72</v>
      </c>
      <c r="Y58" s="1"/>
      <c r="Z58" s="5">
        <f t="shared" si="43"/>
        <v>-0.94890880989180826</v>
      </c>
    </row>
    <row r="59" spans="1:26" s="24" customFormat="1" hidden="1" outlineLevel="2" x14ac:dyDescent="0.3">
      <c r="A59" s="29"/>
      <c r="B59" s="11" t="str">
        <f>CONCATENATE("          ", "6279", " - ", "GENERAL EXPENSE")</f>
        <v xml:space="preserve">          6279 - GENERAL EXPENSE</v>
      </c>
      <c r="C59" s="11"/>
      <c r="D59" s="8">
        <v>165.28</v>
      </c>
      <c r="E59" s="3"/>
      <c r="F59" s="7">
        <f t="shared" si="36"/>
        <v>8.3888640469061762E-3</v>
      </c>
      <c r="G59" s="3"/>
      <c r="H59" s="8">
        <v>3235</v>
      </c>
      <c r="I59" s="3"/>
      <c r="J59" s="7">
        <f t="shared" si="37"/>
        <v>0.37991779213153259</v>
      </c>
      <c r="K59" s="3"/>
      <c r="L59" s="8">
        <f t="shared" si="38"/>
        <v>-3069.72</v>
      </c>
      <c r="M59" s="3"/>
      <c r="N59" s="7">
        <f t="shared" si="39"/>
        <v>-0.94890880989180826</v>
      </c>
      <c r="O59" s="11"/>
      <c r="P59" s="8">
        <v>165.28</v>
      </c>
      <c r="Q59" s="3"/>
      <c r="R59" s="7">
        <f t="shared" si="40"/>
        <v>8.3888640469061762E-3</v>
      </c>
      <c r="S59" s="3"/>
      <c r="T59" s="8">
        <v>3235</v>
      </c>
      <c r="U59" s="3"/>
      <c r="V59" s="7">
        <f t="shared" si="41"/>
        <v>0.37991779213153259</v>
      </c>
      <c r="W59" s="3"/>
      <c r="X59" s="8">
        <f t="shared" si="42"/>
        <v>-3069.72</v>
      </c>
      <c r="Y59" s="3"/>
      <c r="Z59" s="7">
        <f t="shared" si="43"/>
        <v>-0.94890880989180826</v>
      </c>
    </row>
    <row r="60" spans="1:26" s="27" customFormat="1" outlineLevel="1" collapsed="1" x14ac:dyDescent="0.3">
      <c r="A60" s="28"/>
      <c r="B60" s="14" t="str">
        <f>CONCATENATE("     ","Insurance                                         ")</f>
        <v xml:space="preserve">     Insurance                                         </v>
      </c>
      <c r="C60" s="14"/>
      <c r="D60" s="1">
        <f>SUM(OSRRefD22_8x_0)</f>
        <v>6087.22</v>
      </c>
      <c r="E60" s="1"/>
      <c r="F60" s="5">
        <f t="shared" si="36"/>
        <v>0.30895971081563539</v>
      </c>
      <c r="G60" s="1"/>
      <c r="H60" s="1">
        <f>SUM(OSRRefH22_8x_0)</f>
        <v>6000</v>
      </c>
      <c r="I60" s="1"/>
      <c r="J60" s="5">
        <f t="shared" si="37"/>
        <v>0.70463887257780389</v>
      </c>
      <c r="K60" s="1"/>
      <c r="L60" s="1">
        <f t="shared" si="38"/>
        <v>87.220000000000255</v>
      </c>
      <c r="M60" s="1"/>
      <c r="N60" s="5">
        <f t="shared" si="39"/>
        <v>1.453666666666671E-2</v>
      </c>
      <c r="O60" s="14"/>
      <c r="P60" s="1">
        <f>SUM(OSRRefP22_8x_0)</f>
        <v>6087.22</v>
      </c>
      <c r="Q60" s="1"/>
      <c r="R60" s="5">
        <f t="shared" si="40"/>
        <v>0.30895971081563539</v>
      </c>
      <c r="S60" s="1"/>
      <c r="T60" s="1">
        <f>SUM(OSRRefT22_8x_0)</f>
        <v>6000</v>
      </c>
      <c r="U60" s="1"/>
      <c r="V60" s="5">
        <f t="shared" si="41"/>
        <v>0.70463887257780389</v>
      </c>
      <c r="W60" s="1"/>
      <c r="X60" s="1">
        <f t="shared" si="42"/>
        <v>87.220000000000255</v>
      </c>
      <c r="Y60" s="1"/>
      <c r="Z60" s="5">
        <f t="shared" si="43"/>
        <v>1.453666666666671E-2</v>
      </c>
    </row>
    <row r="61" spans="1:26" s="24" customFormat="1" hidden="1" outlineLevel="2" x14ac:dyDescent="0.3">
      <c r="A61" s="29"/>
      <c r="B61" s="11" t="str">
        <f>CONCATENATE("          ", "6314", " - ", "LIABILITY INSURANCE")</f>
        <v xml:space="preserve">          6314 - LIABILITY INSURANCE</v>
      </c>
      <c r="C61" s="11"/>
      <c r="D61" s="8">
        <v>6087.22</v>
      </c>
      <c r="E61" s="3"/>
      <c r="F61" s="7">
        <f t="shared" si="36"/>
        <v>0.30895971081563539</v>
      </c>
      <c r="G61" s="3"/>
      <c r="H61" s="8">
        <v>6000</v>
      </c>
      <c r="I61" s="3"/>
      <c r="J61" s="7">
        <f t="shared" si="37"/>
        <v>0.70463887257780389</v>
      </c>
      <c r="K61" s="3"/>
      <c r="L61" s="8">
        <f t="shared" si="38"/>
        <v>87.220000000000255</v>
      </c>
      <c r="M61" s="3"/>
      <c r="N61" s="7">
        <f t="shared" si="39"/>
        <v>1.453666666666671E-2</v>
      </c>
      <c r="O61" s="11"/>
      <c r="P61" s="8">
        <v>6087.22</v>
      </c>
      <c r="Q61" s="3"/>
      <c r="R61" s="7">
        <f t="shared" si="40"/>
        <v>0.30895971081563539</v>
      </c>
      <c r="S61" s="3"/>
      <c r="T61" s="8">
        <v>6000</v>
      </c>
      <c r="U61" s="3"/>
      <c r="V61" s="7">
        <f t="shared" si="41"/>
        <v>0.70463887257780389</v>
      </c>
      <c r="W61" s="3"/>
      <c r="X61" s="8">
        <f t="shared" si="42"/>
        <v>87.220000000000255</v>
      </c>
      <c r="Y61" s="3"/>
      <c r="Z61" s="7">
        <f t="shared" si="43"/>
        <v>1.453666666666671E-2</v>
      </c>
    </row>
    <row r="62" spans="1:26" s="27" customFormat="1" outlineLevel="1" collapsed="1" x14ac:dyDescent="0.3">
      <c r="A62" s="28"/>
      <c r="B62" s="14" t="str">
        <f>CONCATENATE("     ","Interest                                          ")</f>
        <v xml:space="preserve">     Interest                                          </v>
      </c>
      <c r="C62" s="14"/>
      <c r="D62" s="1">
        <f>SUM(OSRRefD22_9x_0)</f>
        <v>11158</v>
      </c>
      <c r="E62" s="1"/>
      <c r="F62" s="5">
        <f t="shared" si="36"/>
        <v>0.56632953191783098</v>
      </c>
      <c r="G62" s="1"/>
      <c r="H62" s="1">
        <f>SUM(OSRRefH22_9x_0)</f>
        <v>11158</v>
      </c>
      <c r="I62" s="1"/>
      <c r="J62" s="5">
        <f t="shared" si="37"/>
        <v>1.3103934233705226</v>
      </c>
      <c r="K62" s="1"/>
      <c r="L62" s="1">
        <f t="shared" si="38"/>
        <v>0</v>
      </c>
      <c r="M62" s="1"/>
      <c r="N62" s="5">
        <f t="shared" si="39"/>
        <v>0</v>
      </c>
      <c r="O62" s="14"/>
      <c r="P62" s="1">
        <f>SUM(OSRRefP22_9x_0)</f>
        <v>11158</v>
      </c>
      <c r="Q62" s="1"/>
      <c r="R62" s="5">
        <f t="shared" si="40"/>
        <v>0.56632953191783098</v>
      </c>
      <c r="S62" s="1"/>
      <c r="T62" s="1">
        <f>SUM(OSRRefT22_9x_0)</f>
        <v>11158</v>
      </c>
      <c r="U62" s="1"/>
      <c r="V62" s="5">
        <f t="shared" si="41"/>
        <v>1.3103934233705226</v>
      </c>
      <c r="W62" s="1"/>
      <c r="X62" s="1">
        <f t="shared" si="42"/>
        <v>0</v>
      </c>
      <c r="Y62" s="1"/>
      <c r="Z62" s="5">
        <f t="shared" si="43"/>
        <v>0</v>
      </c>
    </row>
    <row r="63" spans="1:26" s="24" customFormat="1" hidden="1" outlineLevel="2" x14ac:dyDescent="0.3">
      <c r="A63" s="29"/>
      <c r="B63" s="11" t="str">
        <f>CONCATENATE("          ", "6401", " - ", "INTEREST EXPENSE")</f>
        <v xml:space="preserve">          6401 - INTEREST EXPENSE</v>
      </c>
      <c r="C63" s="11"/>
      <c r="D63" s="8">
        <v>11158</v>
      </c>
      <c r="E63" s="3"/>
      <c r="F63" s="7">
        <f t="shared" si="36"/>
        <v>0.56632953191783098</v>
      </c>
      <c r="G63" s="3"/>
      <c r="H63" s="8">
        <v>11158</v>
      </c>
      <c r="I63" s="3"/>
      <c r="J63" s="7">
        <f t="shared" si="37"/>
        <v>1.3103934233705226</v>
      </c>
      <c r="K63" s="3"/>
      <c r="L63" s="8">
        <f t="shared" si="38"/>
        <v>0</v>
      </c>
      <c r="M63" s="3"/>
      <c r="N63" s="7">
        <f t="shared" si="39"/>
        <v>0</v>
      </c>
      <c r="O63" s="11"/>
      <c r="P63" s="8">
        <v>11158</v>
      </c>
      <c r="Q63" s="3"/>
      <c r="R63" s="7">
        <f t="shared" si="40"/>
        <v>0.56632953191783098</v>
      </c>
      <c r="S63" s="3"/>
      <c r="T63" s="8">
        <v>11158</v>
      </c>
      <c r="U63" s="3"/>
      <c r="V63" s="7">
        <f t="shared" si="41"/>
        <v>1.3103934233705226</v>
      </c>
      <c r="W63" s="3"/>
      <c r="X63" s="8">
        <f t="shared" si="42"/>
        <v>0</v>
      </c>
      <c r="Y63" s="3"/>
      <c r="Z63" s="7">
        <f t="shared" si="43"/>
        <v>0</v>
      </c>
    </row>
    <row r="64" spans="1:26" s="27" customFormat="1" outlineLevel="1" collapsed="1" x14ac:dyDescent="0.3">
      <c r="A64" s="28"/>
      <c r="B64" s="14" t="str">
        <f>CONCATENATE("     ","Rent                                              ")</f>
        <v xml:space="preserve">     Rent                                              </v>
      </c>
      <c r="C64" s="14"/>
      <c r="D64" s="1">
        <f>SUM(OSRRefD22_10x_0)</f>
        <v>1850</v>
      </c>
      <c r="E64" s="1"/>
      <c r="F64" s="5">
        <f t="shared" si="36"/>
        <v>9.3897619111667621E-2</v>
      </c>
      <c r="G64" s="1"/>
      <c r="H64" s="1">
        <f>SUM(OSRRefH22_10x_0)</f>
        <v>1850</v>
      </c>
      <c r="I64" s="1"/>
      <c r="J64" s="5">
        <f t="shared" si="37"/>
        <v>0.2172636523781562</v>
      </c>
      <c r="K64" s="1"/>
      <c r="L64" s="1">
        <f t="shared" si="38"/>
        <v>0</v>
      </c>
      <c r="M64" s="1"/>
      <c r="N64" s="5">
        <f t="shared" si="39"/>
        <v>0</v>
      </c>
      <c r="O64" s="14"/>
      <c r="P64" s="1">
        <f>SUM(OSRRefP22_10x_0)</f>
        <v>1850</v>
      </c>
      <c r="Q64" s="1"/>
      <c r="R64" s="5">
        <f t="shared" si="40"/>
        <v>9.3897619111667621E-2</v>
      </c>
      <c r="S64" s="1"/>
      <c r="T64" s="1">
        <f>SUM(OSRRefT22_10x_0)</f>
        <v>1850</v>
      </c>
      <c r="U64" s="1"/>
      <c r="V64" s="5">
        <f t="shared" si="41"/>
        <v>0.2172636523781562</v>
      </c>
      <c r="W64" s="1"/>
      <c r="X64" s="1">
        <f t="shared" si="42"/>
        <v>0</v>
      </c>
      <c r="Y64" s="1"/>
      <c r="Z64" s="5">
        <f t="shared" si="43"/>
        <v>0</v>
      </c>
    </row>
    <row r="65" spans="1:26" s="24" customFormat="1" hidden="1" outlineLevel="2" x14ac:dyDescent="0.3">
      <c r="A65" s="29"/>
      <c r="B65" s="11" t="str">
        <f>CONCATENATE("          ", "6273", " - ", "RENT")</f>
        <v xml:space="preserve">          6273 - RENT</v>
      </c>
      <c r="C65" s="11"/>
      <c r="D65" s="8">
        <v>1850</v>
      </c>
      <c r="E65" s="3"/>
      <c r="F65" s="7">
        <f t="shared" si="36"/>
        <v>9.3897619111667621E-2</v>
      </c>
      <c r="G65" s="3"/>
      <c r="H65" s="8">
        <v>1850</v>
      </c>
      <c r="I65" s="3"/>
      <c r="J65" s="7">
        <f t="shared" si="37"/>
        <v>0.2172636523781562</v>
      </c>
      <c r="K65" s="3"/>
      <c r="L65" s="8">
        <f t="shared" si="38"/>
        <v>0</v>
      </c>
      <c r="M65" s="3"/>
      <c r="N65" s="7">
        <f t="shared" si="39"/>
        <v>0</v>
      </c>
      <c r="O65" s="11"/>
      <c r="P65" s="8">
        <v>1850</v>
      </c>
      <c r="Q65" s="3"/>
      <c r="R65" s="7">
        <f t="shared" si="40"/>
        <v>9.3897619111667621E-2</v>
      </c>
      <c r="S65" s="3"/>
      <c r="T65" s="8">
        <v>1850</v>
      </c>
      <c r="U65" s="3"/>
      <c r="V65" s="7">
        <f t="shared" si="41"/>
        <v>0.2172636523781562</v>
      </c>
      <c r="W65" s="3"/>
      <c r="X65" s="8">
        <f t="shared" si="42"/>
        <v>0</v>
      </c>
      <c r="Y65" s="3"/>
      <c r="Z65" s="7">
        <f t="shared" si="43"/>
        <v>0</v>
      </c>
    </row>
    <row r="66" spans="1:26" s="27" customFormat="1" outlineLevel="1" collapsed="1" x14ac:dyDescent="0.3">
      <c r="A66" s="28"/>
      <c r="B66" s="14" t="str">
        <f>CONCATENATE("     ","Repair and Maintenance                            ")</f>
        <v xml:space="preserve">     Repair and Maintenance                            </v>
      </c>
      <c r="C66" s="14"/>
      <c r="D66" s="1">
        <f>SUM(OSRRefD22_11x_0)</f>
        <v>3131.71</v>
      </c>
      <c r="E66" s="1"/>
      <c r="F66" s="5">
        <f t="shared" si="36"/>
        <v>0.15895141229632467</v>
      </c>
      <c r="G66" s="1"/>
      <c r="H66" s="1">
        <f>SUM(OSRRefH22_11x_0)</f>
        <v>13829</v>
      </c>
      <c r="I66" s="1"/>
      <c r="J66" s="5">
        <f t="shared" si="37"/>
        <v>1.6240751614797417</v>
      </c>
      <c r="K66" s="1"/>
      <c r="L66" s="1">
        <f t="shared" si="38"/>
        <v>-10697.29</v>
      </c>
      <c r="M66" s="1"/>
      <c r="N66" s="5">
        <f t="shared" si="39"/>
        <v>-0.7735403861450576</v>
      </c>
      <c r="O66" s="14"/>
      <c r="P66" s="1">
        <f>SUM(OSRRefP22_11x_0)</f>
        <v>3131.71</v>
      </c>
      <c r="Q66" s="1"/>
      <c r="R66" s="5">
        <f t="shared" si="40"/>
        <v>0.15895141229632467</v>
      </c>
      <c r="S66" s="1"/>
      <c r="T66" s="1">
        <f>SUM(OSRRefT22_11x_0)</f>
        <v>13829</v>
      </c>
      <c r="U66" s="1"/>
      <c r="V66" s="5">
        <f t="shared" si="41"/>
        <v>1.6240751614797417</v>
      </c>
      <c r="W66" s="1"/>
      <c r="X66" s="1">
        <f t="shared" si="42"/>
        <v>-10697.29</v>
      </c>
      <c r="Y66" s="1"/>
      <c r="Z66" s="5">
        <f t="shared" si="43"/>
        <v>-0.7735403861450576</v>
      </c>
    </row>
    <row r="67" spans="1:26" s="24" customFormat="1" hidden="1" outlineLevel="2" x14ac:dyDescent="0.3">
      <c r="A67" s="29"/>
      <c r="B67" s="11" t="str">
        <f>CONCATENATE("          ", "6373", " - ", "MAINTENANCE CONTRACTS")</f>
        <v xml:space="preserve">          6373 - MAINTENANCE CONTRACTS</v>
      </c>
      <c r="C67" s="11"/>
      <c r="D67" s="8">
        <v>0.87</v>
      </c>
      <c r="E67" s="3"/>
      <c r="F67" s="7">
        <f t="shared" si="36"/>
        <v>4.415725871737883E-5</v>
      </c>
      <c r="G67" s="3"/>
      <c r="H67" s="8">
        <v>1440</v>
      </c>
      <c r="I67" s="3"/>
      <c r="J67" s="7">
        <f t="shared" si="37"/>
        <v>0.16911332941867294</v>
      </c>
      <c r="K67" s="3"/>
      <c r="L67" s="8">
        <f t="shared" si="38"/>
        <v>-1439.13</v>
      </c>
      <c r="M67" s="3"/>
      <c r="N67" s="7">
        <f t="shared" si="39"/>
        <v>-0.99939583333333337</v>
      </c>
      <c r="O67" s="11"/>
      <c r="P67" s="8">
        <v>0.87</v>
      </c>
      <c r="Q67" s="3"/>
      <c r="R67" s="7">
        <f t="shared" si="40"/>
        <v>4.415725871737883E-5</v>
      </c>
      <c r="S67" s="3"/>
      <c r="T67" s="8">
        <v>1440</v>
      </c>
      <c r="U67" s="3"/>
      <c r="V67" s="7">
        <f t="shared" si="41"/>
        <v>0.16911332941867294</v>
      </c>
      <c r="W67" s="3"/>
      <c r="X67" s="8">
        <f t="shared" si="42"/>
        <v>-1439.13</v>
      </c>
      <c r="Y67" s="3"/>
      <c r="Z67" s="7">
        <f t="shared" si="43"/>
        <v>-0.99939583333333337</v>
      </c>
    </row>
    <row r="68" spans="1:26" s="24" customFormat="1" hidden="1" outlineLevel="2" x14ac:dyDescent="0.3">
      <c r="A68" s="29"/>
      <c r="B68" s="11" t="str">
        <f>CONCATENATE("          ", "6375", " - ", "OUTSIDE REPAIRS &amp; MAINTENANCE")</f>
        <v xml:space="preserve">          6375 - OUTSIDE REPAIRS &amp; MAINTENANCE</v>
      </c>
      <c r="C68" s="11"/>
      <c r="D68" s="8">
        <v>3130.84</v>
      </c>
      <c r="E68" s="3"/>
      <c r="F68" s="7">
        <f t="shared" si="36"/>
        <v>0.1589072550376073</v>
      </c>
      <c r="G68" s="3"/>
      <c r="H68" s="8">
        <v>12389</v>
      </c>
      <c r="I68" s="3"/>
      <c r="J68" s="7">
        <f t="shared" si="37"/>
        <v>1.4549618320610687</v>
      </c>
      <c r="K68" s="3"/>
      <c r="L68" s="8">
        <f t="shared" si="38"/>
        <v>-9258.16</v>
      </c>
      <c r="M68" s="3"/>
      <c r="N68" s="7">
        <f t="shared" si="39"/>
        <v>-0.74728872386794731</v>
      </c>
      <c r="O68" s="11"/>
      <c r="P68" s="8">
        <v>3130.84</v>
      </c>
      <c r="Q68" s="3"/>
      <c r="R68" s="7">
        <f t="shared" si="40"/>
        <v>0.1589072550376073</v>
      </c>
      <c r="S68" s="3"/>
      <c r="T68" s="8">
        <v>12389</v>
      </c>
      <c r="U68" s="3"/>
      <c r="V68" s="7">
        <f t="shared" si="41"/>
        <v>1.4549618320610687</v>
      </c>
      <c r="W68" s="3"/>
      <c r="X68" s="8">
        <f t="shared" si="42"/>
        <v>-9258.16</v>
      </c>
      <c r="Y68" s="3"/>
      <c r="Z68" s="7">
        <f t="shared" si="43"/>
        <v>-0.74728872386794731</v>
      </c>
    </row>
    <row r="69" spans="1:26" s="27" customFormat="1" outlineLevel="1" collapsed="1" x14ac:dyDescent="0.3">
      <c r="A69" s="28"/>
      <c r="B69" s="14" t="str">
        <f>CONCATENATE("     ","Royalty &amp; Commissions                             ")</f>
        <v xml:space="preserve">     Royalty &amp; Commissions                             </v>
      </c>
      <c r="C69" s="14"/>
      <c r="D69" s="1">
        <f>SUM(OSRRefD22_12x_0)</f>
        <v>0</v>
      </c>
      <c r="E69" s="1"/>
      <c r="F69" s="5">
        <f t="shared" ref="F69:F76" si="44">IF(D$12=0,0,D69/D$12)</f>
        <v>0</v>
      </c>
      <c r="G69" s="1"/>
      <c r="H69" s="1">
        <f>SUM(OSRRefH22_12x_0)</f>
        <v>0</v>
      </c>
      <c r="I69" s="1"/>
      <c r="J69" s="5">
        <f t="shared" ref="J69:J76" si="45">IF(H$12=0,0,H69/H$12)</f>
        <v>0</v>
      </c>
      <c r="K69" s="1"/>
      <c r="L69" s="1">
        <f t="shared" ref="L69:L76" si="46">+D69-H69</f>
        <v>0</v>
      </c>
      <c r="M69" s="1"/>
      <c r="N69" s="5">
        <f t="shared" ref="N69:N76" si="47">IF(H69=0,0,L69/H69)</f>
        <v>0</v>
      </c>
      <c r="O69" s="14"/>
      <c r="P69" s="1">
        <f>SUM(OSRRefP22_12x_0)</f>
        <v>0</v>
      </c>
      <c r="Q69" s="1"/>
      <c r="R69" s="5">
        <f t="shared" ref="R69:R76" si="48">IF(P$12=0,0,P69/P$12)</f>
        <v>0</v>
      </c>
      <c r="S69" s="1"/>
      <c r="T69" s="1">
        <f>SUM(OSRRefT22_12x_0)</f>
        <v>0</v>
      </c>
      <c r="U69" s="1"/>
      <c r="V69" s="5">
        <f t="shared" ref="V69:V76" si="49">IF(T$12=0,0,T69/T$12)</f>
        <v>0</v>
      </c>
      <c r="W69" s="1"/>
      <c r="X69" s="1">
        <f t="shared" ref="X69:X76" si="50">+P69-T69</f>
        <v>0</v>
      </c>
      <c r="Y69" s="1"/>
      <c r="Z69" s="5">
        <f t="shared" ref="Z69:Z76" si="51">IF(T69=0,0,X69/T69)</f>
        <v>0</v>
      </c>
    </row>
    <row r="70" spans="1:26" s="24" customFormat="1" hidden="1" outlineLevel="2" x14ac:dyDescent="0.3">
      <c r="A70" s="29"/>
      <c r="B70" s="11" t="str">
        <f>CONCATENATE("          ", "6259", " - ", "ROYALTY &amp; COMMISSIONS")</f>
        <v xml:space="preserve">          6259 - ROYALTY &amp; COMMISSIONS</v>
      </c>
      <c r="C70" s="11"/>
      <c r="D70" s="8"/>
      <c r="E70" s="3"/>
      <c r="F70" s="7">
        <f t="shared" si="44"/>
        <v>0</v>
      </c>
      <c r="G70" s="3"/>
      <c r="H70" s="8">
        <v>0</v>
      </c>
      <c r="I70" s="3"/>
      <c r="J70" s="7">
        <f t="shared" si="45"/>
        <v>0</v>
      </c>
      <c r="K70" s="3"/>
      <c r="L70" s="8">
        <f t="shared" si="46"/>
        <v>0</v>
      </c>
      <c r="M70" s="3"/>
      <c r="N70" s="7">
        <f t="shared" si="47"/>
        <v>0</v>
      </c>
      <c r="O70" s="11"/>
      <c r="P70" s="8"/>
      <c r="Q70" s="3"/>
      <c r="R70" s="7">
        <f t="shared" si="48"/>
        <v>0</v>
      </c>
      <c r="S70" s="3"/>
      <c r="T70" s="8">
        <v>0</v>
      </c>
      <c r="U70" s="3"/>
      <c r="V70" s="7">
        <f t="shared" si="49"/>
        <v>0</v>
      </c>
      <c r="W70" s="3"/>
      <c r="X70" s="8">
        <f t="shared" si="50"/>
        <v>0</v>
      </c>
      <c r="Y70" s="3"/>
      <c r="Z70" s="7">
        <f t="shared" si="51"/>
        <v>0</v>
      </c>
    </row>
    <row r="71" spans="1:26" s="27" customFormat="1" outlineLevel="1" collapsed="1" x14ac:dyDescent="0.3">
      <c r="A71" s="28"/>
      <c r="B71" s="14" t="str">
        <f>CONCATENATE("     ","Services                                          ")</f>
        <v xml:space="preserve">     Services                                          </v>
      </c>
      <c r="C71" s="14"/>
      <c r="D71" s="1">
        <f>SUM(OSRRefD22_13x_0)</f>
        <v>4741.08</v>
      </c>
      <c r="E71" s="1"/>
      <c r="F71" s="5">
        <f t="shared" si="44"/>
        <v>0.24063574271240279</v>
      </c>
      <c r="G71" s="1"/>
      <c r="H71" s="1">
        <f>SUM(OSRRefH22_13x_0)</f>
        <v>5929</v>
      </c>
      <c r="I71" s="1"/>
      <c r="J71" s="5">
        <f t="shared" si="45"/>
        <v>0.69630064591896657</v>
      </c>
      <c r="K71" s="1"/>
      <c r="L71" s="1">
        <f t="shared" si="46"/>
        <v>-1187.92</v>
      </c>
      <c r="M71" s="1"/>
      <c r="N71" s="5">
        <f t="shared" si="47"/>
        <v>-0.20035756451340869</v>
      </c>
      <c r="O71" s="14"/>
      <c r="P71" s="1">
        <f>SUM(OSRRefP22_13x_0)</f>
        <v>4741.08</v>
      </c>
      <c r="Q71" s="1"/>
      <c r="R71" s="5">
        <f t="shared" si="48"/>
        <v>0.24063574271240279</v>
      </c>
      <c r="S71" s="1"/>
      <c r="T71" s="1">
        <f>SUM(OSRRefT22_13x_0)</f>
        <v>5929</v>
      </c>
      <c r="U71" s="1"/>
      <c r="V71" s="5">
        <f t="shared" si="49"/>
        <v>0.69630064591896657</v>
      </c>
      <c r="W71" s="1"/>
      <c r="X71" s="1">
        <f t="shared" si="50"/>
        <v>-1187.92</v>
      </c>
      <c r="Y71" s="1"/>
      <c r="Z71" s="5">
        <f t="shared" si="51"/>
        <v>-0.20035756451340869</v>
      </c>
    </row>
    <row r="72" spans="1:26" s="24" customFormat="1" hidden="1" outlineLevel="2" x14ac:dyDescent="0.3">
      <c r="A72" s="29"/>
      <c r="B72" s="11" t="str">
        <f>CONCATENATE("          ", "6282", " - ", "JANITORIAL/EXTERMINATOR EXPENS")</f>
        <v xml:space="preserve">          6282 - JANITORIAL/EXTERMINATOR EXPENS</v>
      </c>
      <c r="C72" s="11"/>
      <c r="D72" s="8">
        <v>821.95</v>
      </c>
      <c r="E72" s="3"/>
      <c r="F72" s="7">
        <f t="shared" si="44"/>
        <v>4.1718458393964979E-2</v>
      </c>
      <c r="G72" s="3"/>
      <c r="H72" s="8">
        <v>978</v>
      </c>
      <c r="I72" s="3"/>
      <c r="J72" s="7">
        <f t="shared" si="45"/>
        <v>0.11485613623018204</v>
      </c>
      <c r="K72" s="3"/>
      <c r="L72" s="8">
        <f t="shared" si="46"/>
        <v>-156.04999999999995</v>
      </c>
      <c r="M72" s="3"/>
      <c r="N72" s="7">
        <f t="shared" si="47"/>
        <v>-0.15956032719836397</v>
      </c>
      <c r="O72" s="11"/>
      <c r="P72" s="8">
        <v>821.95</v>
      </c>
      <c r="Q72" s="3"/>
      <c r="R72" s="7">
        <f t="shared" si="48"/>
        <v>4.1718458393964979E-2</v>
      </c>
      <c r="S72" s="3"/>
      <c r="T72" s="8">
        <v>978</v>
      </c>
      <c r="U72" s="3"/>
      <c r="V72" s="7">
        <f t="shared" si="49"/>
        <v>0.11485613623018204</v>
      </c>
      <c r="W72" s="3"/>
      <c r="X72" s="8">
        <f t="shared" si="50"/>
        <v>-156.04999999999995</v>
      </c>
      <c r="Y72" s="3"/>
      <c r="Z72" s="7">
        <f t="shared" si="51"/>
        <v>-0.15956032719836397</v>
      </c>
    </row>
    <row r="73" spans="1:26" s="24" customFormat="1" hidden="1" outlineLevel="2" x14ac:dyDescent="0.3">
      <c r="A73" s="29"/>
      <c r="B73" s="11" t="str">
        <f>CONCATENATE("          ", "6283", " - ", "PLANT SERVICE")</f>
        <v xml:space="preserve">          6283 - PLANT SERVICE</v>
      </c>
      <c r="C73" s="11"/>
      <c r="D73" s="8"/>
      <c r="E73" s="3"/>
      <c r="F73" s="7">
        <f t="shared" si="44"/>
        <v>0</v>
      </c>
      <c r="G73" s="3"/>
      <c r="H73" s="8">
        <v>100</v>
      </c>
      <c r="I73" s="3"/>
      <c r="J73" s="7">
        <f t="shared" si="45"/>
        <v>1.1743981209630064E-2</v>
      </c>
      <c r="K73" s="3"/>
      <c r="L73" s="8">
        <f t="shared" si="46"/>
        <v>-100</v>
      </c>
      <c r="M73" s="3"/>
      <c r="N73" s="7">
        <f t="shared" si="47"/>
        <v>-1</v>
      </c>
      <c r="O73" s="11"/>
      <c r="P73" s="8"/>
      <c r="Q73" s="3"/>
      <c r="R73" s="7">
        <f t="shared" si="48"/>
        <v>0</v>
      </c>
      <c r="S73" s="3"/>
      <c r="T73" s="8">
        <v>100</v>
      </c>
      <c r="U73" s="3"/>
      <c r="V73" s="7">
        <f t="shared" si="49"/>
        <v>1.1743981209630064E-2</v>
      </c>
      <c r="W73" s="3"/>
      <c r="X73" s="8">
        <f t="shared" si="50"/>
        <v>-100</v>
      </c>
      <c r="Y73" s="3"/>
      <c r="Z73" s="7">
        <f t="shared" si="51"/>
        <v>-1</v>
      </c>
    </row>
    <row r="74" spans="1:26" s="24" customFormat="1" hidden="1" outlineLevel="2" x14ac:dyDescent="0.3">
      <c r="A74" s="29"/>
      <c r="B74" s="11" t="str">
        <f>CONCATENATE("          ", "6284", " - ", "TRASH REMOVAL EXPENSE")</f>
        <v xml:space="preserve">          6284 - TRASH REMOVAL EXPENSE</v>
      </c>
      <c r="C74" s="11"/>
      <c r="D74" s="8"/>
      <c r="E74" s="3"/>
      <c r="F74" s="7">
        <f t="shared" si="44"/>
        <v>0</v>
      </c>
      <c r="G74" s="3"/>
      <c r="H74" s="8">
        <v>1000</v>
      </c>
      <c r="I74" s="3"/>
      <c r="J74" s="7">
        <f t="shared" si="45"/>
        <v>0.11743981209630065</v>
      </c>
      <c r="K74" s="3"/>
      <c r="L74" s="8">
        <f t="shared" si="46"/>
        <v>-1000</v>
      </c>
      <c r="M74" s="3"/>
      <c r="N74" s="7">
        <f t="shared" si="47"/>
        <v>-1</v>
      </c>
      <c r="O74" s="11"/>
      <c r="P74" s="8"/>
      <c r="Q74" s="3"/>
      <c r="R74" s="7">
        <f t="shared" si="48"/>
        <v>0</v>
      </c>
      <c r="S74" s="3"/>
      <c r="T74" s="8">
        <v>1000</v>
      </c>
      <c r="U74" s="3"/>
      <c r="V74" s="7">
        <f t="shared" si="49"/>
        <v>0.11743981209630065</v>
      </c>
      <c r="W74" s="3"/>
      <c r="X74" s="8">
        <f t="shared" si="50"/>
        <v>-1000</v>
      </c>
      <c r="Y74" s="3"/>
      <c r="Z74" s="7">
        <f t="shared" si="51"/>
        <v>-1</v>
      </c>
    </row>
    <row r="75" spans="1:26" s="24" customFormat="1" hidden="1" outlineLevel="2" x14ac:dyDescent="0.3">
      <c r="A75" s="29"/>
      <c r="B75" s="11" t="str">
        <f>CONCATENATE("          ", "6285", " - ", "JANITORIAL SERVICES")</f>
        <v xml:space="preserve">          6285 - JANITORIAL SERVICES</v>
      </c>
      <c r="C75" s="11"/>
      <c r="D75" s="8">
        <v>3759.39</v>
      </c>
      <c r="E75" s="3"/>
      <c r="F75" s="7">
        <f t="shared" si="44"/>
        <v>0.19080960557416873</v>
      </c>
      <c r="G75" s="3"/>
      <c r="H75" s="8">
        <v>3041</v>
      </c>
      <c r="I75" s="3"/>
      <c r="J75" s="7">
        <f t="shared" si="45"/>
        <v>0.35713446858485026</v>
      </c>
      <c r="K75" s="3"/>
      <c r="L75" s="8">
        <f t="shared" si="46"/>
        <v>718.38999999999987</v>
      </c>
      <c r="M75" s="3"/>
      <c r="N75" s="7">
        <f t="shared" si="47"/>
        <v>0.23623479118710947</v>
      </c>
      <c r="O75" s="11"/>
      <c r="P75" s="8">
        <v>3759.39</v>
      </c>
      <c r="Q75" s="3"/>
      <c r="R75" s="7">
        <f t="shared" si="48"/>
        <v>0.19080960557416873</v>
      </c>
      <c r="S75" s="3"/>
      <c r="T75" s="8">
        <v>3041</v>
      </c>
      <c r="U75" s="3"/>
      <c r="V75" s="7">
        <f t="shared" si="49"/>
        <v>0.35713446858485026</v>
      </c>
      <c r="W75" s="3"/>
      <c r="X75" s="8">
        <f t="shared" si="50"/>
        <v>718.38999999999987</v>
      </c>
      <c r="Y75" s="3"/>
      <c r="Z75" s="7">
        <f t="shared" si="51"/>
        <v>0.23623479118710947</v>
      </c>
    </row>
    <row r="76" spans="1:26" s="24" customFormat="1" hidden="1" outlineLevel="2" x14ac:dyDescent="0.3">
      <c r="A76" s="29"/>
      <c r="B76" s="11" t="str">
        <f>CONCATENATE("          ", "6286", " - ", "LAUNDRY EXPENSE")</f>
        <v xml:space="preserve">          6286 - LAUNDRY EXPENSE</v>
      </c>
      <c r="C76" s="11"/>
      <c r="D76" s="8">
        <v>159.74</v>
      </c>
      <c r="E76" s="3"/>
      <c r="F76" s="7">
        <f t="shared" si="44"/>
        <v>8.1076787442690753E-3</v>
      </c>
      <c r="G76" s="3"/>
      <c r="H76" s="8">
        <v>810</v>
      </c>
      <c r="I76" s="3"/>
      <c r="J76" s="7">
        <f t="shared" si="45"/>
        <v>9.5126247798003521E-2</v>
      </c>
      <c r="K76" s="3"/>
      <c r="L76" s="8">
        <f t="shared" si="46"/>
        <v>-650.26</v>
      </c>
      <c r="M76" s="3"/>
      <c r="N76" s="7">
        <f t="shared" si="47"/>
        <v>-0.80279012345679013</v>
      </c>
      <c r="O76" s="11"/>
      <c r="P76" s="8">
        <v>159.74</v>
      </c>
      <c r="Q76" s="3"/>
      <c r="R76" s="7">
        <f t="shared" si="48"/>
        <v>8.1076787442690753E-3</v>
      </c>
      <c r="S76" s="3"/>
      <c r="T76" s="8">
        <v>810</v>
      </c>
      <c r="U76" s="3"/>
      <c r="V76" s="7">
        <f t="shared" si="49"/>
        <v>9.5126247798003521E-2</v>
      </c>
      <c r="W76" s="3"/>
      <c r="X76" s="8">
        <f t="shared" si="50"/>
        <v>-650.26</v>
      </c>
      <c r="Y76" s="3"/>
      <c r="Z76" s="7">
        <f t="shared" si="51"/>
        <v>-0.80279012345679013</v>
      </c>
    </row>
    <row r="77" spans="1:26" s="27" customFormat="1" outlineLevel="1" collapsed="1" x14ac:dyDescent="0.3">
      <c r="A77" s="28"/>
      <c r="B77" s="14" t="str">
        <f>CONCATENATE("     ","Subscriptions &amp; Dues                              ")</f>
        <v xml:space="preserve">     Subscriptions &amp; Dues                              </v>
      </c>
      <c r="C77" s="14"/>
      <c r="D77" s="1">
        <f>SUM(OSRRefD22_14x_0)</f>
        <v>130.66999999999999</v>
      </c>
      <c r="E77" s="1"/>
      <c r="F77" s="5">
        <f t="shared" ref="F77:F89" si="52">IF(D$12=0,0,D77/D$12)</f>
        <v>6.6322172374711393E-3</v>
      </c>
      <c r="G77" s="1"/>
      <c r="H77" s="1">
        <f>SUM(OSRRefH22_14x_0)</f>
        <v>380</v>
      </c>
      <c r="I77" s="1"/>
      <c r="J77" s="5">
        <f t="shared" ref="J77:J89" si="53">IF(H$12=0,0,H77/H$12)</f>
        <v>4.4627128596594248E-2</v>
      </c>
      <c r="K77" s="1"/>
      <c r="L77" s="1">
        <f t="shared" ref="L77:L89" si="54">+D77-H77</f>
        <v>-249.33</v>
      </c>
      <c r="M77" s="1"/>
      <c r="N77" s="5">
        <f t="shared" ref="N77:N89" si="55">IF(H77=0,0,L77/H77)</f>
        <v>-0.6561315789473684</v>
      </c>
      <c r="O77" s="14"/>
      <c r="P77" s="1">
        <f>SUM(OSRRefP22_14x_0)</f>
        <v>130.66999999999999</v>
      </c>
      <c r="Q77" s="1"/>
      <c r="R77" s="5">
        <f t="shared" ref="R77:R89" si="56">IF(P$12=0,0,P77/P$12)</f>
        <v>6.6322172374711393E-3</v>
      </c>
      <c r="S77" s="1"/>
      <c r="T77" s="1">
        <f>SUM(OSRRefT22_14x_0)</f>
        <v>380</v>
      </c>
      <c r="U77" s="1"/>
      <c r="V77" s="5">
        <f t="shared" ref="V77:V89" si="57">IF(T$12=0,0,T77/T$12)</f>
        <v>4.4627128596594248E-2</v>
      </c>
      <c r="W77" s="1"/>
      <c r="X77" s="1">
        <f t="shared" ref="X77:X89" si="58">+P77-T77</f>
        <v>-249.33</v>
      </c>
      <c r="Y77" s="1"/>
      <c r="Z77" s="5">
        <f t="shared" ref="Z77:Z89" si="59">IF(T77=0,0,X77/T77)</f>
        <v>-0.6561315789473684</v>
      </c>
    </row>
    <row r="78" spans="1:26" s="24" customFormat="1" hidden="1" outlineLevel="2" x14ac:dyDescent="0.3">
      <c r="A78" s="29"/>
      <c r="B78" s="11" t="str">
        <f>CONCATENATE("          ", "6275", " - ", "SUBSCRIPTIONS")</f>
        <v xml:space="preserve">          6275 - SUBSCRIPTIONS</v>
      </c>
      <c r="C78" s="11"/>
      <c r="D78" s="8">
        <v>130.66999999999999</v>
      </c>
      <c r="E78" s="3"/>
      <c r="F78" s="7">
        <f t="shared" si="52"/>
        <v>6.6322172374711393E-3</v>
      </c>
      <c r="G78" s="3"/>
      <c r="H78" s="8">
        <v>380</v>
      </c>
      <c r="I78" s="3"/>
      <c r="J78" s="7">
        <f t="shared" si="53"/>
        <v>4.4627128596594248E-2</v>
      </c>
      <c r="K78" s="3"/>
      <c r="L78" s="8">
        <f t="shared" si="54"/>
        <v>-249.33</v>
      </c>
      <c r="M78" s="3"/>
      <c r="N78" s="7">
        <f t="shared" si="55"/>
        <v>-0.6561315789473684</v>
      </c>
      <c r="O78" s="11"/>
      <c r="P78" s="8">
        <v>130.66999999999999</v>
      </c>
      <c r="Q78" s="3"/>
      <c r="R78" s="7">
        <f t="shared" si="56"/>
        <v>6.6322172374711393E-3</v>
      </c>
      <c r="S78" s="3"/>
      <c r="T78" s="8">
        <v>380</v>
      </c>
      <c r="U78" s="3"/>
      <c r="V78" s="7">
        <f t="shared" si="57"/>
        <v>4.4627128596594248E-2</v>
      </c>
      <c r="W78" s="3"/>
      <c r="X78" s="8">
        <f t="shared" si="58"/>
        <v>-249.33</v>
      </c>
      <c r="Y78" s="3"/>
      <c r="Z78" s="7">
        <f t="shared" si="59"/>
        <v>-0.6561315789473684</v>
      </c>
    </row>
    <row r="79" spans="1:26" s="27" customFormat="1" outlineLevel="1" collapsed="1" x14ac:dyDescent="0.3">
      <c r="A79" s="28"/>
      <c r="B79" s="14" t="str">
        <f>CONCATENATE("     ","Supplies                                          ")</f>
        <v xml:space="preserve">     Supplies                                          </v>
      </c>
      <c r="C79" s="14"/>
      <c r="D79" s="1">
        <f>SUM(OSRRefD22_15x_0)</f>
        <v>1842.65</v>
      </c>
      <c r="E79" s="1"/>
      <c r="F79" s="5">
        <f t="shared" si="52"/>
        <v>9.3524566408710472E-2</v>
      </c>
      <c r="G79" s="1"/>
      <c r="H79" s="1">
        <f>SUM(OSRRefH22_15x_0)</f>
        <v>9039</v>
      </c>
      <c r="I79" s="1"/>
      <c r="J79" s="5">
        <f t="shared" si="53"/>
        <v>1.0615384615384615</v>
      </c>
      <c r="K79" s="1"/>
      <c r="L79" s="1">
        <f t="shared" si="54"/>
        <v>-7196.35</v>
      </c>
      <c r="M79" s="1"/>
      <c r="N79" s="5">
        <f t="shared" si="55"/>
        <v>-0.79614448500940371</v>
      </c>
      <c r="O79" s="14"/>
      <c r="P79" s="1">
        <f>SUM(OSRRefP22_15x_0)</f>
        <v>1842.65</v>
      </c>
      <c r="Q79" s="1"/>
      <c r="R79" s="5">
        <f t="shared" si="56"/>
        <v>9.3524566408710472E-2</v>
      </c>
      <c r="S79" s="1"/>
      <c r="T79" s="1">
        <f>SUM(OSRRefT22_15x_0)</f>
        <v>9039</v>
      </c>
      <c r="U79" s="1"/>
      <c r="V79" s="5">
        <f t="shared" si="57"/>
        <v>1.0615384615384615</v>
      </c>
      <c r="W79" s="1"/>
      <c r="X79" s="1">
        <f t="shared" si="58"/>
        <v>-7196.35</v>
      </c>
      <c r="Y79" s="1"/>
      <c r="Z79" s="5">
        <f t="shared" si="59"/>
        <v>-0.79614448500940371</v>
      </c>
    </row>
    <row r="80" spans="1:26" s="24" customFormat="1" hidden="1" outlineLevel="2" x14ac:dyDescent="0.3">
      <c r="A80" s="29"/>
      <c r="B80" s="11" t="str">
        <f>CONCATENATE("          ", "6234", " - ", "EXPENDABLE SUPPLIES &amp; EQUIPMEN")</f>
        <v xml:space="preserve">          6234 - EXPENDABLE SUPPLIES &amp; EQUIPMEN</v>
      </c>
      <c r="C80" s="11"/>
      <c r="D80" s="8"/>
      <c r="E80" s="3"/>
      <c r="F80" s="7">
        <f t="shared" si="52"/>
        <v>0</v>
      </c>
      <c r="G80" s="3"/>
      <c r="H80" s="8">
        <v>0</v>
      </c>
      <c r="I80" s="3"/>
      <c r="J80" s="7">
        <f t="shared" si="53"/>
        <v>0</v>
      </c>
      <c r="K80" s="3"/>
      <c r="L80" s="8">
        <f t="shared" si="54"/>
        <v>0</v>
      </c>
      <c r="M80" s="3"/>
      <c r="N80" s="7">
        <f t="shared" si="55"/>
        <v>0</v>
      </c>
      <c r="O80" s="11"/>
      <c r="P80" s="8"/>
      <c r="Q80" s="3"/>
      <c r="R80" s="7">
        <f t="shared" si="56"/>
        <v>0</v>
      </c>
      <c r="S80" s="3"/>
      <c r="T80" s="8">
        <v>0</v>
      </c>
      <c r="U80" s="3"/>
      <c r="V80" s="7">
        <f t="shared" si="57"/>
        <v>0</v>
      </c>
      <c r="W80" s="3"/>
      <c r="X80" s="8">
        <f t="shared" si="58"/>
        <v>0</v>
      </c>
      <c r="Y80" s="3"/>
      <c r="Z80" s="7">
        <f t="shared" si="59"/>
        <v>0</v>
      </c>
    </row>
    <row r="81" spans="1:26" s="24" customFormat="1" hidden="1" outlineLevel="2" x14ac:dyDescent="0.3">
      <c r="A81" s="29"/>
      <c r="B81" s="11" t="str">
        <f>CONCATENATE("          ", "6235", " - ", "COVID-19 EXPENSES")</f>
        <v xml:space="preserve">          6235 - COVID-19 EXPENSES</v>
      </c>
      <c r="C81" s="11"/>
      <c r="D81" s="8"/>
      <c r="E81" s="3"/>
      <c r="F81" s="7">
        <f t="shared" si="52"/>
        <v>0</v>
      </c>
      <c r="G81" s="3"/>
      <c r="H81" s="8">
        <v>500</v>
      </c>
      <c r="I81" s="3"/>
      <c r="J81" s="7">
        <f t="shared" si="53"/>
        <v>5.8719906048150326E-2</v>
      </c>
      <c r="K81" s="3"/>
      <c r="L81" s="8">
        <f t="shared" si="54"/>
        <v>-500</v>
      </c>
      <c r="M81" s="3"/>
      <c r="N81" s="7">
        <f t="shared" si="55"/>
        <v>-1</v>
      </c>
      <c r="O81" s="11"/>
      <c r="P81" s="8"/>
      <c r="Q81" s="3"/>
      <c r="R81" s="7">
        <f t="shared" si="56"/>
        <v>0</v>
      </c>
      <c r="S81" s="3"/>
      <c r="T81" s="8">
        <v>500</v>
      </c>
      <c r="U81" s="3"/>
      <c r="V81" s="7">
        <f t="shared" si="57"/>
        <v>5.8719906048150326E-2</v>
      </c>
      <c r="W81" s="3"/>
      <c r="X81" s="8">
        <f t="shared" si="58"/>
        <v>-500</v>
      </c>
      <c r="Y81" s="3"/>
      <c r="Z81" s="7">
        <f t="shared" si="59"/>
        <v>-1</v>
      </c>
    </row>
    <row r="82" spans="1:26" s="24" customFormat="1" hidden="1" outlineLevel="2" x14ac:dyDescent="0.3">
      <c r="A82" s="29"/>
      <c r="B82" s="11" t="str">
        <f>CONCATENATE("          ", "6237", " - ", "JANITORIAL SUPPLIES")</f>
        <v xml:space="preserve">          6237 - JANITORIAL SUPPLIES</v>
      </c>
      <c r="C82" s="11"/>
      <c r="D82" s="8">
        <v>1002.17</v>
      </c>
      <c r="E82" s="3"/>
      <c r="F82" s="7">
        <f t="shared" si="52"/>
        <v>5.0865609159535106E-2</v>
      </c>
      <c r="G82" s="3"/>
      <c r="H82" s="8">
        <v>773</v>
      </c>
      <c r="I82" s="3"/>
      <c r="J82" s="7">
        <f t="shared" si="53"/>
        <v>9.0780974750440405E-2</v>
      </c>
      <c r="K82" s="3"/>
      <c r="L82" s="8">
        <f t="shared" si="54"/>
        <v>229.16999999999996</v>
      </c>
      <c r="M82" s="3"/>
      <c r="N82" s="7">
        <f t="shared" si="55"/>
        <v>0.2964683053040103</v>
      </c>
      <c r="O82" s="11"/>
      <c r="P82" s="8">
        <v>1002.17</v>
      </c>
      <c r="Q82" s="3"/>
      <c r="R82" s="7">
        <f t="shared" si="56"/>
        <v>5.0865609159535106E-2</v>
      </c>
      <c r="S82" s="3"/>
      <c r="T82" s="8">
        <v>773</v>
      </c>
      <c r="U82" s="3"/>
      <c r="V82" s="7">
        <f t="shared" si="57"/>
        <v>9.0780974750440405E-2</v>
      </c>
      <c r="W82" s="3"/>
      <c r="X82" s="8">
        <f t="shared" si="58"/>
        <v>229.16999999999996</v>
      </c>
      <c r="Y82" s="3"/>
      <c r="Z82" s="7">
        <f t="shared" si="59"/>
        <v>0.2964683053040103</v>
      </c>
    </row>
    <row r="83" spans="1:26" s="24" customFormat="1" hidden="1" outlineLevel="2" x14ac:dyDescent="0.3">
      <c r="A83" s="29"/>
      <c r="B83" s="11" t="str">
        <f>CONCATENATE("          ", "6239", " - ", "KITCHEN SUPPLIES")</f>
        <v xml:space="preserve">          6239 - KITCHEN SUPPLIES</v>
      </c>
      <c r="C83" s="11"/>
      <c r="D83" s="8">
        <v>32.03</v>
      </c>
      <c r="E83" s="3"/>
      <c r="F83" s="7">
        <f t="shared" si="52"/>
        <v>1.6256976973766024E-3</v>
      </c>
      <c r="G83" s="3"/>
      <c r="H83" s="8">
        <v>5163</v>
      </c>
      <c r="I83" s="3"/>
      <c r="J83" s="7">
        <f t="shared" si="53"/>
        <v>0.60634174985320022</v>
      </c>
      <c r="K83" s="3"/>
      <c r="L83" s="8">
        <f t="shared" si="54"/>
        <v>-5130.97</v>
      </c>
      <c r="M83" s="3"/>
      <c r="N83" s="7">
        <f t="shared" si="55"/>
        <v>-0.99379624249467369</v>
      </c>
      <c r="O83" s="11"/>
      <c r="P83" s="8">
        <v>32.03</v>
      </c>
      <c r="Q83" s="3"/>
      <c r="R83" s="7">
        <f t="shared" si="56"/>
        <v>1.6256976973766024E-3</v>
      </c>
      <c r="S83" s="3"/>
      <c r="T83" s="8">
        <v>5163</v>
      </c>
      <c r="U83" s="3"/>
      <c r="V83" s="7">
        <f t="shared" si="57"/>
        <v>0.60634174985320022</v>
      </c>
      <c r="W83" s="3"/>
      <c r="X83" s="8">
        <f t="shared" si="58"/>
        <v>-5130.97</v>
      </c>
      <c r="Y83" s="3"/>
      <c r="Z83" s="7">
        <f t="shared" si="59"/>
        <v>-0.99379624249467369</v>
      </c>
    </row>
    <row r="84" spans="1:26" s="24" customFormat="1" hidden="1" outlineLevel="2" x14ac:dyDescent="0.3">
      <c r="A84" s="29"/>
      <c r="B84" s="11" t="str">
        <f>CONCATENATE("          ", "6241", " - ", "OFFICE EXPENSE")</f>
        <v xml:space="preserve">          6241 - OFFICE EXPENSE</v>
      </c>
      <c r="C84" s="11"/>
      <c r="D84" s="8">
        <v>643.07000000000005</v>
      </c>
      <c r="E84" s="3"/>
      <c r="F84" s="7">
        <f t="shared" si="52"/>
        <v>3.2639319957913568E-2</v>
      </c>
      <c r="G84" s="3"/>
      <c r="H84" s="8">
        <v>44</v>
      </c>
      <c r="I84" s="3"/>
      <c r="J84" s="7">
        <f t="shared" si="53"/>
        <v>5.167351732237228E-3</v>
      </c>
      <c r="K84" s="3"/>
      <c r="L84" s="8">
        <f t="shared" si="54"/>
        <v>599.07000000000005</v>
      </c>
      <c r="M84" s="3"/>
      <c r="N84" s="7">
        <f t="shared" si="55"/>
        <v>13.615227272727275</v>
      </c>
      <c r="O84" s="11"/>
      <c r="P84" s="8">
        <v>643.07000000000005</v>
      </c>
      <c r="Q84" s="3"/>
      <c r="R84" s="7">
        <f t="shared" si="56"/>
        <v>3.2639319957913568E-2</v>
      </c>
      <c r="S84" s="3"/>
      <c r="T84" s="8">
        <v>44</v>
      </c>
      <c r="U84" s="3"/>
      <c r="V84" s="7">
        <f t="shared" si="57"/>
        <v>5.167351732237228E-3</v>
      </c>
      <c r="W84" s="3"/>
      <c r="X84" s="8">
        <f t="shared" si="58"/>
        <v>599.07000000000005</v>
      </c>
      <c r="Y84" s="3"/>
      <c r="Z84" s="7">
        <f t="shared" si="59"/>
        <v>13.615227272727275</v>
      </c>
    </row>
    <row r="85" spans="1:26" s="24" customFormat="1" hidden="1" outlineLevel="2" x14ac:dyDescent="0.3">
      <c r="A85" s="29"/>
      <c r="B85" s="11" t="str">
        <f>CONCATENATE("          ", "6243", " - ", "PAPER SUPPLIES")</f>
        <v xml:space="preserve">          6243 - PAPER SUPPLIES</v>
      </c>
      <c r="C85" s="11"/>
      <c r="D85" s="8">
        <v>165.38</v>
      </c>
      <c r="E85" s="3"/>
      <c r="F85" s="7">
        <f t="shared" si="52"/>
        <v>8.3939395938851854E-3</v>
      </c>
      <c r="G85" s="3"/>
      <c r="H85" s="8">
        <v>509</v>
      </c>
      <c r="I85" s="3"/>
      <c r="J85" s="7">
        <f t="shared" si="53"/>
        <v>5.9776864357017026E-2</v>
      </c>
      <c r="K85" s="3"/>
      <c r="L85" s="8">
        <f t="shared" si="54"/>
        <v>-343.62</v>
      </c>
      <c r="M85" s="3"/>
      <c r="N85" s="7">
        <f t="shared" si="55"/>
        <v>-0.67508840864440078</v>
      </c>
      <c r="O85" s="11"/>
      <c r="P85" s="8">
        <v>165.38</v>
      </c>
      <c r="Q85" s="3"/>
      <c r="R85" s="7">
        <f t="shared" si="56"/>
        <v>8.3939395938851854E-3</v>
      </c>
      <c r="S85" s="3"/>
      <c r="T85" s="8">
        <v>509</v>
      </c>
      <c r="U85" s="3"/>
      <c r="V85" s="7">
        <f t="shared" si="57"/>
        <v>5.9776864357017026E-2</v>
      </c>
      <c r="W85" s="3"/>
      <c r="X85" s="8">
        <f t="shared" si="58"/>
        <v>-343.62</v>
      </c>
      <c r="Y85" s="3"/>
      <c r="Z85" s="7">
        <f t="shared" si="59"/>
        <v>-0.67508840864440078</v>
      </c>
    </row>
    <row r="86" spans="1:26" s="24" customFormat="1" hidden="1" outlineLevel="2" x14ac:dyDescent="0.3">
      <c r="A86" s="29"/>
      <c r="B86" s="11" t="str">
        <f>CONCATENATE("          ", "6244", " - ", "SAFETY SUPPLY EXPENSE")</f>
        <v xml:space="preserve">          6244 - SAFETY SUPPLY EXPENSE</v>
      </c>
      <c r="C86" s="11"/>
      <c r="D86" s="8"/>
      <c r="E86" s="3"/>
      <c r="F86" s="7">
        <f t="shared" si="52"/>
        <v>0</v>
      </c>
      <c r="G86" s="3"/>
      <c r="H86" s="8">
        <v>50</v>
      </c>
      <c r="I86" s="3"/>
      <c r="J86" s="7">
        <f t="shared" si="53"/>
        <v>5.8719906048150319E-3</v>
      </c>
      <c r="K86" s="3"/>
      <c r="L86" s="8">
        <f t="shared" si="54"/>
        <v>-50</v>
      </c>
      <c r="M86" s="3"/>
      <c r="N86" s="7">
        <f t="shared" si="55"/>
        <v>-1</v>
      </c>
      <c r="O86" s="11"/>
      <c r="P86" s="8"/>
      <c r="Q86" s="3"/>
      <c r="R86" s="7">
        <f t="shared" si="56"/>
        <v>0</v>
      </c>
      <c r="S86" s="3"/>
      <c r="T86" s="8">
        <v>50</v>
      </c>
      <c r="U86" s="3"/>
      <c r="V86" s="7">
        <f t="shared" si="57"/>
        <v>5.8719906048150319E-3</v>
      </c>
      <c r="W86" s="3"/>
      <c r="X86" s="8">
        <f t="shared" si="58"/>
        <v>-50</v>
      </c>
      <c r="Y86" s="3"/>
      <c r="Z86" s="7">
        <f t="shared" si="59"/>
        <v>-1</v>
      </c>
    </row>
    <row r="87" spans="1:26" s="24" customFormat="1" hidden="1" outlineLevel="2" x14ac:dyDescent="0.3">
      <c r="A87" s="29"/>
      <c r="B87" s="11" t="str">
        <f>CONCATENATE("          ", "6245", " - ", "PRINTING")</f>
        <v xml:space="preserve">          6245 - PRINTING</v>
      </c>
      <c r="C87" s="11"/>
      <c r="D87" s="8"/>
      <c r="E87" s="3"/>
      <c r="F87" s="7">
        <f t="shared" si="52"/>
        <v>0</v>
      </c>
      <c r="G87" s="3"/>
      <c r="H87" s="8">
        <v>400</v>
      </c>
      <c r="I87" s="3"/>
      <c r="J87" s="7">
        <f t="shared" si="53"/>
        <v>4.6975924838520255E-2</v>
      </c>
      <c r="K87" s="3"/>
      <c r="L87" s="8">
        <f t="shared" si="54"/>
        <v>-400</v>
      </c>
      <c r="M87" s="3"/>
      <c r="N87" s="7">
        <f t="shared" si="55"/>
        <v>-1</v>
      </c>
      <c r="O87" s="11"/>
      <c r="P87" s="8"/>
      <c r="Q87" s="3"/>
      <c r="R87" s="7">
        <f t="shared" si="56"/>
        <v>0</v>
      </c>
      <c r="S87" s="3"/>
      <c r="T87" s="8">
        <v>400</v>
      </c>
      <c r="U87" s="3"/>
      <c r="V87" s="7">
        <f t="shared" si="57"/>
        <v>4.6975924838520255E-2</v>
      </c>
      <c r="W87" s="3"/>
      <c r="X87" s="8">
        <f t="shared" si="58"/>
        <v>-400</v>
      </c>
      <c r="Y87" s="3"/>
      <c r="Z87" s="7">
        <f t="shared" si="59"/>
        <v>-1</v>
      </c>
    </row>
    <row r="88" spans="1:26" s="24" customFormat="1" hidden="1" outlineLevel="2" x14ac:dyDescent="0.3">
      <c r="A88" s="29"/>
      <c r="B88" s="11" t="str">
        <f>CONCATENATE("          ", "6247", " - ", "STORE SUPPLIES")</f>
        <v xml:space="preserve">          6247 - STORE SUPPLIES</v>
      </c>
      <c r="C88" s="11"/>
      <c r="D88" s="8"/>
      <c r="E88" s="3"/>
      <c r="F88" s="7">
        <f t="shared" si="52"/>
        <v>0</v>
      </c>
      <c r="G88" s="3"/>
      <c r="H88" s="8">
        <v>0</v>
      </c>
      <c r="I88" s="3"/>
      <c r="J88" s="7">
        <f t="shared" si="53"/>
        <v>0</v>
      </c>
      <c r="K88" s="3"/>
      <c r="L88" s="8">
        <f t="shared" si="54"/>
        <v>0</v>
      </c>
      <c r="M88" s="3"/>
      <c r="N88" s="7">
        <f t="shared" si="55"/>
        <v>0</v>
      </c>
      <c r="O88" s="11"/>
      <c r="P88" s="8"/>
      <c r="Q88" s="3"/>
      <c r="R88" s="7">
        <f t="shared" si="56"/>
        <v>0</v>
      </c>
      <c r="S88" s="3"/>
      <c r="T88" s="8">
        <v>0</v>
      </c>
      <c r="U88" s="3"/>
      <c r="V88" s="7">
        <f t="shared" si="57"/>
        <v>0</v>
      </c>
      <c r="W88" s="3"/>
      <c r="X88" s="8">
        <f t="shared" si="58"/>
        <v>0</v>
      </c>
      <c r="Y88" s="3"/>
      <c r="Z88" s="7">
        <f t="shared" si="59"/>
        <v>0</v>
      </c>
    </row>
    <row r="89" spans="1:26" s="24" customFormat="1" hidden="1" outlineLevel="2" x14ac:dyDescent="0.3">
      <c r="A89" s="29"/>
      <c r="B89" s="11" t="str">
        <f>CONCATENATE("          ", "6248", " - ", "UNIFORMS")</f>
        <v xml:space="preserve">          6248 - UNIFORMS</v>
      </c>
      <c r="C89" s="11"/>
      <c r="D89" s="8"/>
      <c r="E89" s="3"/>
      <c r="F89" s="7">
        <f t="shared" si="52"/>
        <v>0</v>
      </c>
      <c r="G89" s="3"/>
      <c r="H89" s="8">
        <v>1600</v>
      </c>
      <c r="I89" s="3"/>
      <c r="J89" s="7">
        <f t="shared" si="53"/>
        <v>0.18790369935408102</v>
      </c>
      <c r="K89" s="3"/>
      <c r="L89" s="8">
        <f t="shared" si="54"/>
        <v>-1600</v>
      </c>
      <c r="M89" s="3"/>
      <c r="N89" s="7">
        <f t="shared" si="55"/>
        <v>-1</v>
      </c>
      <c r="O89" s="11"/>
      <c r="P89" s="8"/>
      <c r="Q89" s="3"/>
      <c r="R89" s="7">
        <f t="shared" si="56"/>
        <v>0</v>
      </c>
      <c r="S89" s="3"/>
      <c r="T89" s="8">
        <v>1600</v>
      </c>
      <c r="U89" s="3"/>
      <c r="V89" s="7">
        <f t="shared" si="57"/>
        <v>0.18790369935408102</v>
      </c>
      <c r="W89" s="3"/>
      <c r="X89" s="8">
        <f t="shared" si="58"/>
        <v>-1600</v>
      </c>
      <c r="Y89" s="3"/>
      <c r="Z89" s="7">
        <f t="shared" si="59"/>
        <v>-1</v>
      </c>
    </row>
    <row r="90" spans="1:26" s="27" customFormat="1" outlineLevel="1" collapsed="1" x14ac:dyDescent="0.3">
      <c r="A90" s="28"/>
      <c r="B90" s="14" t="str">
        <f>CONCATENATE("     ","Telephone/Data Lines                              ")</f>
        <v xml:space="preserve">     Telephone/Data Lines                              </v>
      </c>
      <c r="C90" s="14"/>
      <c r="D90" s="1">
        <f>SUM(OSRRefD22_16x_0)</f>
        <v>642.35</v>
      </c>
      <c r="E90" s="1"/>
      <c r="F90" s="5">
        <f t="shared" ref="F90:F92" si="60">IF(D$12=0,0,D90/D$12)</f>
        <v>3.2602776019664707E-2</v>
      </c>
      <c r="G90" s="1"/>
      <c r="H90" s="1">
        <f>SUM(OSRRefH22_16x_0)</f>
        <v>688</v>
      </c>
      <c r="I90" s="1"/>
      <c r="J90" s="5">
        <f t="shared" ref="J90:J92" si="61">IF(H$12=0,0,H90/H$12)</f>
        <v>8.0798590722254843E-2</v>
      </c>
      <c r="K90" s="1"/>
      <c r="L90" s="1">
        <f t="shared" ref="L90:L92" si="62">+D90-H90</f>
        <v>-45.649999999999977</v>
      </c>
      <c r="M90" s="1"/>
      <c r="N90" s="5">
        <f t="shared" ref="N90:N92" si="63">IF(H90=0,0,L90/H90)</f>
        <v>-6.6351744186046474E-2</v>
      </c>
      <c r="O90" s="14"/>
      <c r="P90" s="1">
        <f>SUM(OSRRefP22_16x_0)</f>
        <v>642.35</v>
      </c>
      <c r="Q90" s="1"/>
      <c r="R90" s="5">
        <f t="shared" ref="R90:R92" si="64">IF(P$12=0,0,P90/P$12)</f>
        <v>3.2602776019664707E-2</v>
      </c>
      <c r="S90" s="1"/>
      <c r="T90" s="1">
        <f>SUM(OSRRefT22_16x_0)</f>
        <v>688</v>
      </c>
      <c r="U90" s="1"/>
      <c r="V90" s="5">
        <f t="shared" ref="V90:V92" si="65">IF(T$12=0,0,T90/T$12)</f>
        <v>8.0798590722254843E-2</v>
      </c>
      <c r="W90" s="1"/>
      <c r="X90" s="1">
        <f t="shared" ref="X90:X92" si="66">+P90-T90</f>
        <v>-45.649999999999977</v>
      </c>
      <c r="Y90" s="1"/>
      <c r="Z90" s="5">
        <f t="shared" ref="Z90:Z92" si="67">IF(T90=0,0,X90/T90)</f>
        <v>-6.6351744186046474E-2</v>
      </c>
    </row>
    <row r="91" spans="1:26" s="24" customFormat="1" hidden="1" outlineLevel="2" x14ac:dyDescent="0.3">
      <c r="A91" s="29"/>
      <c r="B91" s="11" t="str">
        <f>CONCATENATE("          ", "6303", " - ", "DATA PHONE LINES")</f>
        <v xml:space="preserve">          6303 - DATA PHONE LINES</v>
      </c>
      <c r="C91" s="11"/>
      <c r="D91" s="8"/>
      <c r="E91" s="3"/>
      <c r="F91" s="7">
        <f t="shared" si="60"/>
        <v>0</v>
      </c>
      <c r="G91" s="3"/>
      <c r="H91" s="8">
        <v>185</v>
      </c>
      <c r="I91" s="3"/>
      <c r="J91" s="7">
        <f t="shared" si="61"/>
        <v>2.1726365237815619E-2</v>
      </c>
      <c r="K91" s="3"/>
      <c r="L91" s="8">
        <f t="shared" si="62"/>
        <v>-185</v>
      </c>
      <c r="M91" s="3"/>
      <c r="N91" s="7">
        <f t="shared" si="63"/>
        <v>-1</v>
      </c>
      <c r="O91" s="11"/>
      <c r="P91" s="8"/>
      <c r="Q91" s="3"/>
      <c r="R91" s="7">
        <f t="shared" si="64"/>
        <v>0</v>
      </c>
      <c r="S91" s="3"/>
      <c r="T91" s="8">
        <v>185</v>
      </c>
      <c r="U91" s="3"/>
      <c r="V91" s="7">
        <f t="shared" si="65"/>
        <v>2.1726365237815619E-2</v>
      </c>
      <c r="W91" s="3"/>
      <c r="X91" s="8">
        <f t="shared" si="66"/>
        <v>-185</v>
      </c>
      <c r="Y91" s="3"/>
      <c r="Z91" s="7">
        <f t="shared" si="67"/>
        <v>-1</v>
      </c>
    </row>
    <row r="92" spans="1:26" s="24" customFormat="1" hidden="1" outlineLevel="2" x14ac:dyDescent="0.3">
      <c r="A92" s="29"/>
      <c r="B92" s="11" t="str">
        <f>CONCATENATE("          ", "6309", " - ", "TELEPHONE")</f>
        <v xml:space="preserve">          6309 - TELEPHONE</v>
      </c>
      <c r="C92" s="11"/>
      <c r="D92" s="8">
        <v>642.35</v>
      </c>
      <c r="E92" s="3"/>
      <c r="F92" s="7">
        <f t="shared" si="60"/>
        <v>3.2602776019664707E-2</v>
      </c>
      <c r="G92" s="3"/>
      <c r="H92" s="8">
        <v>503</v>
      </c>
      <c r="I92" s="3"/>
      <c r="J92" s="7">
        <f t="shared" si="61"/>
        <v>5.9072225484439224E-2</v>
      </c>
      <c r="K92" s="3"/>
      <c r="L92" s="8">
        <f t="shared" si="62"/>
        <v>139.35000000000002</v>
      </c>
      <c r="M92" s="3"/>
      <c r="N92" s="7">
        <f t="shared" si="63"/>
        <v>0.27703777335984098</v>
      </c>
      <c r="O92" s="11"/>
      <c r="P92" s="8">
        <v>642.35</v>
      </c>
      <c r="Q92" s="3"/>
      <c r="R92" s="7">
        <f t="shared" si="64"/>
        <v>3.2602776019664707E-2</v>
      </c>
      <c r="S92" s="3"/>
      <c r="T92" s="8">
        <v>503</v>
      </c>
      <c r="U92" s="3"/>
      <c r="V92" s="7">
        <f t="shared" si="65"/>
        <v>5.9072225484439224E-2</v>
      </c>
      <c r="W92" s="3"/>
      <c r="X92" s="8">
        <f t="shared" si="66"/>
        <v>139.35000000000002</v>
      </c>
      <c r="Y92" s="3"/>
      <c r="Z92" s="7">
        <f t="shared" si="67"/>
        <v>0.27703777335984098</v>
      </c>
    </row>
    <row r="93" spans="1:26" s="27" customFormat="1" outlineLevel="1" collapsed="1" x14ac:dyDescent="0.3">
      <c r="A93" s="28"/>
      <c r="B93" s="14" t="str">
        <f>CONCATENATE("     ","Training                                          ")</f>
        <v xml:space="preserve">     Training                                          </v>
      </c>
      <c r="C93" s="14"/>
      <c r="D93" s="1">
        <f>SUM(OSRRefD22_17x_0)</f>
        <v>0</v>
      </c>
      <c r="E93" s="1"/>
      <c r="F93" s="5">
        <f t="shared" ref="F93:F96" si="68">IF(D$12=0,0,D93/D$12)</f>
        <v>0</v>
      </c>
      <c r="G93" s="1"/>
      <c r="H93" s="1">
        <f>SUM(OSRRefH22_17x_0)</f>
        <v>320</v>
      </c>
      <c r="I93" s="1"/>
      <c r="J93" s="5">
        <f t="shared" ref="J93:J96" si="69">IF(H$12=0,0,H93/H$12)</f>
        <v>3.7580739870816206E-2</v>
      </c>
      <c r="K93" s="1"/>
      <c r="L93" s="1">
        <f t="shared" ref="L93:L96" si="70">+D93-H93</f>
        <v>-320</v>
      </c>
      <c r="M93" s="1"/>
      <c r="N93" s="5">
        <f t="shared" ref="N93:N96" si="71">IF(H93=0,0,L93/H93)</f>
        <v>-1</v>
      </c>
      <c r="O93" s="14"/>
      <c r="P93" s="1">
        <f>SUM(OSRRefP22_17x_0)</f>
        <v>0</v>
      </c>
      <c r="Q93" s="1"/>
      <c r="R93" s="5">
        <f t="shared" ref="R93:R96" si="72">IF(P$12=0,0,P93/P$12)</f>
        <v>0</v>
      </c>
      <c r="S93" s="1"/>
      <c r="T93" s="1">
        <f>SUM(OSRRefT22_17x_0)</f>
        <v>320</v>
      </c>
      <c r="U93" s="1"/>
      <c r="V93" s="5">
        <f t="shared" ref="V93:V96" si="73">IF(T$12=0,0,T93/T$12)</f>
        <v>3.7580739870816206E-2</v>
      </c>
      <c r="W93" s="1"/>
      <c r="X93" s="1">
        <f t="shared" ref="X93:X96" si="74">+P93-T93</f>
        <v>-320</v>
      </c>
      <c r="Y93" s="1"/>
      <c r="Z93" s="5">
        <f t="shared" ref="Z93:Z96" si="75">IF(T93=0,0,X93/T93)</f>
        <v>-1</v>
      </c>
    </row>
    <row r="94" spans="1:26" s="24" customFormat="1" hidden="1" outlineLevel="2" x14ac:dyDescent="0.3">
      <c r="A94" s="29"/>
      <c r="B94" s="11" t="str">
        <f>CONCATENATE("          ", "6376", " - ", "TRAINING")</f>
        <v xml:space="preserve">          6376 - TRAINING</v>
      </c>
      <c r="C94" s="11"/>
      <c r="D94" s="8"/>
      <c r="E94" s="3"/>
      <c r="F94" s="7">
        <f t="shared" si="68"/>
        <v>0</v>
      </c>
      <c r="G94" s="3"/>
      <c r="H94" s="8">
        <v>320</v>
      </c>
      <c r="I94" s="3"/>
      <c r="J94" s="7">
        <f t="shared" si="69"/>
        <v>3.7580739870816206E-2</v>
      </c>
      <c r="K94" s="3"/>
      <c r="L94" s="8">
        <f t="shared" si="70"/>
        <v>-320</v>
      </c>
      <c r="M94" s="3"/>
      <c r="N94" s="7">
        <f t="shared" si="71"/>
        <v>-1</v>
      </c>
      <c r="O94" s="11"/>
      <c r="P94" s="8"/>
      <c r="Q94" s="3"/>
      <c r="R94" s="7">
        <f t="shared" si="72"/>
        <v>0</v>
      </c>
      <c r="S94" s="3"/>
      <c r="T94" s="8">
        <v>320</v>
      </c>
      <c r="U94" s="3"/>
      <c r="V94" s="7">
        <f t="shared" si="73"/>
        <v>3.7580739870816206E-2</v>
      </c>
      <c r="W94" s="3"/>
      <c r="X94" s="8">
        <f t="shared" si="74"/>
        <v>-320</v>
      </c>
      <c r="Y94" s="3"/>
      <c r="Z94" s="7">
        <f t="shared" si="75"/>
        <v>-1</v>
      </c>
    </row>
    <row r="95" spans="1:26" s="27" customFormat="1" outlineLevel="1" collapsed="1" x14ac:dyDescent="0.3">
      <c r="A95" s="28"/>
      <c r="B95" s="14" t="str">
        <f>CONCATENATE("     ","Utilities                                         ")</f>
        <v xml:space="preserve">     Utilities                                         </v>
      </c>
      <c r="C95" s="14"/>
      <c r="D95" s="1">
        <f>SUM(OSRRefD22_18x_0)</f>
        <v>8250</v>
      </c>
      <c r="E95" s="1"/>
      <c r="F95" s="5">
        <f t="shared" si="68"/>
        <v>0.41873262576824755</v>
      </c>
      <c r="G95" s="1"/>
      <c r="H95" s="1">
        <f>SUM(OSRRefH22_18x_0)</f>
        <v>8667</v>
      </c>
      <c r="I95" s="1"/>
      <c r="J95" s="5">
        <f t="shared" si="69"/>
        <v>1.0178508514386377</v>
      </c>
      <c r="K95" s="1"/>
      <c r="L95" s="1">
        <f t="shared" si="70"/>
        <v>-417</v>
      </c>
      <c r="M95" s="1"/>
      <c r="N95" s="5">
        <f t="shared" si="71"/>
        <v>-4.8113534094842508E-2</v>
      </c>
      <c r="O95" s="14"/>
      <c r="P95" s="1">
        <f>SUM(OSRRefP22_18x_0)</f>
        <v>8250</v>
      </c>
      <c r="Q95" s="1"/>
      <c r="R95" s="5">
        <f t="shared" si="72"/>
        <v>0.41873262576824755</v>
      </c>
      <c r="S95" s="1"/>
      <c r="T95" s="1">
        <f>SUM(OSRRefT22_18x_0)</f>
        <v>8667</v>
      </c>
      <c r="U95" s="1"/>
      <c r="V95" s="5">
        <f t="shared" si="73"/>
        <v>1.0178508514386377</v>
      </c>
      <c r="W95" s="1"/>
      <c r="X95" s="1">
        <f t="shared" si="74"/>
        <v>-417</v>
      </c>
      <c r="Y95" s="1"/>
      <c r="Z95" s="5">
        <f t="shared" si="75"/>
        <v>-4.8113534094842508E-2</v>
      </c>
    </row>
    <row r="96" spans="1:26" s="24" customFormat="1" hidden="1" outlineLevel="2" x14ac:dyDescent="0.3">
      <c r="A96" s="29"/>
      <c r="B96" s="11" t="str">
        <f>CONCATENATE("          ", "6274", " - ", "UTILITIES")</f>
        <v xml:space="preserve">          6274 - UTILITIES</v>
      </c>
      <c r="C96" s="11"/>
      <c r="D96" s="8">
        <v>8250</v>
      </c>
      <c r="E96" s="3"/>
      <c r="F96" s="7">
        <f t="shared" si="68"/>
        <v>0.41873262576824755</v>
      </c>
      <c r="G96" s="3"/>
      <c r="H96" s="8">
        <v>8667</v>
      </c>
      <c r="I96" s="3"/>
      <c r="J96" s="7">
        <f t="shared" si="69"/>
        <v>1.0178508514386377</v>
      </c>
      <c r="K96" s="3"/>
      <c r="L96" s="8">
        <f t="shared" si="70"/>
        <v>-417</v>
      </c>
      <c r="M96" s="3"/>
      <c r="N96" s="7">
        <f t="shared" si="71"/>
        <v>-4.8113534094842508E-2</v>
      </c>
      <c r="O96" s="11"/>
      <c r="P96" s="8">
        <v>8250</v>
      </c>
      <c r="Q96" s="3"/>
      <c r="R96" s="7">
        <f t="shared" si="72"/>
        <v>0.41873262576824755</v>
      </c>
      <c r="S96" s="3"/>
      <c r="T96" s="8">
        <v>8667</v>
      </c>
      <c r="U96" s="3"/>
      <c r="V96" s="7">
        <f t="shared" si="73"/>
        <v>1.0178508514386377</v>
      </c>
      <c r="W96" s="3"/>
      <c r="X96" s="8">
        <f t="shared" si="74"/>
        <v>-417</v>
      </c>
      <c r="Y96" s="3"/>
      <c r="Z96" s="7">
        <f t="shared" si="75"/>
        <v>-4.8113534094842508E-2</v>
      </c>
    </row>
    <row r="97" spans="1:26" s="62" customFormat="1" x14ac:dyDescent="0.3">
      <c r="A97" s="36"/>
      <c r="B97" s="36"/>
      <c r="C97" s="36"/>
      <c r="D97" s="1"/>
      <c r="E97" s="1"/>
      <c r="F97" s="5"/>
      <c r="G97" s="1"/>
      <c r="H97" s="1"/>
      <c r="I97" s="1"/>
      <c r="J97" s="5"/>
      <c r="K97" s="1"/>
      <c r="L97" s="1"/>
      <c r="M97" s="1"/>
      <c r="N97" s="5"/>
      <c r="O97" s="36"/>
      <c r="P97" s="1"/>
      <c r="Q97" s="1"/>
      <c r="R97" s="5"/>
      <c r="S97" s="1"/>
      <c r="T97" s="1"/>
      <c r="U97" s="1"/>
      <c r="V97" s="5"/>
      <c r="W97" s="1"/>
      <c r="X97" s="1"/>
      <c r="Y97" s="1"/>
      <c r="Z97" s="5"/>
    </row>
    <row r="98" spans="1:26" s="23" customFormat="1" collapsed="1" x14ac:dyDescent="0.3">
      <c r="A98" s="10"/>
      <c r="B98" s="25" t="s">
        <v>293</v>
      </c>
      <c r="C98" s="10"/>
      <c r="D98" s="4">
        <f>SUM(OSRRefD25x_0)</f>
        <v>2655.42</v>
      </c>
      <c r="E98" s="4"/>
      <c r="F98" s="12">
        <f t="shared" ref="F98:F100" si="76">IF(D$12=0,0,D98/D$12)</f>
        <v>0.1347770895900024</v>
      </c>
      <c r="G98" s="4"/>
      <c r="H98" s="4">
        <f>SUM(OSRRefH25x_0)</f>
        <v>0</v>
      </c>
      <c r="I98" s="4"/>
      <c r="J98" s="12">
        <f t="shared" ref="J98:J100" si="77">IF(H$12=0,0,H98/H$12)</f>
        <v>0</v>
      </c>
      <c r="K98" s="4"/>
      <c r="L98" s="4">
        <f t="shared" ref="L98:L100" si="78">+D98-H98</f>
        <v>2655.42</v>
      </c>
      <c r="M98" s="4"/>
      <c r="N98" s="12">
        <f t="shared" ref="N98:N100" si="79">IF(H98=0,0,L98/H98)</f>
        <v>0</v>
      </c>
      <c r="O98" s="10"/>
      <c r="P98" s="4">
        <f>SUM(OSRRefP25x_0)</f>
        <v>2655.42</v>
      </c>
      <c r="Q98" s="4"/>
      <c r="R98" s="12">
        <f t="shared" ref="R98:R100" si="80">IF(P$12=0,0,P98/P$12)</f>
        <v>0.1347770895900024</v>
      </c>
      <c r="S98" s="4"/>
      <c r="T98" s="4">
        <f>SUM(OSRRefT25x_0)</f>
        <v>0</v>
      </c>
      <c r="U98" s="4"/>
      <c r="V98" s="12">
        <f t="shared" ref="V98:V100" si="81">IF(T$12=0,0,T98/T$12)</f>
        <v>0</v>
      </c>
      <c r="W98" s="4"/>
      <c r="X98" s="4">
        <f t="shared" ref="X98:X100" si="82">+P98-T98</f>
        <v>2655.42</v>
      </c>
      <c r="Y98" s="4"/>
      <c r="Z98" s="12">
        <f t="shared" ref="Z98:Z100" si="83">IF(T98=0,0,X98/T98)</f>
        <v>0</v>
      </c>
    </row>
    <row r="99" spans="1:26" s="24" customFormat="1" hidden="1" outlineLevel="1" x14ac:dyDescent="0.3">
      <c r="A99" s="44"/>
      <c r="B99" s="11" t="str">
        <f>CONCATENATE("          ", "9150", " - ", "MISC. INCOME")</f>
        <v xml:space="preserve">          9150 - MISC. INCOME</v>
      </c>
      <c r="C99" s="11"/>
      <c r="D99" s="3">
        <f>--1417.3</f>
        <v>1417.3</v>
      </c>
      <c r="E99" s="3"/>
      <c r="F99" s="19">
        <f t="shared" si="76"/>
        <v>7.1935727333495417E-2</v>
      </c>
      <c r="G99" s="3"/>
      <c r="H99" s="3"/>
      <c r="I99" s="3"/>
      <c r="J99" s="19">
        <f t="shared" si="77"/>
        <v>0</v>
      </c>
      <c r="K99" s="3"/>
      <c r="L99" s="3">
        <f t="shared" si="78"/>
        <v>1417.3</v>
      </c>
      <c r="M99" s="3"/>
      <c r="N99" s="19">
        <f t="shared" si="79"/>
        <v>0</v>
      </c>
      <c r="O99" s="11"/>
      <c r="P99" s="3">
        <f>--1417.3</f>
        <v>1417.3</v>
      </c>
      <c r="Q99" s="3"/>
      <c r="R99" s="19">
        <f t="shared" si="80"/>
        <v>7.1935727333495417E-2</v>
      </c>
      <c r="S99" s="3"/>
      <c r="T99" s="3"/>
      <c r="U99" s="3"/>
      <c r="V99" s="19">
        <f t="shared" si="81"/>
        <v>0</v>
      </c>
      <c r="W99" s="3"/>
      <c r="X99" s="3">
        <f t="shared" si="82"/>
        <v>1417.3</v>
      </c>
      <c r="Y99" s="3"/>
      <c r="Z99" s="19">
        <f t="shared" si="83"/>
        <v>0</v>
      </c>
    </row>
    <row r="100" spans="1:26" s="24" customFormat="1" hidden="1" outlineLevel="1" x14ac:dyDescent="0.3">
      <c r="A100" s="44"/>
      <c r="B100" s="11" t="str">
        <f>CONCATENATE("          ", "9160", " - ", "MISC. INCOME")</f>
        <v xml:space="preserve">          9160 - MISC. INCOME</v>
      </c>
      <c r="C100" s="11"/>
      <c r="D100" s="3">
        <f>--1238.12</f>
        <v>1238.1199999999999</v>
      </c>
      <c r="E100" s="3"/>
      <c r="F100" s="19">
        <f t="shared" si="76"/>
        <v>6.284136225650698E-2</v>
      </c>
      <c r="G100" s="3"/>
      <c r="H100" s="3"/>
      <c r="I100" s="3"/>
      <c r="J100" s="19">
        <f t="shared" si="77"/>
        <v>0</v>
      </c>
      <c r="K100" s="3"/>
      <c r="L100" s="3">
        <f t="shared" si="78"/>
        <v>1238.1199999999999</v>
      </c>
      <c r="M100" s="3"/>
      <c r="N100" s="19">
        <f t="shared" si="79"/>
        <v>0</v>
      </c>
      <c r="O100" s="11"/>
      <c r="P100" s="3">
        <f>--1238.12</f>
        <v>1238.1199999999999</v>
      </c>
      <c r="Q100" s="3"/>
      <c r="R100" s="19">
        <f t="shared" si="80"/>
        <v>6.284136225650698E-2</v>
      </c>
      <c r="S100" s="3"/>
      <c r="T100" s="3"/>
      <c r="U100" s="3"/>
      <c r="V100" s="19">
        <f t="shared" si="81"/>
        <v>0</v>
      </c>
      <c r="W100" s="3"/>
      <c r="X100" s="3">
        <f t="shared" si="82"/>
        <v>1238.1199999999999</v>
      </c>
      <c r="Y100" s="3"/>
      <c r="Z100" s="19">
        <f t="shared" si="83"/>
        <v>0</v>
      </c>
    </row>
    <row r="101" spans="1:26" x14ac:dyDescent="0.3">
      <c r="A101" s="9"/>
      <c r="B101" s="10"/>
      <c r="C101" s="10"/>
      <c r="D101" s="2"/>
      <c r="E101" s="2"/>
      <c r="F101" s="6"/>
      <c r="G101" s="2"/>
      <c r="H101" s="2"/>
      <c r="I101" s="2"/>
      <c r="J101" s="6"/>
      <c r="K101" s="2"/>
      <c r="L101" s="2"/>
      <c r="M101" s="2"/>
      <c r="N101" s="6"/>
      <c r="O101" s="10"/>
      <c r="P101" s="2"/>
      <c r="Q101" s="2"/>
      <c r="R101" s="6"/>
      <c r="S101" s="2"/>
      <c r="T101" s="2"/>
      <c r="U101" s="2"/>
      <c r="V101" s="6"/>
      <c r="W101" s="2"/>
      <c r="X101" s="2"/>
      <c r="Y101" s="2"/>
      <c r="Z101" s="6"/>
    </row>
    <row r="102" spans="1:26" s="23" customFormat="1" x14ac:dyDescent="0.3">
      <c r="A102" s="10"/>
      <c r="B102" s="26" t="s">
        <v>277</v>
      </c>
      <c r="C102" s="26"/>
      <c r="D102" s="21">
        <f>+D23-D25+D98</f>
        <v>-140482.68000000002</v>
      </c>
      <c r="E102" s="13"/>
      <c r="F102" s="22">
        <f>IF(D$12=0,0,D102/D$12)</f>
        <v>-7.1302644207709678</v>
      </c>
      <c r="G102" s="13"/>
      <c r="H102" s="21">
        <f>+H23-H25+H98</f>
        <v>-181251.47018145572</v>
      </c>
      <c r="I102" s="13"/>
      <c r="J102" s="22">
        <f>IF(H$12=0,0,H102/H$12)</f>
        <v>-21.2861386002884</v>
      </c>
      <c r="K102" s="16"/>
      <c r="L102" s="21">
        <f>+D102-H102</f>
        <v>40768.790181455697</v>
      </c>
      <c r="M102" s="16"/>
      <c r="N102" s="22">
        <f>IF(H102=0,0,L102/H102)</f>
        <v>-0.22492943169311105</v>
      </c>
      <c r="O102" s="25"/>
      <c r="P102" s="21">
        <f>+P23-P25+P98</f>
        <v>-140482.68000000002</v>
      </c>
      <c r="Q102" s="13"/>
      <c r="R102" s="22">
        <f>IF(P$12=0,0,P102/P$12)</f>
        <v>-7.1302644207709678</v>
      </c>
      <c r="S102" s="13"/>
      <c r="T102" s="21">
        <f>+T23-T25+T98</f>
        <v>-181251.47018145572</v>
      </c>
      <c r="U102" s="13"/>
      <c r="V102" s="22">
        <f>IF(T$12=0,0,T102/T$12)</f>
        <v>-21.2861386002884</v>
      </c>
      <c r="W102" s="16"/>
      <c r="X102" s="21">
        <f>+P102-T102</f>
        <v>40768.790181455697</v>
      </c>
      <c r="Y102" s="16"/>
      <c r="Z102" s="22">
        <f>IF(T102=0,0,X102/T102)</f>
        <v>-0.22492943169311105</v>
      </c>
    </row>
    <row r="103" spans="1:26" x14ac:dyDescent="0.3">
      <c r="A103" s="9"/>
      <c r="B103" s="10"/>
      <c r="C103" s="9"/>
      <c r="D103" s="2"/>
      <c r="E103" s="2"/>
      <c r="F103" s="6"/>
      <c r="G103" s="2"/>
      <c r="H103" s="2"/>
      <c r="I103" s="2"/>
      <c r="J103" s="6"/>
      <c r="K103" s="2"/>
      <c r="L103" s="2"/>
      <c r="M103" s="2"/>
      <c r="N103" s="6"/>
      <c r="P103" s="2"/>
      <c r="Q103" s="2"/>
      <c r="R103" s="6"/>
      <c r="S103" s="2"/>
      <c r="T103" s="2"/>
      <c r="U103" s="2"/>
      <c r="V103" s="6"/>
      <c r="W103" s="2"/>
      <c r="X103" s="2"/>
      <c r="Y103" s="2"/>
      <c r="Z103" s="6"/>
    </row>
    <row r="104" spans="1:26" s="23" customFormat="1" x14ac:dyDescent="0.3">
      <c r="A104" s="52"/>
      <c r="B104" s="10" t="s">
        <v>128</v>
      </c>
      <c r="C104" s="10"/>
      <c r="D104" s="4">
        <v>9102.39</v>
      </c>
      <c r="E104" s="4"/>
      <c r="F104" s="12">
        <f>IF(D$12=0,0,D104/D$12)</f>
        <v>0.46199608066262282</v>
      </c>
      <c r="G104" s="4"/>
      <c r="H104" s="4">
        <v>3083</v>
      </c>
      <c r="I104" s="4"/>
      <c r="J104" s="12">
        <f>IF(H$12=0,0,H104/H$12)</f>
        <v>0.36206694069289491</v>
      </c>
      <c r="K104" s="4"/>
      <c r="L104" s="4">
        <f>+D104-H104</f>
        <v>6019.3899999999994</v>
      </c>
      <c r="M104" s="4"/>
      <c r="N104" s="12">
        <f>IF(H104=0,0,L104/H104)</f>
        <v>1.9524456698021406</v>
      </c>
      <c r="O104" s="10"/>
      <c r="P104" s="4">
        <v>9102.39</v>
      </c>
      <c r="Q104" s="4"/>
      <c r="R104" s="12">
        <f>IF(P$12=0,0,P104/P$12)</f>
        <v>0.46199608066262282</v>
      </c>
      <c r="S104" s="4"/>
      <c r="T104" s="4">
        <v>3083</v>
      </c>
      <c r="U104" s="4"/>
      <c r="V104" s="12">
        <f>IF(T$12=0,0,T104/T$12)</f>
        <v>0.36206694069289491</v>
      </c>
      <c r="W104" s="4"/>
      <c r="X104" s="4">
        <f>+P104-T104</f>
        <v>6019.3899999999994</v>
      </c>
      <c r="Y104" s="4"/>
      <c r="Z104" s="12">
        <f>IF(T104=0,0,X104/T104)</f>
        <v>1.9524456698021406</v>
      </c>
    </row>
    <row r="105" spans="1:26" x14ac:dyDescent="0.3">
      <c r="A105" s="9"/>
      <c r="B105" s="10"/>
      <c r="C105" s="10"/>
      <c r="D105" s="2"/>
      <c r="E105" s="2"/>
      <c r="F105" s="6"/>
      <c r="G105" s="2"/>
      <c r="H105" s="2"/>
      <c r="I105" s="2"/>
      <c r="J105" s="6"/>
      <c r="K105" s="2"/>
      <c r="L105" s="2"/>
      <c r="M105" s="2"/>
      <c r="N105" s="6"/>
      <c r="O105" s="10"/>
      <c r="P105" s="2"/>
      <c r="Q105" s="2"/>
      <c r="R105" s="6"/>
      <c r="S105" s="2"/>
      <c r="T105" s="2"/>
      <c r="U105" s="2"/>
      <c r="V105" s="6"/>
      <c r="W105" s="2"/>
      <c r="X105" s="2"/>
      <c r="Y105" s="2"/>
      <c r="Z105" s="6"/>
    </row>
    <row r="106" spans="1:26" s="23" customFormat="1" ht="15" thickBot="1" x14ac:dyDescent="0.35">
      <c r="A106" s="10"/>
      <c r="B106" s="26" t="s">
        <v>126</v>
      </c>
      <c r="C106" s="26"/>
      <c r="D106" s="35">
        <f>+D102-D104</f>
        <v>-149585.07</v>
      </c>
      <c r="E106" s="13"/>
      <c r="F106" s="30">
        <f>IF(D$12=0,0,D106/D$12)</f>
        <v>-7.5922605014335893</v>
      </c>
      <c r="G106" s="13"/>
      <c r="H106" s="35">
        <f>+H102-H104</f>
        <v>-184334.47018145572</v>
      </c>
      <c r="I106" s="13"/>
      <c r="J106" s="30">
        <f>IF(H$12=0,0,H106/H$12)</f>
        <v>-21.648205540981294</v>
      </c>
      <c r="K106" s="16"/>
      <c r="L106" s="35">
        <f>D106-H106</f>
        <v>34749.400181455712</v>
      </c>
      <c r="M106" s="16"/>
      <c r="N106" s="30">
        <f>IF(H106=0,0,L106/H106)</f>
        <v>-0.18851276241089901</v>
      </c>
      <c r="O106" s="25"/>
      <c r="P106" s="35">
        <f>+P102-P104</f>
        <v>-149585.07</v>
      </c>
      <c r="Q106" s="13"/>
      <c r="R106" s="30">
        <f>IF(P$12=0,0,P106/P$12)</f>
        <v>-7.5922605014335893</v>
      </c>
      <c r="S106" s="13"/>
      <c r="T106" s="35">
        <f>+T102-T104</f>
        <v>-184334.47018145572</v>
      </c>
      <c r="U106" s="13"/>
      <c r="V106" s="30">
        <f>IF(T$12=0,0,T106/T$12)</f>
        <v>-21.648205540981294</v>
      </c>
      <c r="W106" s="16"/>
      <c r="X106" s="35">
        <f>P106-T106</f>
        <v>34749.400181455712</v>
      </c>
      <c r="Y106" s="16"/>
      <c r="Z106" s="30">
        <f>IF(T106=0,0,X106/T106)</f>
        <v>-0.18851276241089901</v>
      </c>
    </row>
    <row r="107" spans="1:26" ht="15" thickTop="1" x14ac:dyDescent="0.3">
      <c r="A107" s="9"/>
      <c r="B107" s="9"/>
      <c r="C107" s="9"/>
      <c r="D107" s="2"/>
      <c r="E107" s="2"/>
      <c r="F107" s="6"/>
      <c r="G107" s="2"/>
      <c r="H107" s="2"/>
      <c r="I107" s="2"/>
      <c r="J107" s="6"/>
      <c r="K107" s="2"/>
      <c r="L107" s="2"/>
      <c r="M107" s="2"/>
      <c r="N107" s="6"/>
      <c r="P107" s="2"/>
      <c r="Q107" s="2"/>
      <c r="R107" s="6"/>
      <c r="S107" s="2"/>
      <c r="T107" s="2"/>
      <c r="U107" s="2"/>
      <c r="V107" s="6"/>
      <c r="W107" s="2"/>
      <c r="X107" s="2"/>
      <c r="Y107" s="2"/>
      <c r="Z107" s="6"/>
    </row>
    <row r="108" spans="1:26" x14ac:dyDescent="0.3">
      <c r="A108" s="9"/>
      <c r="B108" s="9"/>
      <c r="C108" s="9"/>
      <c r="D108" s="2"/>
      <c r="E108" s="2"/>
      <c r="F108" s="6"/>
      <c r="G108" s="2"/>
      <c r="H108" s="2"/>
      <c r="I108" s="2"/>
      <c r="J108" s="6"/>
      <c r="K108" s="2"/>
      <c r="L108" s="2"/>
      <c r="M108" s="2"/>
      <c r="N108" s="6"/>
      <c r="P108" s="2"/>
      <c r="Q108" s="2"/>
      <c r="R108" s="6"/>
      <c r="S108" s="2"/>
      <c r="T108" s="2"/>
      <c r="U108" s="2"/>
      <c r="V108" s="6"/>
      <c r="W108" s="2"/>
      <c r="X108" s="2"/>
      <c r="Y108" s="2"/>
      <c r="Z108" s="6"/>
    </row>
    <row r="109" spans="1:26" s="23" customFormat="1" ht="15" thickBot="1" x14ac:dyDescent="0.35">
      <c r="A109" s="10"/>
      <c r="B109" s="26" t="s">
        <v>294</v>
      </c>
      <c r="C109" s="26"/>
      <c r="D109" s="33">
        <f>SUM(D106:D108)</f>
        <v>-149585.07</v>
      </c>
      <c r="E109" s="13"/>
      <c r="F109" s="31">
        <f>IF(D$12=0,0,D109/D$12)</f>
        <v>-7.5922605014335893</v>
      </c>
      <c r="G109" s="13"/>
      <c r="H109" s="33">
        <f>SUM(H106:H108)</f>
        <v>-184334.47018145572</v>
      </c>
      <c r="I109" s="13"/>
      <c r="J109" s="31">
        <f>IF(H$12=0,0,H109/H$12)</f>
        <v>-21.648205540981294</v>
      </c>
      <c r="K109" s="16"/>
      <c r="L109" s="33">
        <f>+D109-H109</f>
        <v>34749.400181455712</v>
      </c>
      <c r="M109" s="16"/>
      <c r="N109" s="31">
        <f>IF(H109=0,0,L109/H109)</f>
        <v>-0.18851276241089901</v>
      </c>
      <c r="O109" s="25"/>
      <c r="P109" s="33">
        <f>SUM(P106:P108)</f>
        <v>-149585.07</v>
      </c>
      <c r="Q109" s="13"/>
      <c r="R109" s="31">
        <f>IF(P$12=0,0,P109/P$12)</f>
        <v>-7.5922605014335893</v>
      </c>
      <c r="S109" s="13"/>
      <c r="T109" s="33">
        <f>SUM(T106:T108)</f>
        <v>-184334.47018145572</v>
      </c>
      <c r="U109" s="13"/>
      <c r="V109" s="31">
        <f>IF(T$12=0,0,T109/T$12)</f>
        <v>-21.648205540981294</v>
      </c>
      <c r="W109" s="16"/>
      <c r="X109" s="33">
        <f>+P109-T109</f>
        <v>34749.400181455712</v>
      </c>
      <c r="Y109" s="16"/>
      <c r="Z109" s="31">
        <f>IF(T109=0,0,X109/T109)</f>
        <v>-0.18851276241089901</v>
      </c>
    </row>
    <row r="110" spans="1:26" ht="15" thickTop="1" x14ac:dyDescent="0.3">
      <c r="A110" s="9"/>
      <c r="C110" s="9"/>
      <c r="D110" s="18"/>
      <c r="E110" s="18"/>
      <c r="G110" s="18"/>
      <c r="H110" s="18"/>
      <c r="I110" s="18"/>
      <c r="J110" s="43"/>
      <c r="K110" s="18"/>
      <c r="L110" s="18"/>
      <c r="M110" s="18"/>
      <c r="P110" s="18"/>
      <c r="Q110" s="18"/>
      <c r="R110" s="43"/>
      <c r="S110" s="18"/>
      <c r="T110" s="18"/>
      <c r="U110" s="18"/>
      <c r="V110" s="43"/>
      <c r="W110" s="18"/>
      <c r="X110" s="18"/>
    </row>
    <row r="111" spans="1:26" x14ac:dyDescent="0.3">
      <c r="A111" s="9"/>
      <c r="B111" s="54">
        <v>44462.645474537036</v>
      </c>
      <c r="D111" s="18"/>
      <c r="E111" s="18"/>
      <c r="G111" s="18"/>
      <c r="H111" s="18"/>
      <c r="I111" s="18"/>
      <c r="J111" s="43"/>
      <c r="K111" s="18"/>
      <c r="L111" s="18"/>
      <c r="M111" s="18"/>
      <c r="P111" s="18"/>
      <c r="Q111" s="18"/>
      <c r="R111" s="43"/>
      <c r="S111" s="18"/>
      <c r="T111" s="18"/>
      <c r="U111" s="18"/>
      <c r="V111" s="43"/>
      <c r="W111" s="18"/>
      <c r="X111" s="18"/>
    </row>
    <row r="112" spans="1:26" x14ac:dyDescent="0.3">
      <c r="A112" s="9"/>
      <c r="B112" s="59" t="s">
        <v>56</v>
      </c>
      <c r="D112" s="18"/>
      <c r="E112" s="18"/>
      <c r="G112" s="18"/>
      <c r="H112" s="18"/>
      <c r="I112" s="18"/>
      <c r="J112" s="43"/>
      <c r="K112" s="18"/>
      <c r="L112" s="18"/>
      <c r="M112" s="18"/>
      <c r="P112" s="18"/>
      <c r="Q112" s="18"/>
      <c r="R112" s="43"/>
      <c r="S112" s="18"/>
      <c r="T112" s="18"/>
      <c r="U112" s="18"/>
      <c r="V112" s="43"/>
      <c r="W112" s="18"/>
      <c r="X112" s="18"/>
    </row>
    <row r="113" spans="1:24" x14ac:dyDescent="0.3">
      <c r="A113" s="9"/>
      <c r="B113" s="55"/>
      <c r="D113" s="18"/>
      <c r="E113" s="18"/>
      <c r="G113" s="18"/>
      <c r="H113" s="18"/>
      <c r="I113" s="18"/>
      <c r="J113" s="43"/>
      <c r="K113" s="18"/>
      <c r="L113" s="18"/>
      <c r="M113" s="18"/>
      <c r="P113" s="18"/>
      <c r="Q113" s="18"/>
      <c r="R113" s="43"/>
      <c r="S113" s="18"/>
      <c r="T113" s="18"/>
      <c r="U113" s="18"/>
      <c r="V113" s="43"/>
      <c r="W113" s="18"/>
      <c r="X113" s="18"/>
    </row>
    <row r="114" spans="1:24" x14ac:dyDescent="0.3">
      <c r="D114" s="18"/>
      <c r="E114" s="18"/>
      <c r="G114" s="18"/>
      <c r="H114" s="18"/>
      <c r="I114" s="18"/>
      <c r="J114" s="43"/>
      <c r="K114" s="18"/>
      <c r="L114" s="18"/>
      <c r="M114" s="18"/>
      <c r="P114" s="18"/>
      <c r="Q114" s="18"/>
      <c r="R114" s="43"/>
      <c r="S114" s="18"/>
      <c r="T114" s="18"/>
      <c r="U114" s="18"/>
      <c r="V114" s="43"/>
      <c r="W114" s="18"/>
      <c r="X114" s="18"/>
    </row>
  </sheetData>
  <pageMargins left="0.25" right="0.25" top="0.75" bottom="0.75" header="0.3" footer="0.3"/>
  <pageSetup scale="55" fitToWidth="2" orientation="landscape"/>
  <drawing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tabColor rgb="FFFFFF00"/>
    <outlinePr summaryBelow="0" summaryRight="0"/>
  </sheetPr>
  <dimension ref="A2:Z110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50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7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50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7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7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7" customWidth="1" outlineLevel="1"/>
  </cols>
  <sheetData>
    <row r="2" spans="1:26" x14ac:dyDescent="0.3">
      <c r="D2" s="57" t="s">
        <v>23</v>
      </c>
    </row>
    <row r="3" spans="1:26" x14ac:dyDescent="0.3">
      <c r="D3" s="57" t="s">
        <v>237</v>
      </c>
      <c r="E3" s="17"/>
      <c r="F3" s="51"/>
      <c r="G3" s="17"/>
      <c r="H3" s="17"/>
      <c r="I3" s="17"/>
      <c r="J3" s="39"/>
      <c r="K3" s="17"/>
      <c r="L3" s="17"/>
      <c r="M3" s="17"/>
      <c r="N3" s="51"/>
      <c r="O3" s="61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3">
      <c r="D4" s="57" t="str">
        <f>CONCATENATE("Period ",RIGHT(202201,2),", ",2022)</f>
        <v>Period 01, 2022</v>
      </c>
      <c r="E4" s="17"/>
      <c r="F4" s="51"/>
      <c r="G4" s="17"/>
      <c r="H4" s="17"/>
      <c r="I4" s="17"/>
      <c r="J4" s="39"/>
      <c r="K4" s="17"/>
      <c r="L4" s="17"/>
      <c r="M4" s="17"/>
      <c r="N4" s="51"/>
      <c r="O4" s="61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3">
      <c r="A5" s="23"/>
      <c r="D5" s="64">
        <v>44408</v>
      </c>
      <c r="E5" s="17"/>
      <c r="F5" s="51"/>
      <c r="G5" s="17"/>
      <c r="H5" s="17"/>
      <c r="I5" s="17"/>
      <c r="J5" s="39"/>
      <c r="K5" s="17"/>
      <c r="L5" s="17"/>
      <c r="M5" s="17"/>
      <c r="N5" s="51"/>
      <c r="O5" s="61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3">
      <c r="A6" s="23"/>
      <c r="B6" s="47"/>
      <c r="C6" s="47"/>
      <c r="D6" s="23" t="s">
        <v>106</v>
      </c>
      <c r="E6" s="17"/>
      <c r="F6" s="51"/>
      <c r="G6" s="17"/>
      <c r="H6" s="17"/>
      <c r="I6" s="17"/>
      <c r="J6" s="39"/>
      <c r="K6" s="17"/>
      <c r="L6" s="17"/>
      <c r="M6" s="17"/>
      <c r="N6" s="51"/>
      <c r="O6" s="60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3">
      <c r="B7" s="63"/>
    </row>
    <row r="8" spans="1:26" x14ac:dyDescent="0.3">
      <c r="B8" s="63"/>
    </row>
    <row r="9" spans="1:26" x14ac:dyDescent="0.3">
      <c r="B9" s="9"/>
      <c r="C9" s="9"/>
      <c r="D9" s="15" t="s">
        <v>292</v>
      </c>
      <c r="E9" s="15"/>
      <c r="F9" s="38"/>
      <c r="G9" s="15"/>
      <c r="H9" s="15"/>
      <c r="I9" s="15"/>
      <c r="J9" s="49"/>
      <c r="K9" s="15"/>
      <c r="L9" s="15"/>
      <c r="M9" s="15"/>
      <c r="N9" s="38"/>
      <c r="P9" s="15" t="s">
        <v>39</v>
      </c>
      <c r="Q9" s="15"/>
      <c r="R9" s="38"/>
      <c r="S9" s="15"/>
      <c r="T9" s="15"/>
      <c r="U9" s="15"/>
      <c r="V9" s="49"/>
      <c r="W9" s="15"/>
      <c r="X9" s="15"/>
      <c r="Y9" s="15"/>
      <c r="Z9" s="38"/>
    </row>
    <row r="10" spans="1:26" x14ac:dyDescent="0.3">
      <c r="A10" s="10"/>
      <c r="B10" s="53"/>
      <c r="C10" s="10"/>
      <c r="D10" s="42" t="s">
        <v>57</v>
      </c>
      <c r="E10" s="34"/>
      <c r="F10" s="40" t="s">
        <v>40</v>
      </c>
      <c r="G10" s="34"/>
      <c r="H10" s="45" t="s">
        <v>238</v>
      </c>
      <c r="I10" s="34"/>
      <c r="J10" s="48" t="s">
        <v>58</v>
      </c>
      <c r="K10" s="10"/>
      <c r="L10" s="42" t="s">
        <v>127</v>
      </c>
      <c r="M10" s="10"/>
      <c r="N10" s="40" t="s">
        <v>258</v>
      </c>
      <c r="O10" s="10"/>
      <c r="P10" s="56" t="s">
        <v>57</v>
      </c>
      <c r="Q10" s="34"/>
      <c r="R10" s="40" t="s">
        <v>40</v>
      </c>
      <c r="S10" s="34"/>
      <c r="T10" s="45" t="s">
        <v>238</v>
      </c>
      <c r="U10" s="34"/>
      <c r="V10" s="48" t="s">
        <v>58</v>
      </c>
      <c r="W10" s="10"/>
      <c r="X10" s="42" t="s">
        <v>127</v>
      </c>
      <c r="Y10" s="10"/>
      <c r="Z10" s="40" t="s">
        <v>258</v>
      </c>
    </row>
    <row r="11" spans="1:26" ht="15.6" x14ac:dyDescent="0.3">
      <c r="A11" s="9"/>
      <c r="B11" s="58"/>
      <c r="C11" s="9"/>
      <c r="D11" s="9"/>
      <c r="E11" s="9"/>
      <c r="F11" s="6"/>
      <c r="G11" s="9"/>
      <c r="H11" s="9"/>
      <c r="I11" s="9"/>
      <c r="J11" s="46"/>
      <c r="K11" s="9"/>
      <c r="L11" s="9"/>
      <c r="M11" s="9"/>
      <c r="N11" s="6"/>
      <c r="P11" s="9"/>
      <c r="Q11" s="9"/>
      <c r="R11" s="6"/>
      <c r="S11" s="9"/>
      <c r="T11" s="9"/>
      <c r="U11" s="9"/>
      <c r="V11" s="46"/>
      <c r="W11" s="9"/>
      <c r="X11" s="9"/>
      <c r="Y11" s="9"/>
      <c r="Z11" s="6"/>
    </row>
    <row r="12" spans="1:26" s="23" customFormat="1" collapsed="1" x14ac:dyDescent="0.3">
      <c r="A12" s="10"/>
      <c r="B12" s="25" t="s">
        <v>140</v>
      </c>
      <c r="C12" s="10"/>
      <c r="D12" s="4">
        <f>SUM(OSRRefD13x_0)</f>
        <v>19702.309999999998</v>
      </c>
      <c r="E12" s="4"/>
      <c r="F12" s="12"/>
      <c r="G12" s="4"/>
      <c r="H12" s="4">
        <f>SUM(OSRRefH13x_0)</f>
        <v>8515</v>
      </c>
      <c r="I12" s="4"/>
      <c r="J12" s="12"/>
      <c r="K12" s="4"/>
      <c r="L12" s="4">
        <f t="shared" ref="L12:L16" si="0">+D12-H12</f>
        <v>11187.309999999998</v>
      </c>
      <c r="M12" s="4"/>
      <c r="N12" s="12">
        <f t="shared" ref="N12:N16" si="1">IF(H12=0,0,L12/H12)</f>
        <v>1.3138355842630649</v>
      </c>
      <c r="O12" s="10"/>
      <c r="P12" s="4">
        <f>SUM(OSRRefP13x_0)</f>
        <v>19702.309999999998</v>
      </c>
      <c r="Q12" s="4"/>
      <c r="R12" s="12"/>
      <c r="S12" s="4"/>
      <c r="T12" s="4">
        <f>SUM(OSRRefT13x_0)</f>
        <v>8515</v>
      </c>
      <c r="U12" s="4"/>
      <c r="V12" s="12"/>
      <c r="W12" s="4"/>
      <c r="X12" s="4">
        <f t="shared" ref="X12:X16" si="2">+P12-T12</f>
        <v>11187.309999999998</v>
      </c>
      <c r="Y12" s="4"/>
      <c r="Z12" s="12">
        <f t="shared" ref="Z12:Z16" si="3">IF(T12=0,0,X12/T12)</f>
        <v>1.3138355842630649</v>
      </c>
    </row>
    <row r="13" spans="1:26" s="24" customFormat="1" hidden="1" outlineLevel="1" x14ac:dyDescent="0.3">
      <c r="A13" s="44"/>
      <c r="B13" s="11" t="str">
        <f>CONCATENATE("          ", "4000", " - ", "TAXABLE SALES")</f>
        <v xml:space="preserve">          4000 - TAXABLE SALES</v>
      </c>
      <c r="C13" s="11"/>
      <c r="D13" s="3">
        <f>0</f>
        <v>0</v>
      </c>
      <c r="E13" s="3"/>
      <c r="F13" s="19"/>
      <c r="G13" s="3"/>
      <c r="H13" s="3">
        <v>2762</v>
      </c>
      <c r="I13" s="3"/>
      <c r="J13" s="19"/>
      <c r="K13" s="3"/>
      <c r="L13" s="3">
        <f t="shared" si="0"/>
        <v>-2762</v>
      </c>
      <c r="M13" s="3"/>
      <c r="N13" s="19">
        <f t="shared" si="1"/>
        <v>-1</v>
      </c>
      <c r="O13" s="11"/>
      <c r="P13" s="3">
        <f>0</f>
        <v>0</v>
      </c>
      <c r="Q13" s="3"/>
      <c r="R13" s="19"/>
      <c r="S13" s="3"/>
      <c r="T13" s="3">
        <v>2762</v>
      </c>
      <c r="U13" s="3"/>
      <c r="V13" s="19"/>
      <c r="W13" s="3"/>
      <c r="X13" s="3">
        <f t="shared" si="2"/>
        <v>-2762</v>
      </c>
      <c r="Y13" s="3"/>
      <c r="Z13" s="19">
        <f t="shared" si="3"/>
        <v>-1</v>
      </c>
    </row>
    <row r="14" spans="1:26" s="24" customFormat="1" hidden="1" outlineLevel="1" x14ac:dyDescent="0.3">
      <c r="A14" s="44"/>
      <c r="B14" s="11" t="str">
        <f>CONCATENATE("          ", "4051", " - ", "TAXABLE SALES-FOOD")</f>
        <v xml:space="preserve">          4051 - TAXABLE SALES-FOOD</v>
      </c>
      <c r="C14" s="11"/>
      <c r="D14" s="3">
        <f>--10630.93</f>
        <v>10630.93</v>
      </c>
      <c r="E14" s="3"/>
      <c r="F14" s="19"/>
      <c r="G14" s="3"/>
      <c r="H14" s="3"/>
      <c r="I14" s="3"/>
      <c r="J14" s="19"/>
      <c r="K14" s="3"/>
      <c r="L14" s="3">
        <f t="shared" si="0"/>
        <v>10630.93</v>
      </c>
      <c r="M14" s="3"/>
      <c r="N14" s="19">
        <f t="shared" si="1"/>
        <v>0</v>
      </c>
      <c r="O14" s="11"/>
      <c r="P14" s="3">
        <f>--10630.93</f>
        <v>10630.93</v>
      </c>
      <c r="Q14" s="3"/>
      <c r="R14" s="19"/>
      <c r="S14" s="3"/>
      <c r="T14" s="3"/>
      <c r="U14" s="3"/>
      <c r="V14" s="19"/>
      <c r="W14" s="3"/>
      <c r="X14" s="3">
        <f t="shared" si="2"/>
        <v>10630.93</v>
      </c>
      <c r="Y14" s="3"/>
      <c r="Z14" s="19">
        <f t="shared" si="3"/>
        <v>0</v>
      </c>
    </row>
    <row r="15" spans="1:26" s="24" customFormat="1" hidden="1" outlineLevel="1" x14ac:dyDescent="0.3">
      <c r="A15" s="44"/>
      <c r="B15" s="11" t="str">
        <f>CONCATENATE("          ", "4100", " - ", "NON-TAXABLE SALES")</f>
        <v xml:space="preserve">          4100 - NON-TAXABLE SALES</v>
      </c>
      <c r="C15" s="11"/>
      <c r="D15" s="3">
        <f>0</f>
        <v>0</v>
      </c>
      <c r="E15" s="3"/>
      <c r="F15" s="19"/>
      <c r="G15" s="3"/>
      <c r="H15" s="3">
        <v>5753</v>
      </c>
      <c r="I15" s="3"/>
      <c r="J15" s="19"/>
      <c r="K15" s="3"/>
      <c r="L15" s="3">
        <f t="shared" si="0"/>
        <v>-5753</v>
      </c>
      <c r="M15" s="3"/>
      <c r="N15" s="19">
        <f t="shared" si="1"/>
        <v>-1</v>
      </c>
      <c r="O15" s="11"/>
      <c r="P15" s="3">
        <f>0</f>
        <v>0</v>
      </c>
      <c r="Q15" s="3"/>
      <c r="R15" s="19"/>
      <c r="S15" s="3"/>
      <c r="T15" s="3">
        <v>5753</v>
      </c>
      <c r="U15" s="3"/>
      <c r="V15" s="19"/>
      <c r="W15" s="3"/>
      <c r="X15" s="3">
        <f t="shared" si="2"/>
        <v>-5753</v>
      </c>
      <c r="Y15" s="3"/>
      <c r="Z15" s="19">
        <f t="shared" si="3"/>
        <v>-1</v>
      </c>
    </row>
    <row r="16" spans="1:26" s="24" customFormat="1" hidden="1" outlineLevel="1" x14ac:dyDescent="0.3">
      <c r="A16" s="44"/>
      <c r="B16" s="11" t="str">
        <f>CONCATENATE("          ", "4151", " - ", "NON-TAXABLE SALES-FOOD")</f>
        <v xml:space="preserve">          4151 - NON-TAXABLE SALES-FOOD</v>
      </c>
      <c r="C16" s="11"/>
      <c r="D16" s="3">
        <f>--9071.38</f>
        <v>9071.3799999999992</v>
      </c>
      <c r="E16" s="3"/>
      <c r="F16" s="19"/>
      <c r="G16" s="3"/>
      <c r="H16" s="3"/>
      <c r="I16" s="3"/>
      <c r="J16" s="19"/>
      <c r="K16" s="3"/>
      <c r="L16" s="3">
        <f t="shared" si="0"/>
        <v>9071.3799999999992</v>
      </c>
      <c r="M16" s="3"/>
      <c r="N16" s="19">
        <f t="shared" si="1"/>
        <v>0</v>
      </c>
      <c r="O16" s="11"/>
      <c r="P16" s="3">
        <f>--9071.38</f>
        <v>9071.3799999999992</v>
      </c>
      <c r="Q16" s="3"/>
      <c r="R16" s="19"/>
      <c r="S16" s="3"/>
      <c r="T16" s="3"/>
      <c r="U16" s="3"/>
      <c r="V16" s="19"/>
      <c r="W16" s="3"/>
      <c r="X16" s="3">
        <f t="shared" si="2"/>
        <v>9071.3799999999992</v>
      </c>
      <c r="Y16" s="3"/>
      <c r="Z16" s="19">
        <f t="shared" si="3"/>
        <v>0</v>
      </c>
    </row>
    <row r="17" spans="1:26" x14ac:dyDescent="0.3">
      <c r="A17" s="9"/>
      <c r="B17" s="10"/>
      <c r="C17" s="9"/>
      <c r="D17" s="2"/>
      <c r="E17" s="2"/>
      <c r="F17" s="6"/>
      <c r="G17" s="2"/>
      <c r="H17" s="2"/>
      <c r="I17" s="2"/>
      <c r="J17" s="6"/>
      <c r="K17" s="2"/>
      <c r="L17" s="2"/>
      <c r="M17" s="2"/>
      <c r="N17" s="6"/>
      <c r="P17" s="2"/>
      <c r="Q17" s="2"/>
      <c r="R17" s="6"/>
      <c r="S17" s="2"/>
      <c r="T17" s="2"/>
      <c r="U17" s="2"/>
      <c r="V17" s="6"/>
      <c r="W17" s="2"/>
      <c r="X17" s="2"/>
      <c r="Y17" s="2"/>
      <c r="Z17" s="6"/>
    </row>
    <row r="18" spans="1:26" s="23" customFormat="1" collapsed="1" x14ac:dyDescent="0.3">
      <c r="A18" s="10"/>
      <c r="B18" s="25" t="s">
        <v>257</v>
      </c>
      <c r="C18" s="10"/>
      <c r="D18" s="4">
        <f>SUM(OSRRefD16x_0)</f>
        <v>5059.3799999999992</v>
      </c>
      <c r="E18" s="4"/>
      <c r="F18" s="12">
        <f t="shared" ref="F18:F21" si="4">IF(D$12=0,0,D18/D$12)</f>
        <v>0.25679120874658856</v>
      </c>
      <c r="G18" s="4"/>
      <c r="H18" s="4">
        <f>SUM(OSRRefH16x_0)</f>
        <v>3249</v>
      </c>
      <c r="I18" s="4"/>
      <c r="J18" s="12">
        <f t="shared" ref="J18:J21" si="5">IF(H$12=0,0,H18/H$12)</f>
        <v>0.38156194950088079</v>
      </c>
      <c r="K18" s="4"/>
      <c r="L18" s="4">
        <f t="shared" ref="L18:L21" si="6">+D18-H18</f>
        <v>1810.3799999999992</v>
      </c>
      <c r="M18" s="4"/>
      <c r="N18" s="12">
        <f t="shared" ref="N18:N21" si="7">IF(H18=0,0,L18/H18)</f>
        <v>0.55721144967682334</v>
      </c>
      <c r="O18" s="10"/>
      <c r="P18" s="4">
        <f>SUM(OSRRefP16x_0)</f>
        <v>5059.3799999999992</v>
      </c>
      <c r="Q18" s="4"/>
      <c r="R18" s="12">
        <f t="shared" ref="R18:R21" si="8">IF(P$12=0,0,P18/P$12)</f>
        <v>0.25679120874658856</v>
      </c>
      <c r="S18" s="4"/>
      <c r="T18" s="4">
        <f>SUM(OSRRefT16x_0)</f>
        <v>3249</v>
      </c>
      <c r="U18" s="4"/>
      <c r="V18" s="12">
        <f t="shared" ref="V18:V21" si="9">IF(T$12=0,0,T18/T$12)</f>
        <v>0.38156194950088079</v>
      </c>
      <c r="W18" s="4"/>
      <c r="X18" s="4">
        <f t="shared" ref="X18:X21" si="10">+P18-T18</f>
        <v>1810.3799999999992</v>
      </c>
      <c r="Y18" s="4"/>
      <c r="Z18" s="12">
        <f t="shared" ref="Z18:Z21" si="11">IF(T18=0,0,X18/T18)</f>
        <v>0.55721144967682334</v>
      </c>
    </row>
    <row r="19" spans="1:26" s="24" customFormat="1" hidden="1" outlineLevel="1" x14ac:dyDescent="0.3">
      <c r="A19" s="44"/>
      <c r="B19" s="11" t="str">
        <f>CONCATENATE("          ", "5000", " - ", "PURCHASES @ COST")</f>
        <v xml:space="preserve">          5000 - PURCHASES @ COST</v>
      </c>
      <c r="C19" s="11"/>
      <c r="D19" s="3"/>
      <c r="E19" s="3"/>
      <c r="F19" s="19">
        <f t="shared" si="4"/>
        <v>0</v>
      </c>
      <c r="G19" s="3"/>
      <c r="H19" s="3">
        <v>3249</v>
      </c>
      <c r="I19" s="3"/>
      <c r="J19" s="19">
        <f t="shared" si="5"/>
        <v>0.38156194950088079</v>
      </c>
      <c r="K19" s="3"/>
      <c r="L19" s="3">
        <f t="shared" si="6"/>
        <v>-3249</v>
      </c>
      <c r="M19" s="3"/>
      <c r="N19" s="19">
        <f t="shared" si="7"/>
        <v>-1</v>
      </c>
      <c r="O19" s="11"/>
      <c r="P19" s="3"/>
      <c r="Q19" s="3"/>
      <c r="R19" s="19">
        <f t="shared" si="8"/>
        <v>0</v>
      </c>
      <c r="S19" s="3"/>
      <c r="T19" s="3">
        <v>3249</v>
      </c>
      <c r="U19" s="3"/>
      <c r="V19" s="19">
        <f t="shared" si="9"/>
        <v>0.38156194950088079</v>
      </c>
      <c r="W19" s="3"/>
      <c r="X19" s="3">
        <f t="shared" si="10"/>
        <v>-3249</v>
      </c>
      <c r="Y19" s="3"/>
      <c r="Z19" s="19">
        <f t="shared" si="11"/>
        <v>-1</v>
      </c>
    </row>
    <row r="20" spans="1:26" s="24" customFormat="1" hidden="1" outlineLevel="1" x14ac:dyDescent="0.3">
      <c r="A20" s="44"/>
      <c r="B20" s="11" t="str">
        <f>CONCATENATE("          ", "5053", " - ", "PURCHASES @ COST-FOOD")</f>
        <v xml:space="preserve">          5053 - PURCHASES @ COST-FOOD</v>
      </c>
      <c r="C20" s="11"/>
      <c r="D20" s="3">
        <v>8224.3799999999992</v>
      </c>
      <c r="E20" s="3"/>
      <c r="F20" s="19">
        <f t="shared" si="4"/>
        <v>0.41743227063222538</v>
      </c>
      <c r="G20" s="3"/>
      <c r="H20" s="3"/>
      <c r="I20" s="3"/>
      <c r="J20" s="19">
        <f t="shared" si="5"/>
        <v>0</v>
      </c>
      <c r="K20" s="3"/>
      <c r="L20" s="3">
        <f t="shared" si="6"/>
        <v>8224.3799999999992</v>
      </c>
      <c r="M20" s="3"/>
      <c r="N20" s="19">
        <f t="shared" si="7"/>
        <v>0</v>
      </c>
      <c r="O20" s="11"/>
      <c r="P20" s="3">
        <v>8224.3799999999992</v>
      </c>
      <c r="Q20" s="3"/>
      <c r="R20" s="19">
        <f t="shared" si="8"/>
        <v>0.41743227063222538</v>
      </c>
      <c r="S20" s="3"/>
      <c r="T20" s="3"/>
      <c r="U20" s="3"/>
      <c r="V20" s="19">
        <f t="shared" si="9"/>
        <v>0</v>
      </c>
      <c r="W20" s="3"/>
      <c r="X20" s="3">
        <f t="shared" si="10"/>
        <v>8224.3799999999992</v>
      </c>
      <c r="Y20" s="3"/>
      <c r="Z20" s="19">
        <f t="shared" si="11"/>
        <v>0</v>
      </c>
    </row>
    <row r="21" spans="1:26" s="24" customFormat="1" hidden="1" outlineLevel="1" x14ac:dyDescent="0.3">
      <c r="A21" s="44"/>
      <c r="B21" s="11" t="str">
        <f>CONCATENATE("          ", "5059", " - ", "PURCHASES @ COST-FOOD")</f>
        <v xml:space="preserve">          5059 - PURCHASES @ COST-FOOD</v>
      </c>
      <c r="C21" s="11"/>
      <c r="D21" s="3">
        <v>-3165</v>
      </c>
      <c r="E21" s="3"/>
      <c r="F21" s="19">
        <f t="shared" si="4"/>
        <v>-0.16064106188563679</v>
      </c>
      <c r="G21" s="3"/>
      <c r="H21" s="3"/>
      <c r="I21" s="3"/>
      <c r="J21" s="19">
        <f t="shared" si="5"/>
        <v>0</v>
      </c>
      <c r="K21" s="3"/>
      <c r="L21" s="3">
        <f t="shared" si="6"/>
        <v>-3165</v>
      </c>
      <c r="M21" s="3"/>
      <c r="N21" s="19">
        <f t="shared" si="7"/>
        <v>0</v>
      </c>
      <c r="O21" s="11"/>
      <c r="P21" s="3">
        <v>-3165</v>
      </c>
      <c r="Q21" s="3"/>
      <c r="R21" s="19">
        <f t="shared" si="8"/>
        <v>-0.16064106188563679</v>
      </c>
      <c r="S21" s="3"/>
      <c r="T21" s="3"/>
      <c r="U21" s="3"/>
      <c r="V21" s="19">
        <f t="shared" si="9"/>
        <v>0</v>
      </c>
      <c r="W21" s="3"/>
      <c r="X21" s="3">
        <f t="shared" si="10"/>
        <v>-3165</v>
      </c>
      <c r="Y21" s="3"/>
      <c r="Z21" s="19">
        <f t="shared" si="11"/>
        <v>0</v>
      </c>
    </row>
    <row r="22" spans="1:26" x14ac:dyDescent="0.3">
      <c r="A22" s="9"/>
      <c r="B22" s="10"/>
      <c r="C22" s="10"/>
      <c r="D22" s="2"/>
      <c r="E22" s="2"/>
      <c r="F22" s="6"/>
      <c r="G22" s="2"/>
      <c r="H22" s="2"/>
      <c r="I22" s="2"/>
      <c r="J22" s="6"/>
      <c r="K22" s="2"/>
      <c r="L22" s="2"/>
      <c r="M22" s="2"/>
      <c r="N22" s="6"/>
      <c r="O22" s="10"/>
      <c r="P22" s="2"/>
      <c r="Q22" s="2"/>
      <c r="R22" s="6"/>
      <c r="S22" s="2"/>
      <c r="T22" s="2"/>
      <c r="U22" s="2"/>
      <c r="V22" s="6"/>
      <c r="W22" s="2"/>
      <c r="X22" s="2"/>
      <c r="Y22" s="2"/>
      <c r="Z22" s="6"/>
    </row>
    <row r="23" spans="1:26" s="23" customFormat="1" x14ac:dyDescent="0.3">
      <c r="A23" s="10"/>
      <c r="B23" s="26" t="s">
        <v>108</v>
      </c>
      <c r="C23" s="26"/>
      <c r="D23" s="21">
        <f>D12-D18</f>
        <v>14642.929999999998</v>
      </c>
      <c r="E23" s="13"/>
      <c r="F23" s="22">
        <f>IF(D$12=0,0,D23/D$12)</f>
        <v>0.74320879125341144</v>
      </c>
      <c r="G23" s="13"/>
      <c r="H23" s="21">
        <f>H12-H18</f>
        <v>5266</v>
      </c>
      <c r="I23" s="13"/>
      <c r="J23" s="22">
        <f>IF(H$12=0,0,H23/H$12)</f>
        <v>0.61843805049911915</v>
      </c>
      <c r="K23" s="16"/>
      <c r="L23" s="21">
        <f>+D23-H23</f>
        <v>9376.9299999999985</v>
      </c>
      <c r="M23" s="16"/>
      <c r="N23" s="22">
        <f>IF(H23=0,0,L23/H23)</f>
        <v>1.7806551462210403</v>
      </c>
      <c r="O23" s="25"/>
      <c r="P23" s="21">
        <f>P12-P18</f>
        <v>14642.929999999998</v>
      </c>
      <c r="Q23" s="13"/>
      <c r="R23" s="22">
        <f>IF(P$12=0,0,P23/P$12)</f>
        <v>0.74320879125341144</v>
      </c>
      <c r="S23" s="13"/>
      <c r="T23" s="21">
        <f>T12-T18</f>
        <v>5266</v>
      </c>
      <c r="U23" s="13"/>
      <c r="V23" s="22">
        <f>IF(T$12=0,0,T23/T$12)</f>
        <v>0.61843805049911915</v>
      </c>
      <c r="W23" s="16"/>
      <c r="X23" s="21">
        <f>+P23-T23</f>
        <v>9376.9299999999985</v>
      </c>
      <c r="Y23" s="16"/>
      <c r="Z23" s="22">
        <f>IF(T23=0,0,X23/T23)</f>
        <v>1.7806551462210403</v>
      </c>
    </row>
    <row r="24" spans="1:26" x14ac:dyDescent="0.3">
      <c r="A24" s="9"/>
      <c r="B24" s="10"/>
      <c r="C24" s="9"/>
      <c r="D24" s="1"/>
      <c r="E24" s="1"/>
      <c r="F24" s="5"/>
      <c r="G24" s="1"/>
      <c r="H24" s="1"/>
      <c r="I24" s="1"/>
      <c r="J24" s="5"/>
      <c r="K24" s="1"/>
      <c r="L24" s="1"/>
      <c r="M24" s="1"/>
      <c r="N24" s="5"/>
      <c r="O24" s="36"/>
      <c r="P24" s="1"/>
      <c r="Q24" s="1"/>
      <c r="R24" s="5"/>
      <c r="S24" s="1"/>
      <c r="T24" s="1"/>
      <c r="U24" s="1"/>
      <c r="V24" s="5"/>
      <c r="W24" s="1"/>
      <c r="X24" s="1"/>
      <c r="Y24" s="1"/>
      <c r="Z24" s="5"/>
    </row>
    <row r="25" spans="1:26" s="23" customFormat="1" x14ac:dyDescent="0.3">
      <c r="A25" s="10"/>
      <c r="B25" s="25" t="s">
        <v>295</v>
      </c>
      <c r="C25" s="10"/>
      <c r="D25" s="20">
        <f>SUM(OSRRefD22x_0)</f>
        <v>145851.12999999998</v>
      </c>
      <c r="E25" s="20"/>
      <c r="F25" s="32">
        <f t="shared" ref="F25:F35" si="12">IF(D$12=0,0,D25/D$12)</f>
        <v>7.4027426225655768</v>
      </c>
      <c r="G25" s="20"/>
      <c r="H25" s="20">
        <f>SUM(OSRRefH22x_0)</f>
        <v>164400.22166607116</v>
      </c>
      <c r="I25" s="20"/>
      <c r="J25" s="32">
        <f t="shared" ref="J25:J35" si="13">IF(H$12=0,0,H25/H$12)</f>
        <v>19.307131141053571</v>
      </c>
      <c r="K25" s="4"/>
      <c r="L25" s="20">
        <f t="shared" ref="L25:L35" si="14">+D25-H25</f>
        <v>-18549.091666071181</v>
      </c>
      <c r="M25" s="4"/>
      <c r="N25" s="32">
        <f t="shared" ref="N25:N35" si="15">IF(H25=0,0,L25/H25)</f>
        <v>-0.11282887260181435</v>
      </c>
      <c r="O25" s="10"/>
      <c r="P25" s="20">
        <f>SUM(OSRRefP22x_0)</f>
        <v>145851.12999999998</v>
      </c>
      <c r="Q25" s="20"/>
      <c r="R25" s="32">
        <f t="shared" ref="R25:R35" si="16">IF(P$12=0,0,P25/P$12)</f>
        <v>7.4027426225655768</v>
      </c>
      <c r="S25" s="20"/>
      <c r="T25" s="20">
        <f>SUM(OSRRefT22x_0)</f>
        <v>164400.22166607116</v>
      </c>
      <c r="U25" s="20"/>
      <c r="V25" s="32">
        <f t="shared" ref="V25:V35" si="17">IF(T$12=0,0,T25/T$12)</f>
        <v>19.307131141053571</v>
      </c>
      <c r="W25" s="4"/>
      <c r="X25" s="20">
        <f t="shared" ref="X25:X35" si="18">+P25-T25</f>
        <v>-18549.091666071181</v>
      </c>
      <c r="Y25" s="4"/>
      <c r="Z25" s="32">
        <f t="shared" ref="Z25:Z35" si="19">IF(T25=0,0,X25/T25)</f>
        <v>-0.11282887260181435</v>
      </c>
    </row>
    <row r="26" spans="1:26" s="27" customFormat="1" outlineLevel="1" collapsed="1" x14ac:dyDescent="0.3">
      <c r="A26" s="28"/>
      <c r="B26" s="14" t="str">
        <f>CONCATENATE("     ","*Benefits                                         ")</f>
        <v xml:space="preserve">     *Benefits                                         </v>
      </c>
      <c r="C26" s="14"/>
      <c r="D26" s="1">
        <f>SUM(OSRRefD22_0x_0)</f>
        <v>25335.059999999998</v>
      </c>
      <c r="E26" s="1"/>
      <c r="F26" s="5">
        <f t="shared" si="12"/>
        <v>1.2858928724601328</v>
      </c>
      <c r="G26" s="1"/>
      <c r="H26" s="1">
        <f>SUM(OSRRefH22_0x_0)</f>
        <v>28012.363291071142</v>
      </c>
      <c r="I26" s="1"/>
      <c r="J26" s="5">
        <f t="shared" si="13"/>
        <v>3.289766681276705</v>
      </c>
      <c r="K26" s="1"/>
      <c r="L26" s="1">
        <f t="shared" si="14"/>
        <v>-2677.3032910711445</v>
      </c>
      <c r="M26" s="1"/>
      <c r="N26" s="5">
        <f t="shared" si="15"/>
        <v>-9.5575773570112418E-2</v>
      </c>
      <c r="O26" s="14"/>
      <c r="P26" s="1">
        <f>SUM(OSRRefP22_0x_0)</f>
        <v>25335.059999999998</v>
      </c>
      <c r="Q26" s="1"/>
      <c r="R26" s="5">
        <f t="shared" si="16"/>
        <v>1.2858928724601328</v>
      </c>
      <c r="S26" s="1"/>
      <c r="T26" s="1">
        <f>SUM(OSRRefT22_0x_0)</f>
        <v>28012.363291071142</v>
      </c>
      <c r="U26" s="1"/>
      <c r="V26" s="5">
        <f t="shared" si="17"/>
        <v>3.289766681276705</v>
      </c>
      <c r="W26" s="1"/>
      <c r="X26" s="1">
        <f t="shared" si="18"/>
        <v>-2677.3032910711445</v>
      </c>
      <c r="Y26" s="1"/>
      <c r="Z26" s="5">
        <f t="shared" si="19"/>
        <v>-9.5575773570112418E-2</v>
      </c>
    </row>
    <row r="27" spans="1:26" s="24" customFormat="1" hidden="1" outlineLevel="2" x14ac:dyDescent="0.3">
      <c r="A27" s="29"/>
      <c r="B27" s="11" t="str">
        <f>CONCATENATE("          ", "6111", " - ", "F.I.C.A.")</f>
        <v xml:space="preserve">          6111 - F.I.C.A.</v>
      </c>
      <c r="C27" s="11"/>
      <c r="D27" s="8">
        <v>3198.56</v>
      </c>
      <c r="E27" s="3"/>
      <c r="F27" s="7">
        <f t="shared" si="12"/>
        <v>0.16234441545179221</v>
      </c>
      <c r="G27" s="3"/>
      <c r="H27" s="8">
        <v>3776.43420645577</v>
      </c>
      <c r="I27" s="3"/>
      <c r="J27" s="7">
        <f t="shared" si="13"/>
        <v>0.44350372360020784</v>
      </c>
      <c r="K27" s="3"/>
      <c r="L27" s="8">
        <f t="shared" si="14"/>
        <v>-577.87420645577004</v>
      </c>
      <c r="M27" s="3"/>
      <c r="N27" s="7">
        <f t="shared" si="15"/>
        <v>-0.15302112386014852</v>
      </c>
      <c r="O27" s="11"/>
      <c r="P27" s="8">
        <v>3198.56</v>
      </c>
      <c r="Q27" s="3"/>
      <c r="R27" s="7">
        <f t="shared" si="16"/>
        <v>0.16234441545179221</v>
      </c>
      <c r="S27" s="3"/>
      <c r="T27" s="8">
        <v>3776.43420645577</v>
      </c>
      <c r="U27" s="3"/>
      <c r="V27" s="7">
        <f t="shared" si="17"/>
        <v>0.44350372360020784</v>
      </c>
      <c r="W27" s="3"/>
      <c r="X27" s="8">
        <f t="shared" si="18"/>
        <v>-577.87420645577004</v>
      </c>
      <c r="Y27" s="3"/>
      <c r="Z27" s="7">
        <f t="shared" si="19"/>
        <v>-0.15302112386014852</v>
      </c>
    </row>
    <row r="28" spans="1:26" s="24" customFormat="1" hidden="1" outlineLevel="2" x14ac:dyDescent="0.3">
      <c r="A28" s="29"/>
      <c r="B28" s="11" t="str">
        <f>CONCATENATE("          ", "6112", " - ", "COMPENSATION INSURANCE")</f>
        <v xml:space="preserve">          6112 - COMPENSATION INSURANCE</v>
      </c>
      <c r="C28" s="11"/>
      <c r="D28" s="8">
        <v>1106.6199999999999</v>
      </c>
      <c r="E28" s="3"/>
      <c r="F28" s="7">
        <f t="shared" si="12"/>
        <v>5.6167017979110063E-2</v>
      </c>
      <c r="G28" s="3"/>
      <c r="H28" s="8">
        <v>1887.71568559616</v>
      </c>
      <c r="I28" s="3"/>
      <c r="J28" s="7">
        <f t="shared" si="13"/>
        <v>0.22169297540765237</v>
      </c>
      <c r="K28" s="3"/>
      <c r="L28" s="8">
        <f t="shared" si="14"/>
        <v>-781.09568559616014</v>
      </c>
      <c r="M28" s="3"/>
      <c r="N28" s="7">
        <f t="shared" si="15"/>
        <v>-0.41377824613958331</v>
      </c>
      <c r="O28" s="11"/>
      <c r="P28" s="8">
        <v>1106.6199999999999</v>
      </c>
      <c r="Q28" s="3"/>
      <c r="R28" s="7">
        <f t="shared" si="16"/>
        <v>5.6167017979110063E-2</v>
      </c>
      <c r="S28" s="3"/>
      <c r="T28" s="8">
        <v>1887.71568559616</v>
      </c>
      <c r="U28" s="3"/>
      <c r="V28" s="7">
        <f t="shared" si="17"/>
        <v>0.22169297540765237</v>
      </c>
      <c r="W28" s="3"/>
      <c r="X28" s="8">
        <f t="shared" si="18"/>
        <v>-781.09568559616014</v>
      </c>
      <c r="Y28" s="3"/>
      <c r="Z28" s="7">
        <f t="shared" si="19"/>
        <v>-0.41377824613958331</v>
      </c>
    </row>
    <row r="29" spans="1:26" s="24" customFormat="1" hidden="1" outlineLevel="2" x14ac:dyDescent="0.3">
      <c r="A29" s="29"/>
      <c r="B29" s="11" t="str">
        <f>CONCATENATE("          ", "6113", " - ", "GROUP INSURANCE")</f>
        <v xml:space="preserve">          6113 - GROUP INSURANCE</v>
      </c>
      <c r="C29" s="11"/>
      <c r="D29" s="8">
        <v>11932.59</v>
      </c>
      <c r="E29" s="3"/>
      <c r="F29" s="7">
        <f t="shared" si="12"/>
        <v>0.60564421126253731</v>
      </c>
      <c r="G29" s="3"/>
      <c r="H29" s="8">
        <v>14170.9692307692</v>
      </c>
      <c r="I29" s="3"/>
      <c r="J29" s="7">
        <f t="shared" si="13"/>
        <v>1.664235963683993</v>
      </c>
      <c r="K29" s="3"/>
      <c r="L29" s="8">
        <f t="shared" si="14"/>
        <v>-2238.3792307692001</v>
      </c>
      <c r="M29" s="3"/>
      <c r="N29" s="7">
        <f t="shared" si="15"/>
        <v>-0.15795526716048772</v>
      </c>
      <c r="O29" s="11"/>
      <c r="P29" s="8">
        <v>11932.59</v>
      </c>
      <c r="Q29" s="3"/>
      <c r="R29" s="7">
        <f t="shared" si="16"/>
        <v>0.60564421126253731</v>
      </c>
      <c r="S29" s="3"/>
      <c r="T29" s="8">
        <v>14170.9692307692</v>
      </c>
      <c r="U29" s="3"/>
      <c r="V29" s="7">
        <f t="shared" si="17"/>
        <v>1.664235963683993</v>
      </c>
      <c r="W29" s="3"/>
      <c r="X29" s="8">
        <f t="shared" si="18"/>
        <v>-2238.3792307692001</v>
      </c>
      <c r="Y29" s="3"/>
      <c r="Z29" s="7">
        <f t="shared" si="19"/>
        <v>-0.15795526716048772</v>
      </c>
    </row>
    <row r="30" spans="1:26" s="24" customFormat="1" hidden="1" outlineLevel="2" x14ac:dyDescent="0.3">
      <c r="A30" s="29"/>
      <c r="B30" s="11" t="str">
        <f>CONCATENATE("          ", "6114", " - ", "STATE UNEMPLOYMENT INSURANCE")</f>
        <v xml:space="preserve">          6114 - STATE UNEMPLOYMENT INSURANCE</v>
      </c>
      <c r="C30" s="11"/>
      <c r="D30" s="8">
        <v>108.7</v>
      </c>
      <c r="E30" s="3"/>
      <c r="F30" s="7">
        <f t="shared" si="12"/>
        <v>5.5171195661828498E-3</v>
      </c>
      <c r="G30" s="3"/>
      <c r="H30" s="8">
        <v>104.596383634616</v>
      </c>
      <c r="I30" s="3"/>
      <c r="J30" s="7">
        <f t="shared" si="13"/>
        <v>1.2283779640001879E-2</v>
      </c>
      <c r="K30" s="3"/>
      <c r="L30" s="8">
        <f t="shared" si="14"/>
        <v>4.1036163653839992</v>
      </c>
      <c r="M30" s="3"/>
      <c r="N30" s="7">
        <f t="shared" si="15"/>
        <v>3.9232870418532462E-2</v>
      </c>
      <c r="O30" s="11"/>
      <c r="P30" s="8">
        <v>108.7</v>
      </c>
      <c r="Q30" s="3"/>
      <c r="R30" s="7">
        <f t="shared" si="16"/>
        <v>5.5171195661828498E-3</v>
      </c>
      <c r="S30" s="3"/>
      <c r="T30" s="8">
        <v>104.596383634616</v>
      </c>
      <c r="U30" s="3"/>
      <c r="V30" s="7">
        <f t="shared" si="17"/>
        <v>1.2283779640001879E-2</v>
      </c>
      <c r="W30" s="3"/>
      <c r="X30" s="8">
        <f t="shared" si="18"/>
        <v>4.1036163653839992</v>
      </c>
      <c r="Y30" s="3"/>
      <c r="Z30" s="7">
        <f t="shared" si="19"/>
        <v>3.9232870418532462E-2</v>
      </c>
    </row>
    <row r="31" spans="1:26" s="24" customFormat="1" hidden="1" outlineLevel="2" x14ac:dyDescent="0.3">
      <c r="A31" s="29"/>
      <c r="B31" s="11" t="str">
        <f>CONCATENATE("          ", "6115", " - ", "P.E.R.S.")</f>
        <v xml:space="preserve">          6115 - P.E.R.S.</v>
      </c>
      <c r="C31" s="11"/>
      <c r="D31" s="8">
        <v>2989.03</v>
      </c>
      <c r="E31" s="3"/>
      <c r="F31" s="7">
        <f t="shared" si="12"/>
        <v>0.15170962186667455</v>
      </c>
      <c r="G31" s="3"/>
      <c r="H31" s="8">
        <v>2936.0169288461602</v>
      </c>
      <c r="I31" s="3"/>
      <c r="J31" s="7">
        <f t="shared" si="13"/>
        <v>0.34480527643525077</v>
      </c>
      <c r="K31" s="3"/>
      <c r="L31" s="8">
        <f t="shared" si="14"/>
        <v>53.013071153839974</v>
      </c>
      <c r="M31" s="3"/>
      <c r="N31" s="7">
        <f t="shared" si="15"/>
        <v>1.8056119034257013E-2</v>
      </c>
      <c r="O31" s="11"/>
      <c r="P31" s="8">
        <v>2989.03</v>
      </c>
      <c r="Q31" s="3"/>
      <c r="R31" s="7">
        <f t="shared" si="16"/>
        <v>0.15170962186667455</v>
      </c>
      <c r="S31" s="3"/>
      <c r="T31" s="8">
        <v>2936.0169288461602</v>
      </c>
      <c r="U31" s="3"/>
      <c r="V31" s="7">
        <f t="shared" si="17"/>
        <v>0.34480527643525077</v>
      </c>
      <c r="W31" s="3"/>
      <c r="X31" s="8">
        <f t="shared" si="18"/>
        <v>53.013071153839974</v>
      </c>
      <c r="Y31" s="3"/>
      <c r="Z31" s="7">
        <f t="shared" si="19"/>
        <v>1.8056119034257013E-2</v>
      </c>
    </row>
    <row r="32" spans="1:26" s="24" customFormat="1" hidden="1" outlineLevel="2" x14ac:dyDescent="0.3">
      <c r="A32" s="29"/>
      <c r="B32" s="11" t="str">
        <f>CONCATENATE("          ", "6116", " - ", "EDUCATIONAL BENEFITS")</f>
        <v xml:space="preserve">          6116 - EDUCATIONAL BENEFITS</v>
      </c>
      <c r="C32" s="11"/>
      <c r="D32" s="8"/>
      <c r="E32" s="3"/>
      <c r="F32" s="7">
        <f t="shared" si="12"/>
        <v>0</v>
      </c>
      <c r="G32" s="3"/>
      <c r="H32" s="8">
        <v>0</v>
      </c>
      <c r="I32" s="3"/>
      <c r="J32" s="7">
        <f t="shared" si="13"/>
        <v>0</v>
      </c>
      <c r="K32" s="3"/>
      <c r="L32" s="8">
        <f t="shared" si="14"/>
        <v>0</v>
      </c>
      <c r="M32" s="3"/>
      <c r="N32" s="7">
        <f t="shared" si="15"/>
        <v>0</v>
      </c>
      <c r="O32" s="11"/>
      <c r="P32" s="8"/>
      <c r="Q32" s="3"/>
      <c r="R32" s="7">
        <f t="shared" si="16"/>
        <v>0</v>
      </c>
      <c r="S32" s="3"/>
      <c r="T32" s="8">
        <v>0</v>
      </c>
      <c r="U32" s="3"/>
      <c r="V32" s="7">
        <f t="shared" si="17"/>
        <v>0</v>
      </c>
      <c r="W32" s="3"/>
      <c r="X32" s="8">
        <f t="shared" si="18"/>
        <v>0</v>
      </c>
      <c r="Y32" s="3"/>
      <c r="Z32" s="7">
        <f t="shared" si="19"/>
        <v>0</v>
      </c>
    </row>
    <row r="33" spans="1:26" s="24" customFormat="1" hidden="1" outlineLevel="2" x14ac:dyDescent="0.3">
      <c r="A33" s="29"/>
      <c r="B33" s="11" t="str">
        <f>CONCATENATE("          ", "6118", " - ", "VACATION")</f>
        <v xml:space="preserve">          6118 - VACATION</v>
      </c>
      <c r="C33" s="11"/>
      <c r="D33" s="8">
        <v>2954.94</v>
      </c>
      <c r="E33" s="3"/>
      <c r="F33" s="7">
        <f t="shared" si="12"/>
        <v>0.14997936790153035</v>
      </c>
      <c r="G33" s="3"/>
      <c r="H33" s="8">
        <v>2815.77309038462</v>
      </c>
      <c r="I33" s="3"/>
      <c r="J33" s="7">
        <f t="shared" si="13"/>
        <v>0.33068386264058952</v>
      </c>
      <c r="K33" s="3"/>
      <c r="L33" s="8">
        <f t="shared" si="14"/>
        <v>139.16690961538006</v>
      </c>
      <c r="M33" s="3"/>
      <c r="N33" s="7">
        <f t="shared" si="15"/>
        <v>4.9424049860626582E-2</v>
      </c>
      <c r="O33" s="11"/>
      <c r="P33" s="8">
        <v>2954.94</v>
      </c>
      <c r="Q33" s="3"/>
      <c r="R33" s="7">
        <f t="shared" si="16"/>
        <v>0.14997936790153035</v>
      </c>
      <c r="S33" s="3"/>
      <c r="T33" s="8">
        <v>2815.77309038462</v>
      </c>
      <c r="U33" s="3"/>
      <c r="V33" s="7">
        <f t="shared" si="17"/>
        <v>0.33068386264058952</v>
      </c>
      <c r="W33" s="3"/>
      <c r="X33" s="8">
        <f t="shared" si="18"/>
        <v>139.16690961538006</v>
      </c>
      <c r="Y33" s="3"/>
      <c r="Z33" s="7">
        <f t="shared" si="19"/>
        <v>4.9424049860626582E-2</v>
      </c>
    </row>
    <row r="34" spans="1:26" s="24" customFormat="1" hidden="1" outlineLevel="2" x14ac:dyDescent="0.3">
      <c r="A34" s="29"/>
      <c r="B34" s="11" t="str">
        <f>CONCATENATE("          ", "6119", " - ", "SICK LEAVE")</f>
        <v xml:space="preserve">          6119 - SICK LEAVE</v>
      </c>
      <c r="C34" s="11"/>
      <c r="D34" s="8">
        <v>1898.78</v>
      </c>
      <c r="E34" s="3"/>
      <c r="F34" s="7">
        <f t="shared" si="12"/>
        <v>9.637347092802824E-2</v>
      </c>
      <c r="G34" s="3"/>
      <c r="H34" s="8">
        <v>695.85776538461596</v>
      </c>
      <c r="I34" s="3"/>
      <c r="J34" s="7">
        <f t="shared" si="13"/>
        <v>8.1721405212520956E-2</v>
      </c>
      <c r="K34" s="3"/>
      <c r="L34" s="8">
        <f t="shared" si="14"/>
        <v>1202.922234615384</v>
      </c>
      <c r="M34" s="3"/>
      <c r="N34" s="7">
        <f t="shared" si="15"/>
        <v>1.7286898191766278</v>
      </c>
      <c r="O34" s="11"/>
      <c r="P34" s="8">
        <v>1898.78</v>
      </c>
      <c r="Q34" s="3"/>
      <c r="R34" s="7">
        <f t="shared" si="16"/>
        <v>9.637347092802824E-2</v>
      </c>
      <c r="S34" s="3"/>
      <c r="T34" s="8">
        <v>695.85776538461596</v>
      </c>
      <c r="U34" s="3"/>
      <c r="V34" s="7">
        <f t="shared" si="17"/>
        <v>8.1721405212520956E-2</v>
      </c>
      <c r="W34" s="3"/>
      <c r="X34" s="8">
        <f t="shared" si="18"/>
        <v>1202.922234615384</v>
      </c>
      <c r="Y34" s="3"/>
      <c r="Z34" s="7">
        <f t="shared" si="19"/>
        <v>1.7286898191766278</v>
      </c>
    </row>
    <row r="35" spans="1:26" s="24" customFormat="1" hidden="1" outlineLevel="2" x14ac:dyDescent="0.3">
      <c r="A35" s="29"/>
      <c r="B35" s="11" t="str">
        <f>CONCATENATE("          ", "6156", " - ", "EMPLOYEE MEALS")</f>
        <v xml:space="preserve">          6156 - EMPLOYEE MEALS</v>
      </c>
      <c r="C35" s="11"/>
      <c r="D35" s="8">
        <v>1145.8399999999999</v>
      </c>
      <c r="E35" s="3"/>
      <c r="F35" s="7">
        <f t="shared" si="12"/>
        <v>5.8157647504277418E-2</v>
      </c>
      <c r="G35" s="3"/>
      <c r="H35" s="8">
        <v>1625</v>
      </c>
      <c r="I35" s="3"/>
      <c r="J35" s="7">
        <f t="shared" si="13"/>
        <v>0.19083969465648856</v>
      </c>
      <c r="K35" s="3"/>
      <c r="L35" s="8">
        <f t="shared" si="14"/>
        <v>-479.16000000000008</v>
      </c>
      <c r="M35" s="3"/>
      <c r="N35" s="7">
        <f t="shared" si="15"/>
        <v>-0.29486769230769233</v>
      </c>
      <c r="O35" s="11"/>
      <c r="P35" s="8">
        <v>1145.8399999999999</v>
      </c>
      <c r="Q35" s="3"/>
      <c r="R35" s="7">
        <f t="shared" si="16"/>
        <v>5.8157647504277418E-2</v>
      </c>
      <c r="S35" s="3"/>
      <c r="T35" s="8">
        <v>1625</v>
      </c>
      <c r="U35" s="3"/>
      <c r="V35" s="7">
        <f t="shared" si="17"/>
        <v>0.19083969465648856</v>
      </c>
      <c r="W35" s="3"/>
      <c r="X35" s="8">
        <f t="shared" si="18"/>
        <v>-479.16000000000008</v>
      </c>
      <c r="Y35" s="3"/>
      <c r="Z35" s="7">
        <f t="shared" si="19"/>
        <v>-0.29486769230769233</v>
      </c>
    </row>
    <row r="36" spans="1:26" s="27" customFormat="1" outlineLevel="1" collapsed="1" x14ac:dyDescent="0.3">
      <c r="A36" s="28"/>
      <c r="B36" s="14" t="str">
        <f>CONCATENATE("     ","*Payroll                                          ")</f>
        <v xml:space="preserve">     *Payroll                                          </v>
      </c>
      <c r="C36" s="14"/>
      <c r="D36" s="1">
        <f>SUM(OSRRefD22_1x_0)</f>
        <v>52602.950000000004</v>
      </c>
      <c r="E36" s="1"/>
      <c r="F36" s="5">
        <f t="shared" ref="F36:F46" si="20">IF(D$12=0,0,D36/D$12)</f>
        <v>2.669887439594647</v>
      </c>
      <c r="G36" s="1"/>
      <c r="H36" s="1">
        <f>SUM(OSRRefH22_1x_0)</f>
        <v>46315.858374999996</v>
      </c>
      <c r="I36" s="1"/>
      <c r="J36" s="5">
        <f t="shared" ref="J36:J46" si="21">IF(H$12=0,0,H36/H$12)</f>
        <v>5.4393257046388719</v>
      </c>
      <c r="K36" s="1"/>
      <c r="L36" s="1">
        <f t="shared" ref="L36:L46" si="22">+D36-H36</f>
        <v>6287.0916250000082</v>
      </c>
      <c r="M36" s="1"/>
      <c r="N36" s="5">
        <f t="shared" ref="N36:N46" si="23">IF(H36=0,0,L36/H36)</f>
        <v>0.13574382178337441</v>
      </c>
      <c r="O36" s="14"/>
      <c r="P36" s="1">
        <f>SUM(OSRRefP22_1x_0)</f>
        <v>52602.950000000004</v>
      </c>
      <c r="Q36" s="1"/>
      <c r="R36" s="5">
        <f t="shared" ref="R36:R46" si="24">IF(P$12=0,0,P36/P$12)</f>
        <v>2.669887439594647</v>
      </c>
      <c r="S36" s="1"/>
      <c r="T36" s="1">
        <f>SUM(OSRRefT22_1x_0)</f>
        <v>46315.858374999996</v>
      </c>
      <c r="U36" s="1"/>
      <c r="V36" s="5">
        <f t="shared" ref="V36:V46" si="25">IF(T$12=0,0,T36/T$12)</f>
        <v>5.4393257046388719</v>
      </c>
      <c r="W36" s="1"/>
      <c r="X36" s="1">
        <f t="shared" ref="X36:X46" si="26">+P36-T36</f>
        <v>6287.0916250000082</v>
      </c>
      <c r="Y36" s="1"/>
      <c r="Z36" s="5">
        <f t="shared" ref="Z36:Z46" si="27">IF(T36=0,0,X36/T36)</f>
        <v>0.13574382178337441</v>
      </c>
    </row>
    <row r="37" spans="1:26" s="24" customFormat="1" hidden="1" outlineLevel="2" x14ac:dyDescent="0.3">
      <c r="A37" s="29"/>
      <c r="B37" s="11" t="str">
        <f>CONCATENATE("          ", "6001", " - ", "ADMINISTRATIVE SALARIES")</f>
        <v xml:space="preserve">          6001 - ADMINISTRATIVE SALARIES</v>
      </c>
      <c r="C37" s="11"/>
      <c r="D37" s="8">
        <v>13836.28</v>
      </c>
      <c r="E37" s="3"/>
      <c r="F37" s="7">
        <f t="shared" si="20"/>
        <v>0.70226689154723498</v>
      </c>
      <c r="G37" s="3"/>
      <c r="H37" s="8">
        <v>12835.384615384601</v>
      </c>
      <c r="I37" s="3"/>
      <c r="J37" s="7">
        <f t="shared" si="21"/>
        <v>1.5073851574145156</v>
      </c>
      <c r="K37" s="3"/>
      <c r="L37" s="8">
        <f t="shared" si="22"/>
        <v>1000.8953846154</v>
      </c>
      <c r="M37" s="3"/>
      <c r="N37" s="7">
        <f t="shared" si="23"/>
        <v>7.7979383914660277E-2</v>
      </c>
      <c r="O37" s="11"/>
      <c r="P37" s="8">
        <v>13836.28</v>
      </c>
      <c r="Q37" s="3"/>
      <c r="R37" s="7">
        <f t="shared" si="24"/>
        <v>0.70226689154723498</v>
      </c>
      <c r="S37" s="3"/>
      <c r="T37" s="8">
        <v>12835.384615384601</v>
      </c>
      <c r="U37" s="3"/>
      <c r="V37" s="7">
        <f t="shared" si="25"/>
        <v>1.5073851574145156</v>
      </c>
      <c r="W37" s="3"/>
      <c r="X37" s="8">
        <f t="shared" si="26"/>
        <v>1000.8953846154</v>
      </c>
      <c r="Y37" s="3"/>
      <c r="Z37" s="7">
        <f t="shared" si="27"/>
        <v>7.7979383914660277E-2</v>
      </c>
    </row>
    <row r="38" spans="1:26" s="24" customFormat="1" hidden="1" outlineLevel="2" x14ac:dyDescent="0.3">
      <c r="A38" s="29"/>
      <c r="B38" s="11" t="str">
        <f>CONCATENATE("          ", "6002", " - ", "STAFF SALARIES")</f>
        <v xml:space="preserve">          6002 - STAFF SALARIES</v>
      </c>
      <c r="C38" s="11"/>
      <c r="D38" s="8">
        <v>23724.02</v>
      </c>
      <c r="E38" s="3"/>
      <c r="F38" s="7">
        <f t="shared" si="20"/>
        <v>1.2041237804095055</v>
      </c>
      <c r="G38" s="3"/>
      <c r="H38" s="8">
        <v>18488.1297596154</v>
      </c>
      <c r="I38" s="3"/>
      <c r="J38" s="7">
        <f t="shared" si="21"/>
        <v>2.1712424849812564</v>
      </c>
      <c r="K38" s="3"/>
      <c r="L38" s="8">
        <f t="shared" si="22"/>
        <v>5235.8902403846005</v>
      </c>
      <c r="M38" s="3"/>
      <c r="N38" s="7">
        <f t="shared" si="23"/>
        <v>0.28320280679885929</v>
      </c>
      <c r="O38" s="11"/>
      <c r="P38" s="8">
        <v>23724.02</v>
      </c>
      <c r="Q38" s="3"/>
      <c r="R38" s="7">
        <f t="shared" si="24"/>
        <v>1.2041237804095055</v>
      </c>
      <c r="S38" s="3"/>
      <c r="T38" s="8">
        <v>18488.1297596154</v>
      </c>
      <c r="U38" s="3"/>
      <c r="V38" s="7">
        <f t="shared" si="25"/>
        <v>2.1712424849812564</v>
      </c>
      <c r="W38" s="3"/>
      <c r="X38" s="8">
        <f t="shared" si="26"/>
        <v>5235.8902403846005</v>
      </c>
      <c r="Y38" s="3"/>
      <c r="Z38" s="7">
        <f t="shared" si="27"/>
        <v>0.28320280679885929</v>
      </c>
    </row>
    <row r="39" spans="1:26" s="24" customFormat="1" hidden="1" outlineLevel="2" x14ac:dyDescent="0.3">
      <c r="A39" s="29"/>
      <c r="B39" s="11" t="str">
        <f>CONCATENATE("          ", "6003", " - ", "STAFF HOURLY-9 MONTH")</f>
        <v xml:space="preserve">          6003 - STAFF HOURLY-9 MONTH</v>
      </c>
      <c r="C39" s="11"/>
      <c r="D39" s="8"/>
      <c r="E39" s="3"/>
      <c r="F39" s="7">
        <f t="shared" si="20"/>
        <v>0</v>
      </c>
      <c r="G39" s="3"/>
      <c r="H39" s="8">
        <v>0</v>
      </c>
      <c r="I39" s="3"/>
      <c r="J39" s="7">
        <f t="shared" si="21"/>
        <v>0</v>
      </c>
      <c r="K39" s="3"/>
      <c r="L39" s="8">
        <f t="shared" si="22"/>
        <v>0</v>
      </c>
      <c r="M39" s="3"/>
      <c r="N39" s="7">
        <f t="shared" si="23"/>
        <v>0</v>
      </c>
      <c r="O39" s="11"/>
      <c r="P39" s="8"/>
      <c r="Q39" s="3"/>
      <c r="R39" s="7">
        <f t="shared" si="24"/>
        <v>0</v>
      </c>
      <c r="S39" s="3"/>
      <c r="T39" s="8">
        <v>0</v>
      </c>
      <c r="U39" s="3"/>
      <c r="V39" s="7">
        <f t="shared" si="25"/>
        <v>0</v>
      </c>
      <c r="W39" s="3"/>
      <c r="X39" s="8">
        <f t="shared" si="26"/>
        <v>0</v>
      </c>
      <c r="Y39" s="3"/>
      <c r="Z39" s="7">
        <f t="shared" si="27"/>
        <v>0</v>
      </c>
    </row>
    <row r="40" spans="1:26" s="24" customFormat="1" hidden="1" outlineLevel="2" x14ac:dyDescent="0.3">
      <c r="A40" s="29"/>
      <c r="B40" s="11" t="str">
        <f>CONCATENATE("          ", "6004", " - ", "STAFF HOURLY")</f>
        <v xml:space="preserve">          6004 - STAFF HOURLY</v>
      </c>
      <c r="C40" s="11"/>
      <c r="D40" s="8">
        <v>7726.26</v>
      </c>
      <c r="E40" s="3"/>
      <c r="F40" s="7">
        <f t="shared" si="20"/>
        <v>0.39214995602038549</v>
      </c>
      <c r="G40" s="3"/>
      <c r="H40" s="8">
        <v>14544.204</v>
      </c>
      <c r="I40" s="3"/>
      <c r="J40" s="7">
        <f t="shared" si="21"/>
        <v>1.7080685848502641</v>
      </c>
      <c r="K40" s="3"/>
      <c r="L40" s="8">
        <f t="shared" si="22"/>
        <v>-6817.9439999999995</v>
      </c>
      <c r="M40" s="3"/>
      <c r="N40" s="7">
        <f t="shared" si="23"/>
        <v>-0.46877395284059542</v>
      </c>
      <c r="O40" s="11"/>
      <c r="P40" s="8">
        <v>7726.26</v>
      </c>
      <c r="Q40" s="3"/>
      <c r="R40" s="7">
        <f t="shared" si="24"/>
        <v>0.39214995602038549</v>
      </c>
      <c r="S40" s="3"/>
      <c r="T40" s="8">
        <v>14544.204</v>
      </c>
      <c r="U40" s="3"/>
      <c r="V40" s="7">
        <f t="shared" si="25"/>
        <v>1.7080685848502641</v>
      </c>
      <c r="W40" s="3"/>
      <c r="X40" s="8">
        <f t="shared" si="26"/>
        <v>-6817.9439999999995</v>
      </c>
      <c r="Y40" s="3"/>
      <c r="Z40" s="7">
        <f t="shared" si="27"/>
        <v>-0.46877395284059542</v>
      </c>
    </row>
    <row r="41" spans="1:26" s="24" customFormat="1" hidden="1" outlineLevel="2" x14ac:dyDescent="0.3">
      <c r="A41" s="29"/>
      <c r="B41" s="11" t="str">
        <f>CONCATENATE("          ", "6005", " - ", "TEMPORARY WAGES-HOURLY")</f>
        <v xml:space="preserve">          6005 - TEMPORARY WAGES-HOURLY</v>
      </c>
      <c r="C41" s="11"/>
      <c r="D41" s="8">
        <v>3353.39</v>
      </c>
      <c r="E41" s="3"/>
      <c r="F41" s="7">
        <f t="shared" si="20"/>
        <v>0.17020288483939194</v>
      </c>
      <c r="G41" s="3"/>
      <c r="H41" s="8">
        <v>448.14</v>
      </c>
      <c r="I41" s="3"/>
      <c r="J41" s="7">
        <f t="shared" si="21"/>
        <v>5.2629477392836167E-2</v>
      </c>
      <c r="K41" s="3"/>
      <c r="L41" s="8">
        <f t="shared" si="22"/>
        <v>2905.25</v>
      </c>
      <c r="M41" s="3"/>
      <c r="N41" s="7">
        <f t="shared" si="23"/>
        <v>6.4829071272370244</v>
      </c>
      <c r="O41" s="11"/>
      <c r="P41" s="8">
        <v>3353.39</v>
      </c>
      <c r="Q41" s="3"/>
      <c r="R41" s="7">
        <f t="shared" si="24"/>
        <v>0.17020288483939194</v>
      </c>
      <c r="S41" s="3"/>
      <c r="T41" s="8">
        <v>448.14</v>
      </c>
      <c r="U41" s="3"/>
      <c r="V41" s="7">
        <f t="shared" si="25"/>
        <v>5.2629477392836167E-2</v>
      </c>
      <c r="W41" s="3"/>
      <c r="X41" s="8">
        <f t="shared" si="26"/>
        <v>2905.25</v>
      </c>
      <c r="Y41" s="3"/>
      <c r="Z41" s="7">
        <f t="shared" si="27"/>
        <v>6.4829071272370244</v>
      </c>
    </row>
    <row r="42" spans="1:26" s="24" customFormat="1" hidden="1" outlineLevel="2" x14ac:dyDescent="0.3">
      <c r="A42" s="29"/>
      <c r="B42" s="11" t="str">
        <f>CONCATENATE("          ", "6006", " - ", "TEMPORARY PART TIME")</f>
        <v xml:space="preserve">          6006 - TEMPORARY PART TIME</v>
      </c>
      <c r="C42" s="11"/>
      <c r="D42" s="8"/>
      <c r="E42" s="3"/>
      <c r="F42" s="7">
        <f t="shared" si="20"/>
        <v>0</v>
      </c>
      <c r="G42" s="3"/>
      <c r="H42" s="8">
        <v>0</v>
      </c>
      <c r="I42" s="3"/>
      <c r="J42" s="7">
        <f t="shared" si="21"/>
        <v>0</v>
      </c>
      <c r="K42" s="3"/>
      <c r="L42" s="8">
        <f t="shared" si="22"/>
        <v>0</v>
      </c>
      <c r="M42" s="3"/>
      <c r="N42" s="7">
        <f t="shared" si="23"/>
        <v>0</v>
      </c>
      <c r="O42" s="11"/>
      <c r="P42" s="8"/>
      <c r="Q42" s="3"/>
      <c r="R42" s="7">
        <f t="shared" si="24"/>
        <v>0</v>
      </c>
      <c r="S42" s="3"/>
      <c r="T42" s="8">
        <v>0</v>
      </c>
      <c r="U42" s="3"/>
      <c r="V42" s="7">
        <f t="shared" si="25"/>
        <v>0</v>
      </c>
      <c r="W42" s="3"/>
      <c r="X42" s="8">
        <f t="shared" si="26"/>
        <v>0</v>
      </c>
      <c r="Y42" s="3"/>
      <c r="Z42" s="7">
        <f t="shared" si="27"/>
        <v>0</v>
      </c>
    </row>
    <row r="43" spans="1:26" s="24" customFormat="1" hidden="1" outlineLevel="2" x14ac:dyDescent="0.3">
      <c r="A43" s="29"/>
      <c r="B43" s="11" t="str">
        <f>CONCATENATE("          ", "6007", " - ", "STUDENT HOURLY")</f>
        <v xml:space="preserve">          6007 - STUDENT HOURLY</v>
      </c>
      <c r="C43" s="11"/>
      <c r="D43" s="8">
        <v>3963</v>
      </c>
      <c r="E43" s="3"/>
      <c r="F43" s="7">
        <f t="shared" si="20"/>
        <v>0.20114392677812909</v>
      </c>
      <c r="G43" s="3"/>
      <c r="H43" s="8">
        <v>0</v>
      </c>
      <c r="I43" s="3"/>
      <c r="J43" s="7">
        <f t="shared" si="21"/>
        <v>0</v>
      </c>
      <c r="K43" s="3"/>
      <c r="L43" s="8">
        <f t="shared" si="22"/>
        <v>3963</v>
      </c>
      <c r="M43" s="3"/>
      <c r="N43" s="7">
        <f t="shared" si="23"/>
        <v>0</v>
      </c>
      <c r="O43" s="11"/>
      <c r="P43" s="8">
        <v>3963</v>
      </c>
      <c r="Q43" s="3"/>
      <c r="R43" s="7">
        <f t="shared" si="24"/>
        <v>0.20114392677812909</v>
      </c>
      <c r="S43" s="3"/>
      <c r="T43" s="8">
        <v>0</v>
      </c>
      <c r="U43" s="3"/>
      <c r="V43" s="7">
        <f t="shared" si="25"/>
        <v>0</v>
      </c>
      <c r="W43" s="3"/>
      <c r="X43" s="8">
        <f t="shared" si="26"/>
        <v>3963</v>
      </c>
      <c r="Y43" s="3"/>
      <c r="Z43" s="7">
        <f t="shared" si="27"/>
        <v>0</v>
      </c>
    </row>
    <row r="44" spans="1:26" s="24" customFormat="1" hidden="1" outlineLevel="2" x14ac:dyDescent="0.3">
      <c r="A44" s="29"/>
      <c r="B44" s="11" t="str">
        <f>CONCATENATE("          ", "6008", " - ", "STUDENT HOURLY-FICA EXEMPT")</f>
        <v xml:space="preserve">          6008 - STUDENT HOURLY-FICA EXEMPT</v>
      </c>
      <c r="C44" s="11"/>
      <c r="D44" s="8"/>
      <c r="E44" s="3"/>
      <c r="F44" s="7">
        <f t="shared" si="20"/>
        <v>0</v>
      </c>
      <c r="G44" s="3"/>
      <c r="H44" s="8">
        <v>0</v>
      </c>
      <c r="I44" s="3"/>
      <c r="J44" s="7">
        <f t="shared" si="21"/>
        <v>0</v>
      </c>
      <c r="K44" s="3"/>
      <c r="L44" s="8">
        <f t="shared" si="22"/>
        <v>0</v>
      </c>
      <c r="M44" s="3"/>
      <c r="N44" s="7">
        <f t="shared" si="23"/>
        <v>0</v>
      </c>
      <c r="O44" s="11"/>
      <c r="P44" s="8"/>
      <c r="Q44" s="3"/>
      <c r="R44" s="7">
        <f t="shared" si="24"/>
        <v>0</v>
      </c>
      <c r="S44" s="3"/>
      <c r="T44" s="8">
        <v>0</v>
      </c>
      <c r="U44" s="3"/>
      <c r="V44" s="7">
        <f t="shared" si="25"/>
        <v>0</v>
      </c>
      <c r="W44" s="3"/>
      <c r="X44" s="8">
        <f t="shared" si="26"/>
        <v>0</v>
      </c>
      <c r="Y44" s="3"/>
      <c r="Z44" s="7">
        <f t="shared" si="27"/>
        <v>0</v>
      </c>
    </row>
    <row r="45" spans="1:26" s="24" customFormat="1" hidden="1" outlineLevel="2" x14ac:dyDescent="0.3">
      <c r="A45" s="29"/>
      <c r="B45" s="11" t="str">
        <f>CONCATENATE("          ", "6009", " - ", "TEMPORARY-SEASONAL")</f>
        <v xml:space="preserve">          6009 - TEMPORARY-SEASONAL</v>
      </c>
      <c r="C45" s="11"/>
      <c r="D45" s="8"/>
      <c r="E45" s="3"/>
      <c r="F45" s="7">
        <f t="shared" si="20"/>
        <v>0</v>
      </c>
      <c r="G45" s="3"/>
      <c r="H45" s="8">
        <v>0</v>
      </c>
      <c r="I45" s="3"/>
      <c r="J45" s="7">
        <f t="shared" si="21"/>
        <v>0</v>
      </c>
      <c r="K45" s="3"/>
      <c r="L45" s="8">
        <f t="shared" si="22"/>
        <v>0</v>
      </c>
      <c r="M45" s="3"/>
      <c r="N45" s="7">
        <f t="shared" si="23"/>
        <v>0</v>
      </c>
      <c r="O45" s="11"/>
      <c r="P45" s="8"/>
      <c r="Q45" s="3"/>
      <c r="R45" s="7">
        <f t="shared" si="24"/>
        <v>0</v>
      </c>
      <c r="S45" s="3"/>
      <c r="T45" s="8">
        <v>0</v>
      </c>
      <c r="U45" s="3"/>
      <c r="V45" s="7">
        <f t="shared" si="25"/>
        <v>0</v>
      </c>
      <c r="W45" s="3"/>
      <c r="X45" s="8">
        <f t="shared" si="26"/>
        <v>0</v>
      </c>
      <c r="Y45" s="3"/>
      <c r="Z45" s="7">
        <f t="shared" si="27"/>
        <v>0</v>
      </c>
    </row>
    <row r="46" spans="1:26" s="24" customFormat="1" hidden="1" outlineLevel="2" x14ac:dyDescent="0.3">
      <c r="A46" s="29"/>
      <c r="B46" s="11" t="str">
        <f>CONCATENATE("          ", "6010", " - ", "GRATUITY")</f>
        <v xml:space="preserve">          6010 - GRATUITY</v>
      </c>
      <c r="C46" s="11"/>
      <c r="D46" s="8"/>
      <c r="E46" s="3"/>
      <c r="F46" s="7">
        <f t="shared" si="20"/>
        <v>0</v>
      </c>
      <c r="G46" s="3"/>
      <c r="H46" s="8">
        <v>0</v>
      </c>
      <c r="I46" s="3"/>
      <c r="J46" s="7">
        <f t="shared" si="21"/>
        <v>0</v>
      </c>
      <c r="K46" s="3"/>
      <c r="L46" s="8">
        <f t="shared" si="22"/>
        <v>0</v>
      </c>
      <c r="M46" s="3"/>
      <c r="N46" s="7">
        <f t="shared" si="23"/>
        <v>0</v>
      </c>
      <c r="O46" s="11"/>
      <c r="P46" s="8"/>
      <c r="Q46" s="3"/>
      <c r="R46" s="7">
        <f t="shared" si="24"/>
        <v>0</v>
      </c>
      <c r="S46" s="3"/>
      <c r="T46" s="8">
        <v>0</v>
      </c>
      <c r="U46" s="3"/>
      <c r="V46" s="7">
        <f t="shared" si="25"/>
        <v>0</v>
      </c>
      <c r="W46" s="3"/>
      <c r="X46" s="8">
        <f t="shared" si="26"/>
        <v>0</v>
      </c>
      <c r="Y46" s="3"/>
      <c r="Z46" s="7">
        <f t="shared" si="27"/>
        <v>0</v>
      </c>
    </row>
    <row r="47" spans="1:26" s="27" customFormat="1" outlineLevel="1" collapsed="1" x14ac:dyDescent="0.3">
      <c r="A47" s="28"/>
      <c r="B47" s="14" t="str">
        <f>CONCATENATE("     ","Advertising/Promo                                 ")</f>
        <v xml:space="preserve">     Advertising/Promo                                 </v>
      </c>
      <c r="C47" s="14"/>
      <c r="D47" s="1">
        <f>SUM(OSRRefD22_2x_0)</f>
        <v>424.79</v>
      </c>
      <c r="E47" s="1"/>
      <c r="F47" s="5">
        <f t="shared" ref="F47:F55" si="28">IF(D$12=0,0,D47/D$12)</f>
        <v>2.1560416012132592E-2</v>
      </c>
      <c r="G47" s="1"/>
      <c r="H47" s="1">
        <f>SUM(OSRRefH22_2x_0)</f>
        <v>0</v>
      </c>
      <c r="I47" s="1"/>
      <c r="J47" s="5">
        <f t="shared" ref="J47:J55" si="29">IF(H$12=0,0,H47/H$12)</f>
        <v>0</v>
      </c>
      <c r="K47" s="1"/>
      <c r="L47" s="1">
        <f t="shared" ref="L47:L55" si="30">+D47-H47</f>
        <v>424.79</v>
      </c>
      <c r="M47" s="1"/>
      <c r="N47" s="5">
        <f t="shared" ref="N47:N55" si="31">IF(H47=0,0,L47/H47)</f>
        <v>0</v>
      </c>
      <c r="O47" s="14"/>
      <c r="P47" s="1">
        <f>SUM(OSRRefP22_2x_0)</f>
        <v>424.79</v>
      </c>
      <c r="Q47" s="1"/>
      <c r="R47" s="5">
        <f t="shared" ref="R47:R55" si="32">IF(P$12=0,0,P47/P$12)</f>
        <v>2.1560416012132592E-2</v>
      </c>
      <c r="S47" s="1"/>
      <c r="T47" s="1">
        <f>SUM(OSRRefT22_2x_0)</f>
        <v>0</v>
      </c>
      <c r="U47" s="1"/>
      <c r="V47" s="5">
        <f t="shared" ref="V47:V55" si="33">IF(T$12=0,0,T47/T$12)</f>
        <v>0</v>
      </c>
      <c r="W47" s="1"/>
      <c r="X47" s="1">
        <f t="shared" ref="X47:X55" si="34">+P47-T47</f>
        <v>424.79</v>
      </c>
      <c r="Y47" s="1"/>
      <c r="Z47" s="5">
        <f t="shared" ref="Z47:Z55" si="35">IF(T47=0,0,X47/T47)</f>
        <v>0</v>
      </c>
    </row>
    <row r="48" spans="1:26" s="24" customFormat="1" hidden="1" outlineLevel="2" x14ac:dyDescent="0.3">
      <c r="A48" s="29"/>
      <c r="B48" s="11" t="str">
        <f>CONCATENATE("          ", "6362", " - ", "ADVERTISING EXPENSE")</f>
        <v xml:space="preserve">          6362 - ADVERTISING EXPENSE</v>
      </c>
      <c r="C48" s="11"/>
      <c r="D48" s="8">
        <v>424.79</v>
      </c>
      <c r="E48" s="3"/>
      <c r="F48" s="7">
        <f t="shared" si="28"/>
        <v>2.1560416012132592E-2</v>
      </c>
      <c r="G48" s="3"/>
      <c r="H48" s="8"/>
      <c r="I48" s="3"/>
      <c r="J48" s="7">
        <f t="shared" si="29"/>
        <v>0</v>
      </c>
      <c r="K48" s="3"/>
      <c r="L48" s="8">
        <f t="shared" si="30"/>
        <v>424.79</v>
      </c>
      <c r="M48" s="3"/>
      <c r="N48" s="7">
        <f t="shared" si="31"/>
        <v>0</v>
      </c>
      <c r="O48" s="11"/>
      <c r="P48" s="8">
        <v>424.79</v>
      </c>
      <c r="Q48" s="3"/>
      <c r="R48" s="7">
        <f t="shared" si="32"/>
        <v>2.1560416012132592E-2</v>
      </c>
      <c r="S48" s="3"/>
      <c r="T48" s="8"/>
      <c r="U48" s="3"/>
      <c r="V48" s="7">
        <f t="shared" si="33"/>
        <v>0</v>
      </c>
      <c r="W48" s="3"/>
      <c r="X48" s="8">
        <f t="shared" si="34"/>
        <v>424.79</v>
      </c>
      <c r="Y48" s="3"/>
      <c r="Z48" s="7">
        <f t="shared" si="35"/>
        <v>0</v>
      </c>
    </row>
    <row r="49" spans="1:26" s="27" customFormat="1" outlineLevel="1" collapsed="1" x14ac:dyDescent="0.3">
      <c r="A49" s="28"/>
      <c r="B49" s="14" t="str">
        <f>CONCATENATE("     ","Bad Debts/Over/Short                              ")</f>
        <v xml:space="preserve">     Bad Debts/Over/Short                              </v>
      </c>
      <c r="C49" s="14"/>
      <c r="D49" s="1">
        <f>SUM(OSRRefD22_3x_0)</f>
        <v>-19.02</v>
      </c>
      <c r="E49" s="1"/>
      <c r="F49" s="5">
        <f t="shared" si="28"/>
        <v>-9.6536903540752337E-4</v>
      </c>
      <c r="G49" s="1"/>
      <c r="H49" s="1">
        <f>SUM(OSRRefH22_3x_0)</f>
        <v>10</v>
      </c>
      <c r="I49" s="1"/>
      <c r="J49" s="5">
        <f t="shared" si="29"/>
        <v>1.1743981209630064E-3</v>
      </c>
      <c r="K49" s="1"/>
      <c r="L49" s="1">
        <f t="shared" si="30"/>
        <v>-29.02</v>
      </c>
      <c r="M49" s="1"/>
      <c r="N49" s="5">
        <f t="shared" si="31"/>
        <v>-2.9020000000000001</v>
      </c>
      <c r="O49" s="14"/>
      <c r="P49" s="1">
        <f>SUM(OSRRefP22_3x_0)</f>
        <v>-19.02</v>
      </c>
      <c r="Q49" s="1"/>
      <c r="R49" s="5">
        <f t="shared" si="32"/>
        <v>-9.6536903540752337E-4</v>
      </c>
      <c r="S49" s="1"/>
      <c r="T49" s="1">
        <f>SUM(OSRRefT22_3x_0)</f>
        <v>10</v>
      </c>
      <c r="U49" s="1"/>
      <c r="V49" s="5">
        <f t="shared" si="33"/>
        <v>1.1743981209630064E-3</v>
      </c>
      <c r="W49" s="1"/>
      <c r="X49" s="1">
        <f t="shared" si="34"/>
        <v>-29.02</v>
      </c>
      <c r="Y49" s="1"/>
      <c r="Z49" s="5">
        <f t="shared" si="35"/>
        <v>-2.9020000000000001</v>
      </c>
    </row>
    <row r="50" spans="1:26" s="24" customFormat="1" hidden="1" outlineLevel="2" x14ac:dyDescent="0.3">
      <c r="A50" s="29"/>
      <c r="B50" s="11" t="str">
        <f>CONCATENATE("          ", "6272", " - ", "CASH (OVER/SHORT)")</f>
        <v xml:space="preserve">          6272 - CASH (OVER/SHORT)</v>
      </c>
      <c r="C50" s="11"/>
      <c r="D50" s="8">
        <v>-19.02</v>
      </c>
      <c r="E50" s="3"/>
      <c r="F50" s="7">
        <f t="shared" si="28"/>
        <v>-9.6536903540752337E-4</v>
      </c>
      <c r="G50" s="3"/>
      <c r="H50" s="8">
        <v>10</v>
      </c>
      <c r="I50" s="3"/>
      <c r="J50" s="7">
        <f t="shared" si="29"/>
        <v>1.1743981209630064E-3</v>
      </c>
      <c r="K50" s="3"/>
      <c r="L50" s="8">
        <f t="shared" si="30"/>
        <v>-29.02</v>
      </c>
      <c r="M50" s="3"/>
      <c r="N50" s="7">
        <f t="shared" si="31"/>
        <v>-2.9020000000000001</v>
      </c>
      <c r="O50" s="11"/>
      <c r="P50" s="8">
        <v>-19.02</v>
      </c>
      <c r="Q50" s="3"/>
      <c r="R50" s="7">
        <f t="shared" si="32"/>
        <v>-9.6536903540752337E-4</v>
      </c>
      <c r="S50" s="3"/>
      <c r="T50" s="8">
        <v>10</v>
      </c>
      <c r="U50" s="3"/>
      <c r="V50" s="7">
        <f t="shared" si="33"/>
        <v>1.1743981209630064E-3</v>
      </c>
      <c r="W50" s="3"/>
      <c r="X50" s="8">
        <f t="shared" si="34"/>
        <v>-29.02</v>
      </c>
      <c r="Y50" s="3"/>
      <c r="Z50" s="7">
        <f t="shared" si="35"/>
        <v>-2.9020000000000001</v>
      </c>
    </row>
    <row r="51" spans="1:26" s="27" customFormat="1" outlineLevel="1" collapsed="1" x14ac:dyDescent="0.3">
      <c r="A51" s="28"/>
      <c r="B51" s="14" t="str">
        <f>CONCATENATE("     ","Bank/card Fees                                    ")</f>
        <v xml:space="preserve">     Bank/card Fees                                    </v>
      </c>
      <c r="C51" s="14"/>
      <c r="D51" s="1">
        <f>SUM(OSRRefD22_4x_0)</f>
        <v>933.25</v>
      </c>
      <c r="E51" s="1"/>
      <c r="F51" s="5">
        <f t="shared" si="28"/>
        <v>4.7367542181602058E-2</v>
      </c>
      <c r="G51" s="1"/>
      <c r="H51" s="1">
        <f>SUM(OSRRefH22_4x_0)</f>
        <v>1240</v>
      </c>
      <c r="I51" s="1"/>
      <c r="J51" s="5">
        <f t="shared" si="29"/>
        <v>0.14562536699941281</v>
      </c>
      <c r="K51" s="1"/>
      <c r="L51" s="1">
        <f t="shared" si="30"/>
        <v>-306.75</v>
      </c>
      <c r="M51" s="1"/>
      <c r="N51" s="5">
        <f t="shared" si="31"/>
        <v>-0.24737903225806451</v>
      </c>
      <c r="O51" s="14"/>
      <c r="P51" s="1">
        <f>SUM(OSRRefP22_4x_0)</f>
        <v>933.25</v>
      </c>
      <c r="Q51" s="1"/>
      <c r="R51" s="5">
        <f t="shared" si="32"/>
        <v>4.7367542181602058E-2</v>
      </c>
      <c r="S51" s="1"/>
      <c r="T51" s="1">
        <f>SUM(OSRRefT22_4x_0)</f>
        <v>1240</v>
      </c>
      <c r="U51" s="1"/>
      <c r="V51" s="5">
        <f t="shared" si="33"/>
        <v>0.14562536699941281</v>
      </c>
      <c r="W51" s="1"/>
      <c r="X51" s="1">
        <f t="shared" si="34"/>
        <v>-306.75</v>
      </c>
      <c r="Y51" s="1"/>
      <c r="Z51" s="5">
        <f t="shared" si="35"/>
        <v>-0.24737903225806451</v>
      </c>
    </row>
    <row r="52" spans="1:26" s="24" customFormat="1" hidden="1" outlineLevel="2" x14ac:dyDescent="0.3">
      <c r="A52" s="29"/>
      <c r="B52" s="11" t="str">
        <f>CONCATENATE("          ", "6381", " - ", "BANK/CREDIT CARD FEES")</f>
        <v xml:space="preserve">          6381 - BANK/CREDIT CARD FEES</v>
      </c>
      <c r="C52" s="11"/>
      <c r="D52" s="8">
        <v>933.25</v>
      </c>
      <c r="E52" s="3"/>
      <c r="F52" s="7">
        <f t="shared" si="28"/>
        <v>4.7367542181602058E-2</v>
      </c>
      <c r="G52" s="3"/>
      <c r="H52" s="8">
        <v>1240</v>
      </c>
      <c r="I52" s="3"/>
      <c r="J52" s="7">
        <f t="shared" si="29"/>
        <v>0.14562536699941281</v>
      </c>
      <c r="K52" s="3"/>
      <c r="L52" s="8">
        <f t="shared" si="30"/>
        <v>-306.75</v>
      </c>
      <c r="M52" s="3"/>
      <c r="N52" s="7">
        <f t="shared" si="31"/>
        <v>-0.24737903225806451</v>
      </c>
      <c r="O52" s="11"/>
      <c r="P52" s="8">
        <v>933.25</v>
      </c>
      <c r="Q52" s="3"/>
      <c r="R52" s="7">
        <f t="shared" si="32"/>
        <v>4.7367542181602058E-2</v>
      </c>
      <c r="S52" s="3"/>
      <c r="T52" s="8">
        <v>1240</v>
      </c>
      <c r="U52" s="3"/>
      <c r="V52" s="7">
        <f t="shared" si="33"/>
        <v>0.14562536699941281</v>
      </c>
      <c r="W52" s="3"/>
      <c r="X52" s="8">
        <f t="shared" si="34"/>
        <v>-306.75</v>
      </c>
      <c r="Y52" s="3"/>
      <c r="Z52" s="7">
        <f t="shared" si="35"/>
        <v>-0.24737903225806451</v>
      </c>
    </row>
    <row r="53" spans="1:26" s="27" customFormat="1" outlineLevel="1" collapsed="1" x14ac:dyDescent="0.3">
      <c r="A53" s="28"/>
      <c r="B53" s="14" t="str">
        <f>CONCATENATE("     ","Depreciation                                      ")</f>
        <v xml:space="preserve">     Depreciation                                      </v>
      </c>
      <c r="C53" s="14"/>
      <c r="D53" s="1">
        <f>SUM(OSRRefD22_5x_0)</f>
        <v>32826.11</v>
      </c>
      <c r="E53" s="1"/>
      <c r="F53" s="5">
        <f t="shared" si="28"/>
        <v>1.6661046344311914</v>
      </c>
      <c r="G53" s="1"/>
      <c r="H53" s="1">
        <f>SUM(OSRRefH22_5x_0)</f>
        <v>32827</v>
      </c>
      <c r="I53" s="1"/>
      <c r="J53" s="5">
        <f t="shared" si="29"/>
        <v>3.8551967116852612</v>
      </c>
      <c r="K53" s="1"/>
      <c r="L53" s="1">
        <f t="shared" si="30"/>
        <v>-0.88999999999941792</v>
      </c>
      <c r="M53" s="1"/>
      <c r="N53" s="5">
        <f t="shared" si="31"/>
        <v>-2.7111828677595207E-5</v>
      </c>
      <c r="O53" s="14"/>
      <c r="P53" s="1">
        <f>SUM(OSRRefP22_5x_0)</f>
        <v>32826.11</v>
      </c>
      <c r="Q53" s="1"/>
      <c r="R53" s="5">
        <f t="shared" si="32"/>
        <v>1.6661046344311914</v>
      </c>
      <c r="S53" s="1"/>
      <c r="T53" s="1">
        <f>SUM(OSRRefT22_5x_0)</f>
        <v>32827</v>
      </c>
      <c r="U53" s="1"/>
      <c r="V53" s="5">
        <f t="shared" si="33"/>
        <v>3.8551967116852612</v>
      </c>
      <c r="W53" s="1"/>
      <c r="X53" s="1">
        <f t="shared" si="34"/>
        <v>-0.88999999999941792</v>
      </c>
      <c r="Y53" s="1"/>
      <c r="Z53" s="5">
        <f t="shared" si="35"/>
        <v>-2.7111828677595207E-5</v>
      </c>
    </row>
    <row r="54" spans="1:26" s="24" customFormat="1" hidden="1" outlineLevel="2" x14ac:dyDescent="0.3">
      <c r="A54" s="29"/>
      <c r="B54" s="11" t="str">
        <f>CONCATENATE("          ", "6321", " - ", "BUILDING DEPRECIATION")</f>
        <v xml:space="preserve">          6321 - BUILDING DEPRECIATION</v>
      </c>
      <c r="C54" s="11"/>
      <c r="D54" s="8">
        <v>23583.47</v>
      </c>
      <c r="E54" s="3"/>
      <c r="F54" s="7">
        <f t="shared" si="28"/>
        <v>1.1969900991305082</v>
      </c>
      <c r="G54" s="3"/>
      <c r="H54" s="8"/>
      <c r="I54" s="3"/>
      <c r="J54" s="7">
        <f t="shared" si="29"/>
        <v>0</v>
      </c>
      <c r="K54" s="3"/>
      <c r="L54" s="8">
        <f t="shared" si="30"/>
        <v>23583.47</v>
      </c>
      <c r="M54" s="3"/>
      <c r="N54" s="7">
        <f t="shared" si="31"/>
        <v>0</v>
      </c>
      <c r="O54" s="11"/>
      <c r="P54" s="8">
        <v>23583.47</v>
      </c>
      <c r="Q54" s="3"/>
      <c r="R54" s="7">
        <f t="shared" si="32"/>
        <v>1.1969900991305082</v>
      </c>
      <c r="S54" s="3"/>
      <c r="T54" s="8"/>
      <c r="U54" s="3"/>
      <c r="V54" s="7">
        <f t="shared" si="33"/>
        <v>0</v>
      </c>
      <c r="W54" s="3"/>
      <c r="X54" s="8">
        <f t="shared" si="34"/>
        <v>23583.47</v>
      </c>
      <c r="Y54" s="3"/>
      <c r="Z54" s="7">
        <f t="shared" si="35"/>
        <v>0</v>
      </c>
    </row>
    <row r="55" spans="1:26" s="24" customFormat="1" hidden="1" outlineLevel="2" x14ac:dyDescent="0.3">
      <c r="A55" s="29"/>
      <c r="B55" s="11" t="str">
        <f>CONCATENATE("          ", "6322", " - ", "EQUIPMENT DEPRECIATION EXPENSE")</f>
        <v xml:space="preserve">          6322 - EQUIPMENT DEPRECIATION EXPENSE</v>
      </c>
      <c r="C55" s="11"/>
      <c r="D55" s="8">
        <v>9242.64</v>
      </c>
      <c r="E55" s="3"/>
      <c r="F55" s="7">
        <f t="shared" si="28"/>
        <v>0.46911453530068303</v>
      </c>
      <c r="G55" s="3"/>
      <c r="H55" s="8">
        <v>32827</v>
      </c>
      <c r="I55" s="3"/>
      <c r="J55" s="7">
        <f t="shared" si="29"/>
        <v>3.8551967116852612</v>
      </c>
      <c r="K55" s="3"/>
      <c r="L55" s="8">
        <f t="shared" si="30"/>
        <v>-23584.36</v>
      </c>
      <c r="M55" s="3"/>
      <c r="N55" s="7">
        <f t="shared" si="31"/>
        <v>-0.7184439638102782</v>
      </c>
      <c r="O55" s="11"/>
      <c r="P55" s="8">
        <v>9242.64</v>
      </c>
      <c r="Q55" s="3"/>
      <c r="R55" s="7">
        <f t="shared" si="32"/>
        <v>0.46911453530068303</v>
      </c>
      <c r="S55" s="3"/>
      <c r="T55" s="8">
        <v>32827</v>
      </c>
      <c r="U55" s="3"/>
      <c r="V55" s="7">
        <f t="shared" si="33"/>
        <v>3.8551967116852612</v>
      </c>
      <c r="W55" s="3"/>
      <c r="X55" s="8">
        <f t="shared" si="34"/>
        <v>-23584.36</v>
      </c>
      <c r="Y55" s="3"/>
      <c r="Z55" s="7">
        <f t="shared" si="35"/>
        <v>-0.7184439638102782</v>
      </c>
    </row>
    <row r="56" spans="1:26" s="27" customFormat="1" outlineLevel="1" collapsed="1" x14ac:dyDescent="0.3">
      <c r="A56" s="28"/>
      <c r="B56" s="14" t="str">
        <f>CONCATENATE("     ","Equipment Rental                                  ")</f>
        <v xml:space="preserve">     Equipment Rental                                  </v>
      </c>
      <c r="C56" s="14"/>
      <c r="D56" s="1">
        <f>SUM(OSRRefD22_6x_0)</f>
        <v>467.93</v>
      </c>
      <c r="E56" s="1"/>
      <c r="F56" s="5">
        <f t="shared" ref="F56:F68" si="36">IF(D$12=0,0,D56/D$12)</f>
        <v>2.3750006978877098E-2</v>
      </c>
      <c r="G56" s="1"/>
      <c r="H56" s="1">
        <f>SUM(OSRRefH22_6x_0)</f>
        <v>775</v>
      </c>
      <c r="I56" s="1"/>
      <c r="J56" s="5">
        <f t="shared" ref="J56:J68" si="37">IF(H$12=0,0,H56/H$12)</f>
        <v>9.1015854374632998E-2</v>
      </c>
      <c r="K56" s="1"/>
      <c r="L56" s="1">
        <f t="shared" ref="L56:L68" si="38">+D56-H56</f>
        <v>-307.07</v>
      </c>
      <c r="M56" s="1"/>
      <c r="N56" s="5">
        <f t="shared" ref="N56:N68" si="39">IF(H56=0,0,L56/H56)</f>
        <v>-0.39621935483870968</v>
      </c>
      <c r="O56" s="14"/>
      <c r="P56" s="1">
        <f>SUM(OSRRefP22_6x_0)</f>
        <v>467.93</v>
      </c>
      <c r="Q56" s="1"/>
      <c r="R56" s="5">
        <f t="shared" ref="R56:R68" si="40">IF(P$12=0,0,P56/P$12)</f>
        <v>2.3750006978877098E-2</v>
      </c>
      <c r="S56" s="1"/>
      <c r="T56" s="1">
        <f>SUM(OSRRefT22_6x_0)</f>
        <v>775</v>
      </c>
      <c r="U56" s="1"/>
      <c r="V56" s="5">
        <f t="shared" ref="V56:V68" si="41">IF(T$12=0,0,T56/T$12)</f>
        <v>9.1015854374632998E-2</v>
      </c>
      <c r="W56" s="1"/>
      <c r="X56" s="1">
        <f t="shared" ref="X56:X68" si="42">+P56-T56</f>
        <v>-307.07</v>
      </c>
      <c r="Y56" s="1"/>
      <c r="Z56" s="5">
        <f t="shared" ref="Z56:Z68" si="43">IF(T56=0,0,X56/T56)</f>
        <v>-0.39621935483870968</v>
      </c>
    </row>
    <row r="57" spans="1:26" s="24" customFormat="1" hidden="1" outlineLevel="2" x14ac:dyDescent="0.3">
      <c r="A57" s="29"/>
      <c r="B57" s="11" t="str">
        <f>CONCATENATE("          ", "6351", " - ", "EQUIPMENT RENTAL")</f>
        <v xml:space="preserve">          6351 - EQUIPMENT RENTAL</v>
      </c>
      <c r="C57" s="11"/>
      <c r="D57" s="8">
        <v>467.93</v>
      </c>
      <c r="E57" s="3"/>
      <c r="F57" s="7">
        <f t="shared" si="36"/>
        <v>2.3750006978877098E-2</v>
      </c>
      <c r="G57" s="3"/>
      <c r="H57" s="8">
        <v>775</v>
      </c>
      <c r="I57" s="3"/>
      <c r="J57" s="7">
        <f t="shared" si="37"/>
        <v>9.1015854374632998E-2</v>
      </c>
      <c r="K57" s="3"/>
      <c r="L57" s="8">
        <f t="shared" si="38"/>
        <v>-307.07</v>
      </c>
      <c r="M57" s="3"/>
      <c r="N57" s="7">
        <f t="shared" si="39"/>
        <v>-0.39621935483870968</v>
      </c>
      <c r="O57" s="11"/>
      <c r="P57" s="8">
        <v>467.93</v>
      </c>
      <c r="Q57" s="3"/>
      <c r="R57" s="7">
        <f t="shared" si="40"/>
        <v>2.3750006978877098E-2</v>
      </c>
      <c r="S57" s="3"/>
      <c r="T57" s="8">
        <v>775</v>
      </c>
      <c r="U57" s="3"/>
      <c r="V57" s="7">
        <f t="shared" si="41"/>
        <v>9.1015854374632998E-2</v>
      </c>
      <c r="W57" s="3"/>
      <c r="X57" s="8">
        <f t="shared" si="42"/>
        <v>-307.07</v>
      </c>
      <c r="Y57" s="3"/>
      <c r="Z57" s="7">
        <f t="shared" si="43"/>
        <v>-0.39621935483870968</v>
      </c>
    </row>
    <row r="58" spans="1:26" s="27" customFormat="1" outlineLevel="1" collapsed="1" x14ac:dyDescent="0.3">
      <c r="A58" s="28"/>
      <c r="B58" s="14" t="str">
        <f>CONCATENATE("     ","General                                           ")</f>
        <v xml:space="preserve">     General                                           </v>
      </c>
      <c r="C58" s="14"/>
      <c r="D58" s="1">
        <f>SUM(OSRRefD22_7x_0)</f>
        <v>165.28</v>
      </c>
      <c r="E58" s="1"/>
      <c r="F58" s="5">
        <f t="shared" si="36"/>
        <v>8.3888640469061762E-3</v>
      </c>
      <c r="G58" s="1"/>
      <c r="H58" s="1">
        <f>SUM(OSRRefH22_7x_0)</f>
        <v>3235</v>
      </c>
      <c r="I58" s="1"/>
      <c r="J58" s="5">
        <f t="shared" si="37"/>
        <v>0.37991779213153259</v>
      </c>
      <c r="K58" s="1"/>
      <c r="L58" s="1">
        <f t="shared" si="38"/>
        <v>-3069.72</v>
      </c>
      <c r="M58" s="1"/>
      <c r="N58" s="5">
        <f t="shared" si="39"/>
        <v>-0.94890880989180826</v>
      </c>
      <c r="O58" s="14"/>
      <c r="P58" s="1">
        <f>SUM(OSRRefP22_7x_0)</f>
        <v>165.28</v>
      </c>
      <c r="Q58" s="1"/>
      <c r="R58" s="5">
        <f t="shared" si="40"/>
        <v>8.3888640469061762E-3</v>
      </c>
      <c r="S58" s="1"/>
      <c r="T58" s="1">
        <f>SUM(OSRRefT22_7x_0)</f>
        <v>3235</v>
      </c>
      <c r="U58" s="1"/>
      <c r="V58" s="5">
        <f t="shared" si="41"/>
        <v>0.37991779213153259</v>
      </c>
      <c r="W58" s="1"/>
      <c r="X58" s="1">
        <f t="shared" si="42"/>
        <v>-3069.72</v>
      </c>
      <c r="Y58" s="1"/>
      <c r="Z58" s="5">
        <f t="shared" si="43"/>
        <v>-0.94890880989180826</v>
      </c>
    </row>
    <row r="59" spans="1:26" s="24" customFormat="1" hidden="1" outlineLevel="2" x14ac:dyDescent="0.3">
      <c r="A59" s="29"/>
      <c r="B59" s="11" t="str">
        <f>CONCATENATE("          ", "6279", " - ", "GENERAL EXPENSE")</f>
        <v xml:space="preserve">          6279 - GENERAL EXPENSE</v>
      </c>
      <c r="C59" s="11"/>
      <c r="D59" s="8">
        <v>165.28</v>
      </c>
      <c r="E59" s="3"/>
      <c r="F59" s="7">
        <f t="shared" si="36"/>
        <v>8.3888640469061762E-3</v>
      </c>
      <c r="G59" s="3"/>
      <c r="H59" s="8">
        <v>3235</v>
      </c>
      <c r="I59" s="3"/>
      <c r="J59" s="7">
        <f t="shared" si="37"/>
        <v>0.37991779213153259</v>
      </c>
      <c r="K59" s="3"/>
      <c r="L59" s="8">
        <f t="shared" si="38"/>
        <v>-3069.72</v>
      </c>
      <c r="M59" s="3"/>
      <c r="N59" s="7">
        <f t="shared" si="39"/>
        <v>-0.94890880989180826</v>
      </c>
      <c r="O59" s="11"/>
      <c r="P59" s="8">
        <v>165.28</v>
      </c>
      <c r="Q59" s="3"/>
      <c r="R59" s="7">
        <f t="shared" si="40"/>
        <v>8.3888640469061762E-3</v>
      </c>
      <c r="S59" s="3"/>
      <c r="T59" s="8">
        <v>3235</v>
      </c>
      <c r="U59" s="3"/>
      <c r="V59" s="7">
        <f t="shared" si="41"/>
        <v>0.37991779213153259</v>
      </c>
      <c r="W59" s="3"/>
      <c r="X59" s="8">
        <f t="shared" si="42"/>
        <v>-3069.72</v>
      </c>
      <c r="Y59" s="3"/>
      <c r="Z59" s="7">
        <f t="shared" si="43"/>
        <v>-0.94890880989180826</v>
      </c>
    </row>
    <row r="60" spans="1:26" s="27" customFormat="1" outlineLevel="1" collapsed="1" x14ac:dyDescent="0.3">
      <c r="A60" s="28"/>
      <c r="B60" s="14" t="str">
        <f>CONCATENATE("     ","Insurance                                         ")</f>
        <v xml:space="preserve">     Insurance                                         </v>
      </c>
      <c r="C60" s="14"/>
      <c r="D60" s="1">
        <f>SUM(OSRRefD22_8x_0)</f>
        <v>5756.21</v>
      </c>
      <c r="E60" s="1"/>
      <c r="F60" s="5">
        <f t="shared" si="36"/>
        <v>0.29215914276041749</v>
      </c>
      <c r="G60" s="1"/>
      <c r="H60" s="1">
        <f>SUM(OSRRefH22_8x_0)</f>
        <v>5670</v>
      </c>
      <c r="I60" s="1"/>
      <c r="J60" s="5">
        <f t="shared" si="37"/>
        <v>0.66588373458602468</v>
      </c>
      <c r="K60" s="1"/>
      <c r="L60" s="1">
        <f t="shared" si="38"/>
        <v>86.210000000000036</v>
      </c>
      <c r="M60" s="1"/>
      <c r="N60" s="5">
        <f t="shared" si="39"/>
        <v>1.5204585537918877E-2</v>
      </c>
      <c r="O60" s="14"/>
      <c r="P60" s="1">
        <f>SUM(OSRRefP22_8x_0)</f>
        <v>5756.21</v>
      </c>
      <c r="Q60" s="1"/>
      <c r="R60" s="5">
        <f t="shared" si="40"/>
        <v>0.29215914276041749</v>
      </c>
      <c r="S60" s="1"/>
      <c r="T60" s="1">
        <f>SUM(OSRRefT22_8x_0)</f>
        <v>5670</v>
      </c>
      <c r="U60" s="1"/>
      <c r="V60" s="5">
        <f t="shared" si="41"/>
        <v>0.66588373458602468</v>
      </c>
      <c r="W60" s="1"/>
      <c r="X60" s="1">
        <f t="shared" si="42"/>
        <v>86.210000000000036</v>
      </c>
      <c r="Y60" s="1"/>
      <c r="Z60" s="5">
        <f t="shared" si="43"/>
        <v>1.5204585537918877E-2</v>
      </c>
    </row>
    <row r="61" spans="1:26" s="24" customFormat="1" hidden="1" outlineLevel="2" x14ac:dyDescent="0.3">
      <c r="A61" s="29"/>
      <c r="B61" s="11" t="str">
        <f>CONCATENATE("          ", "6314", " - ", "LIABILITY INSURANCE")</f>
        <v xml:space="preserve">          6314 - LIABILITY INSURANCE</v>
      </c>
      <c r="C61" s="11"/>
      <c r="D61" s="8">
        <v>5756.21</v>
      </c>
      <c r="E61" s="3"/>
      <c r="F61" s="7">
        <f t="shared" si="36"/>
        <v>0.29215914276041749</v>
      </c>
      <c r="G61" s="3"/>
      <c r="H61" s="8">
        <v>5670</v>
      </c>
      <c r="I61" s="3"/>
      <c r="J61" s="7">
        <f t="shared" si="37"/>
        <v>0.66588373458602468</v>
      </c>
      <c r="K61" s="3"/>
      <c r="L61" s="8">
        <f t="shared" si="38"/>
        <v>86.210000000000036</v>
      </c>
      <c r="M61" s="3"/>
      <c r="N61" s="7">
        <f t="shared" si="39"/>
        <v>1.5204585537918877E-2</v>
      </c>
      <c r="O61" s="11"/>
      <c r="P61" s="8">
        <v>5756.21</v>
      </c>
      <c r="Q61" s="3"/>
      <c r="R61" s="7">
        <f t="shared" si="40"/>
        <v>0.29215914276041749</v>
      </c>
      <c r="S61" s="3"/>
      <c r="T61" s="8">
        <v>5670</v>
      </c>
      <c r="U61" s="3"/>
      <c r="V61" s="7">
        <f t="shared" si="41"/>
        <v>0.66588373458602468</v>
      </c>
      <c r="W61" s="3"/>
      <c r="X61" s="8">
        <f t="shared" si="42"/>
        <v>86.210000000000036</v>
      </c>
      <c r="Y61" s="3"/>
      <c r="Z61" s="7">
        <f t="shared" si="43"/>
        <v>1.5204585537918877E-2</v>
      </c>
    </row>
    <row r="62" spans="1:26" s="27" customFormat="1" outlineLevel="1" collapsed="1" x14ac:dyDescent="0.3">
      <c r="A62" s="28"/>
      <c r="B62" s="14" t="str">
        <f>CONCATENATE("     ","Interest                                          ")</f>
        <v xml:space="preserve">     Interest                                          </v>
      </c>
      <c r="C62" s="14"/>
      <c r="D62" s="1">
        <f>SUM(OSRRefD22_9x_0)</f>
        <v>7253</v>
      </c>
      <c r="E62" s="1"/>
      <c r="F62" s="5">
        <f t="shared" si="36"/>
        <v>0.36812942238752722</v>
      </c>
      <c r="G62" s="1"/>
      <c r="H62" s="1">
        <f>SUM(OSRRefH22_9x_0)</f>
        <v>7253</v>
      </c>
      <c r="I62" s="1"/>
      <c r="J62" s="5">
        <f t="shared" si="37"/>
        <v>0.85179095713446862</v>
      </c>
      <c r="K62" s="1"/>
      <c r="L62" s="1">
        <f t="shared" si="38"/>
        <v>0</v>
      </c>
      <c r="M62" s="1"/>
      <c r="N62" s="5">
        <f t="shared" si="39"/>
        <v>0</v>
      </c>
      <c r="O62" s="14"/>
      <c r="P62" s="1">
        <f>SUM(OSRRefP22_9x_0)</f>
        <v>7253</v>
      </c>
      <c r="Q62" s="1"/>
      <c r="R62" s="5">
        <f t="shared" si="40"/>
        <v>0.36812942238752722</v>
      </c>
      <c r="S62" s="1"/>
      <c r="T62" s="1">
        <f>SUM(OSRRefT22_9x_0)</f>
        <v>7253</v>
      </c>
      <c r="U62" s="1"/>
      <c r="V62" s="5">
        <f t="shared" si="41"/>
        <v>0.85179095713446862</v>
      </c>
      <c r="W62" s="1"/>
      <c r="X62" s="1">
        <f t="shared" si="42"/>
        <v>0</v>
      </c>
      <c r="Y62" s="1"/>
      <c r="Z62" s="5">
        <f t="shared" si="43"/>
        <v>0</v>
      </c>
    </row>
    <row r="63" spans="1:26" s="24" customFormat="1" hidden="1" outlineLevel="2" x14ac:dyDescent="0.3">
      <c r="A63" s="29"/>
      <c r="B63" s="11" t="str">
        <f>CONCATENATE("          ", "6401", " - ", "INTEREST EXPENSE")</f>
        <v xml:space="preserve">          6401 - INTEREST EXPENSE</v>
      </c>
      <c r="C63" s="11"/>
      <c r="D63" s="8">
        <v>7253</v>
      </c>
      <c r="E63" s="3"/>
      <c r="F63" s="7">
        <f t="shared" si="36"/>
        <v>0.36812942238752722</v>
      </c>
      <c r="G63" s="3"/>
      <c r="H63" s="8">
        <v>7253</v>
      </c>
      <c r="I63" s="3"/>
      <c r="J63" s="7">
        <f t="shared" si="37"/>
        <v>0.85179095713446862</v>
      </c>
      <c r="K63" s="3"/>
      <c r="L63" s="8">
        <f t="shared" si="38"/>
        <v>0</v>
      </c>
      <c r="M63" s="3"/>
      <c r="N63" s="7">
        <f t="shared" si="39"/>
        <v>0</v>
      </c>
      <c r="O63" s="11"/>
      <c r="P63" s="8">
        <v>7253</v>
      </c>
      <c r="Q63" s="3"/>
      <c r="R63" s="7">
        <f t="shared" si="40"/>
        <v>0.36812942238752722</v>
      </c>
      <c r="S63" s="3"/>
      <c r="T63" s="8">
        <v>7253</v>
      </c>
      <c r="U63" s="3"/>
      <c r="V63" s="7">
        <f t="shared" si="41"/>
        <v>0.85179095713446862</v>
      </c>
      <c r="W63" s="3"/>
      <c r="X63" s="8">
        <f t="shared" si="42"/>
        <v>0</v>
      </c>
      <c r="Y63" s="3"/>
      <c r="Z63" s="7">
        <f t="shared" si="43"/>
        <v>0</v>
      </c>
    </row>
    <row r="64" spans="1:26" s="27" customFormat="1" outlineLevel="1" collapsed="1" x14ac:dyDescent="0.3">
      <c r="A64" s="28"/>
      <c r="B64" s="14" t="str">
        <f>CONCATENATE("     ","Rent                                              ")</f>
        <v xml:space="preserve">     Rent                                              </v>
      </c>
      <c r="C64" s="14"/>
      <c r="D64" s="1">
        <f>SUM(OSRRefD22_10x_0)</f>
        <v>1850</v>
      </c>
      <c r="E64" s="1"/>
      <c r="F64" s="5">
        <f t="shared" si="36"/>
        <v>9.3897619111667621E-2</v>
      </c>
      <c r="G64" s="1"/>
      <c r="H64" s="1">
        <f>SUM(OSRRefH22_10x_0)</f>
        <v>1850</v>
      </c>
      <c r="I64" s="1"/>
      <c r="J64" s="5">
        <f t="shared" si="37"/>
        <v>0.2172636523781562</v>
      </c>
      <c r="K64" s="1"/>
      <c r="L64" s="1">
        <f t="shared" si="38"/>
        <v>0</v>
      </c>
      <c r="M64" s="1"/>
      <c r="N64" s="5">
        <f t="shared" si="39"/>
        <v>0</v>
      </c>
      <c r="O64" s="14"/>
      <c r="P64" s="1">
        <f>SUM(OSRRefP22_10x_0)</f>
        <v>1850</v>
      </c>
      <c r="Q64" s="1"/>
      <c r="R64" s="5">
        <f t="shared" si="40"/>
        <v>9.3897619111667621E-2</v>
      </c>
      <c r="S64" s="1"/>
      <c r="T64" s="1">
        <f>SUM(OSRRefT22_10x_0)</f>
        <v>1850</v>
      </c>
      <c r="U64" s="1"/>
      <c r="V64" s="5">
        <f t="shared" si="41"/>
        <v>0.2172636523781562</v>
      </c>
      <c r="W64" s="1"/>
      <c r="X64" s="1">
        <f t="shared" si="42"/>
        <v>0</v>
      </c>
      <c r="Y64" s="1"/>
      <c r="Z64" s="5">
        <f t="shared" si="43"/>
        <v>0</v>
      </c>
    </row>
    <row r="65" spans="1:26" s="24" customFormat="1" hidden="1" outlineLevel="2" x14ac:dyDescent="0.3">
      <c r="A65" s="29"/>
      <c r="B65" s="11" t="str">
        <f>CONCATENATE("          ", "6273", " - ", "RENT")</f>
        <v xml:space="preserve">          6273 - RENT</v>
      </c>
      <c r="C65" s="11"/>
      <c r="D65" s="8">
        <v>1850</v>
      </c>
      <c r="E65" s="3"/>
      <c r="F65" s="7">
        <f t="shared" si="36"/>
        <v>9.3897619111667621E-2</v>
      </c>
      <c r="G65" s="3"/>
      <c r="H65" s="8">
        <v>1850</v>
      </c>
      <c r="I65" s="3"/>
      <c r="J65" s="7">
        <f t="shared" si="37"/>
        <v>0.2172636523781562</v>
      </c>
      <c r="K65" s="3"/>
      <c r="L65" s="8">
        <f t="shared" si="38"/>
        <v>0</v>
      </c>
      <c r="M65" s="3"/>
      <c r="N65" s="7">
        <f t="shared" si="39"/>
        <v>0</v>
      </c>
      <c r="O65" s="11"/>
      <c r="P65" s="8">
        <v>1850</v>
      </c>
      <c r="Q65" s="3"/>
      <c r="R65" s="7">
        <f t="shared" si="40"/>
        <v>9.3897619111667621E-2</v>
      </c>
      <c r="S65" s="3"/>
      <c r="T65" s="8">
        <v>1850</v>
      </c>
      <c r="U65" s="3"/>
      <c r="V65" s="7">
        <f t="shared" si="41"/>
        <v>0.2172636523781562</v>
      </c>
      <c r="W65" s="3"/>
      <c r="X65" s="8">
        <f t="shared" si="42"/>
        <v>0</v>
      </c>
      <c r="Y65" s="3"/>
      <c r="Z65" s="7">
        <f t="shared" si="43"/>
        <v>0</v>
      </c>
    </row>
    <row r="66" spans="1:26" s="27" customFormat="1" outlineLevel="1" collapsed="1" x14ac:dyDescent="0.3">
      <c r="A66" s="28"/>
      <c r="B66" s="14" t="str">
        <f>CONCATENATE("     ","Repair and Maintenance                            ")</f>
        <v xml:space="preserve">     Repair and Maintenance                            </v>
      </c>
      <c r="C66" s="14"/>
      <c r="D66" s="1">
        <f>SUM(OSRRefD22_11x_0)</f>
        <v>3131.71</v>
      </c>
      <c r="E66" s="1"/>
      <c r="F66" s="5">
        <f t="shared" si="36"/>
        <v>0.15895141229632467</v>
      </c>
      <c r="G66" s="1"/>
      <c r="H66" s="1">
        <f>SUM(OSRRefH22_11x_0)</f>
        <v>12367</v>
      </c>
      <c r="I66" s="1"/>
      <c r="J66" s="5">
        <f t="shared" si="37"/>
        <v>1.45237815619495</v>
      </c>
      <c r="K66" s="1"/>
      <c r="L66" s="1">
        <f t="shared" si="38"/>
        <v>-9235.2900000000009</v>
      </c>
      <c r="M66" s="1"/>
      <c r="N66" s="5">
        <f t="shared" si="39"/>
        <v>-0.74676882024743274</v>
      </c>
      <c r="O66" s="14"/>
      <c r="P66" s="1">
        <f>SUM(OSRRefP22_11x_0)</f>
        <v>3131.71</v>
      </c>
      <c r="Q66" s="1"/>
      <c r="R66" s="5">
        <f t="shared" si="40"/>
        <v>0.15895141229632467</v>
      </c>
      <c r="S66" s="1"/>
      <c r="T66" s="1">
        <f>SUM(OSRRefT22_11x_0)</f>
        <v>12367</v>
      </c>
      <c r="U66" s="1"/>
      <c r="V66" s="5">
        <f t="shared" si="41"/>
        <v>1.45237815619495</v>
      </c>
      <c r="W66" s="1"/>
      <c r="X66" s="1">
        <f t="shared" si="42"/>
        <v>-9235.2900000000009</v>
      </c>
      <c r="Y66" s="1"/>
      <c r="Z66" s="5">
        <f t="shared" si="43"/>
        <v>-0.74676882024743274</v>
      </c>
    </row>
    <row r="67" spans="1:26" s="24" customFormat="1" hidden="1" outlineLevel="2" x14ac:dyDescent="0.3">
      <c r="A67" s="29"/>
      <c r="B67" s="11" t="str">
        <f>CONCATENATE("          ", "6373", " - ", "MAINTENANCE CONTRACTS")</f>
        <v xml:space="preserve">          6373 - MAINTENANCE CONTRACTS</v>
      </c>
      <c r="C67" s="11"/>
      <c r="D67" s="8">
        <v>0.87</v>
      </c>
      <c r="E67" s="3"/>
      <c r="F67" s="7">
        <f t="shared" si="36"/>
        <v>4.415725871737883E-5</v>
      </c>
      <c r="G67" s="3"/>
      <c r="H67" s="8">
        <v>1030</v>
      </c>
      <c r="I67" s="3"/>
      <c r="J67" s="7">
        <f t="shared" si="37"/>
        <v>0.12096300645918967</v>
      </c>
      <c r="K67" s="3"/>
      <c r="L67" s="8">
        <f t="shared" si="38"/>
        <v>-1029.1300000000001</v>
      </c>
      <c r="M67" s="3"/>
      <c r="N67" s="7">
        <f t="shared" si="39"/>
        <v>-0.99915533980582538</v>
      </c>
      <c r="O67" s="11"/>
      <c r="P67" s="8">
        <v>0.87</v>
      </c>
      <c r="Q67" s="3"/>
      <c r="R67" s="7">
        <f t="shared" si="40"/>
        <v>4.415725871737883E-5</v>
      </c>
      <c r="S67" s="3"/>
      <c r="T67" s="8">
        <v>1030</v>
      </c>
      <c r="U67" s="3"/>
      <c r="V67" s="7">
        <f t="shared" si="41"/>
        <v>0.12096300645918967</v>
      </c>
      <c r="W67" s="3"/>
      <c r="X67" s="8">
        <f t="shared" si="42"/>
        <v>-1029.1300000000001</v>
      </c>
      <c r="Y67" s="3"/>
      <c r="Z67" s="7">
        <f t="shared" si="43"/>
        <v>-0.99915533980582538</v>
      </c>
    </row>
    <row r="68" spans="1:26" s="24" customFormat="1" hidden="1" outlineLevel="2" x14ac:dyDescent="0.3">
      <c r="A68" s="29"/>
      <c r="B68" s="11" t="str">
        <f>CONCATENATE("          ", "6375", " - ", "OUTSIDE REPAIRS &amp; MAINTENANCE")</f>
        <v xml:space="preserve">          6375 - OUTSIDE REPAIRS &amp; MAINTENANCE</v>
      </c>
      <c r="C68" s="11"/>
      <c r="D68" s="8">
        <v>3130.84</v>
      </c>
      <c r="E68" s="3"/>
      <c r="F68" s="7">
        <f t="shared" si="36"/>
        <v>0.1589072550376073</v>
      </c>
      <c r="G68" s="3"/>
      <c r="H68" s="8">
        <v>11337</v>
      </c>
      <c r="I68" s="3"/>
      <c r="J68" s="7">
        <f t="shared" si="37"/>
        <v>1.3314151497357605</v>
      </c>
      <c r="K68" s="3"/>
      <c r="L68" s="8">
        <f t="shared" si="38"/>
        <v>-8206.16</v>
      </c>
      <c r="M68" s="3"/>
      <c r="N68" s="7">
        <f t="shared" si="39"/>
        <v>-0.72383875804886655</v>
      </c>
      <c r="O68" s="11"/>
      <c r="P68" s="8">
        <v>3130.84</v>
      </c>
      <c r="Q68" s="3"/>
      <c r="R68" s="7">
        <f t="shared" si="40"/>
        <v>0.1589072550376073</v>
      </c>
      <c r="S68" s="3"/>
      <c r="T68" s="8">
        <v>11337</v>
      </c>
      <c r="U68" s="3"/>
      <c r="V68" s="7">
        <f t="shared" si="41"/>
        <v>1.3314151497357605</v>
      </c>
      <c r="W68" s="3"/>
      <c r="X68" s="8">
        <f t="shared" si="42"/>
        <v>-8206.16</v>
      </c>
      <c r="Y68" s="3"/>
      <c r="Z68" s="7">
        <f t="shared" si="43"/>
        <v>-0.72383875804886655</v>
      </c>
    </row>
    <row r="69" spans="1:26" s="27" customFormat="1" outlineLevel="1" collapsed="1" x14ac:dyDescent="0.3">
      <c r="A69" s="28"/>
      <c r="B69" s="14" t="str">
        <f>CONCATENATE("     ","Services                                          ")</f>
        <v xml:space="preserve">     Services                                          </v>
      </c>
      <c r="C69" s="14"/>
      <c r="D69" s="1">
        <f>SUM(OSRRefD22_12x_0)</f>
        <v>4589.2299999999996</v>
      </c>
      <c r="E69" s="1"/>
      <c r="F69" s="5">
        <f t="shared" ref="F69:F74" si="44">IF(D$12=0,0,D69/D$12)</f>
        <v>0.23292852462477751</v>
      </c>
      <c r="G69" s="1"/>
      <c r="H69" s="1">
        <f>SUM(OSRRefH22_12x_0)</f>
        <v>5929</v>
      </c>
      <c r="I69" s="1"/>
      <c r="J69" s="5">
        <f t="shared" ref="J69:J74" si="45">IF(H$12=0,0,H69/H$12)</f>
        <v>0.69630064591896657</v>
      </c>
      <c r="K69" s="1"/>
      <c r="L69" s="1">
        <f t="shared" ref="L69:L74" si="46">+D69-H69</f>
        <v>-1339.7700000000004</v>
      </c>
      <c r="M69" s="1"/>
      <c r="N69" s="5">
        <f t="shared" ref="N69:N74" si="47">IF(H69=0,0,L69/H69)</f>
        <v>-0.22596896609883629</v>
      </c>
      <c r="O69" s="14"/>
      <c r="P69" s="1">
        <f>SUM(OSRRefP22_12x_0)</f>
        <v>4589.2299999999996</v>
      </c>
      <c r="Q69" s="1"/>
      <c r="R69" s="5">
        <f t="shared" ref="R69:R74" si="48">IF(P$12=0,0,P69/P$12)</f>
        <v>0.23292852462477751</v>
      </c>
      <c r="S69" s="1"/>
      <c r="T69" s="1">
        <f>SUM(OSRRefT22_12x_0)</f>
        <v>5929</v>
      </c>
      <c r="U69" s="1"/>
      <c r="V69" s="5">
        <f t="shared" ref="V69:V74" si="49">IF(T$12=0,0,T69/T$12)</f>
        <v>0.69630064591896657</v>
      </c>
      <c r="W69" s="1"/>
      <c r="X69" s="1">
        <f t="shared" ref="X69:X74" si="50">+P69-T69</f>
        <v>-1339.7700000000004</v>
      </c>
      <c r="Y69" s="1"/>
      <c r="Z69" s="5">
        <f t="shared" ref="Z69:Z74" si="51">IF(T69=0,0,X69/T69)</f>
        <v>-0.22596896609883629</v>
      </c>
    </row>
    <row r="70" spans="1:26" s="24" customFormat="1" hidden="1" outlineLevel="2" x14ac:dyDescent="0.3">
      <c r="A70" s="29"/>
      <c r="B70" s="11" t="str">
        <f>CONCATENATE("          ", "6282", " - ", "JANITORIAL/EXTERMINATOR EXPENS")</f>
        <v xml:space="preserve">          6282 - JANITORIAL/EXTERMINATOR EXPENS</v>
      </c>
      <c r="C70" s="11"/>
      <c r="D70" s="8">
        <v>670.1</v>
      </c>
      <c r="E70" s="3"/>
      <c r="F70" s="7">
        <f t="shared" si="44"/>
        <v>3.4011240306339716E-2</v>
      </c>
      <c r="G70" s="3"/>
      <c r="H70" s="8">
        <v>978</v>
      </c>
      <c r="I70" s="3"/>
      <c r="J70" s="7">
        <f t="shared" si="45"/>
        <v>0.11485613623018204</v>
      </c>
      <c r="K70" s="3"/>
      <c r="L70" s="8">
        <f t="shared" si="46"/>
        <v>-307.89999999999998</v>
      </c>
      <c r="M70" s="3"/>
      <c r="N70" s="7">
        <f t="shared" si="47"/>
        <v>-0.31482617586912065</v>
      </c>
      <c r="O70" s="11"/>
      <c r="P70" s="8">
        <v>670.1</v>
      </c>
      <c r="Q70" s="3"/>
      <c r="R70" s="7">
        <f t="shared" si="48"/>
        <v>3.4011240306339716E-2</v>
      </c>
      <c r="S70" s="3"/>
      <c r="T70" s="8">
        <v>978</v>
      </c>
      <c r="U70" s="3"/>
      <c r="V70" s="7">
        <f t="shared" si="49"/>
        <v>0.11485613623018204</v>
      </c>
      <c r="W70" s="3"/>
      <c r="X70" s="8">
        <f t="shared" si="50"/>
        <v>-307.89999999999998</v>
      </c>
      <c r="Y70" s="3"/>
      <c r="Z70" s="7">
        <f t="shared" si="51"/>
        <v>-0.31482617586912065</v>
      </c>
    </row>
    <row r="71" spans="1:26" s="24" customFormat="1" hidden="1" outlineLevel="2" x14ac:dyDescent="0.3">
      <c r="A71" s="29"/>
      <c r="B71" s="11" t="str">
        <f>CONCATENATE("          ", "6283", " - ", "PLANT SERVICE")</f>
        <v xml:space="preserve">          6283 - PLANT SERVICE</v>
      </c>
      <c r="C71" s="11"/>
      <c r="D71" s="8"/>
      <c r="E71" s="3"/>
      <c r="F71" s="7">
        <f t="shared" si="44"/>
        <v>0</v>
      </c>
      <c r="G71" s="3"/>
      <c r="H71" s="8">
        <v>100</v>
      </c>
      <c r="I71" s="3"/>
      <c r="J71" s="7">
        <f t="shared" si="45"/>
        <v>1.1743981209630064E-2</v>
      </c>
      <c r="K71" s="3"/>
      <c r="L71" s="8">
        <f t="shared" si="46"/>
        <v>-100</v>
      </c>
      <c r="M71" s="3"/>
      <c r="N71" s="7">
        <f t="shared" si="47"/>
        <v>-1</v>
      </c>
      <c r="O71" s="11"/>
      <c r="P71" s="8"/>
      <c r="Q71" s="3"/>
      <c r="R71" s="7">
        <f t="shared" si="48"/>
        <v>0</v>
      </c>
      <c r="S71" s="3"/>
      <c r="T71" s="8">
        <v>100</v>
      </c>
      <c r="U71" s="3"/>
      <c r="V71" s="7">
        <f t="shared" si="49"/>
        <v>1.1743981209630064E-2</v>
      </c>
      <c r="W71" s="3"/>
      <c r="X71" s="8">
        <f t="shared" si="50"/>
        <v>-100</v>
      </c>
      <c r="Y71" s="3"/>
      <c r="Z71" s="7">
        <f t="shared" si="51"/>
        <v>-1</v>
      </c>
    </row>
    <row r="72" spans="1:26" s="24" customFormat="1" hidden="1" outlineLevel="2" x14ac:dyDescent="0.3">
      <c r="A72" s="29"/>
      <c r="B72" s="11" t="str">
        <f>CONCATENATE("          ", "6284", " - ", "TRASH REMOVAL EXPENSE")</f>
        <v xml:space="preserve">          6284 - TRASH REMOVAL EXPENSE</v>
      </c>
      <c r="C72" s="11"/>
      <c r="D72" s="8"/>
      <c r="E72" s="3"/>
      <c r="F72" s="7">
        <f t="shared" si="44"/>
        <v>0</v>
      </c>
      <c r="G72" s="3"/>
      <c r="H72" s="8">
        <v>1000</v>
      </c>
      <c r="I72" s="3"/>
      <c r="J72" s="7">
        <f t="shared" si="45"/>
        <v>0.11743981209630065</v>
      </c>
      <c r="K72" s="3"/>
      <c r="L72" s="8">
        <f t="shared" si="46"/>
        <v>-1000</v>
      </c>
      <c r="M72" s="3"/>
      <c r="N72" s="7">
        <f t="shared" si="47"/>
        <v>-1</v>
      </c>
      <c r="O72" s="11"/>
      <c r="P72" s="8"/>
      <c r="Q72" s="3"/>
      <c r="R72" s="7">
        <f t="shared" si="48"/>
        <v>0</v>
      </c>
      <c r="S72" s="3"/>
      <c r="T72" s="8">
        <v>1000</v>
      </c>
      <c r="U72" s="3"/>
      <c r="V72" s="7">
        <f t="shared" si="49"/>
        <v>0.11743981209630065</v>
      </c>
      <c r="W72" s="3"/>
      <c r="X72" s="8">
        <f t="shared" si="50"/>
        <v>-1000</v>
      </c>
      <c r="Y72" s="3"/>
      <c r="Z72" s="7">
        <f t="shared" si="51"/>
        <v>-1</v>
      </c>
    </row>
    <row r="73" spans="1:26" s="24" customFormat="1" hidden="1" outlineLevel="2" x14ac:dyDescent="0.3">
      <c r="A73" s="29"/>
      <c r="B73" s="11" t="str">
        <f>CONCATENATE("          ", "6285", " - ", "JANITORIAL SERVICES")</f>
        <v xml:space="preserve">          6285 - JANITORIAL SERVICES</v>
      </c>
      <c r="C73" s="11"/>
      <c r="D73" s="8">
        <v>3759.39</v>
      </c>
      <c r="E73" s="3"/>
      <c r="F73" s="7">
        <f t="shared" si="44"/>
        <v>0.19080960557416873</v>
      </c>
      <c r="G73" s="3"/>
      <c r="H73" s="8">
        <v>3041</v>
      </c>
      <c r="I73" s="3"/>
      <c r="J73" s="7">
        <f t="shared" si="45"/>
        <v>0.35713446858485026</v>
      </c>
      <c r="K73" s="3"/>
      <c r="L73" s="8">
        <f t="shared" si="46"/>
        <v>718.38999999999987</v>
      </c>
      <c r="M73" s="3"/>
      <c r="N73" s="7">
        <f t="shared" si="47"/>
        <v>0.23623479118710947</v>
      </c>
      <c r="O73" s="11"/>
      <c r="P73" s="8">
        <v>3759.39</v>
      </c>
      <c r="Q73" s="3"/>
      <c r="R73" s="7">
        <f t="shared" si="48"/>
        <v>0.19080960557416873</v>
      </c>
      <c r="S73" s="3"/>
      <c r="T73" s="8">
        <v>3041</v>
      </c>
      <c r="U73" s="3"/>
      <c r="V73" s="7">
        <f t="shared" si="49"/>
        <v>0.35713446858485026</v>
      </c>
      <c r="W73" s="3"/>
      <c r="X73" s="8">
        <f t="shared" si="50"/>
        <v>718.38999999999987</v>
      </c>
      <c r="Y73" s="3"/>
      <c r="Z73" s="7">
        <f t="shared" si="51"/>
        <v>0.23623479118710947</v>
      </c>
    </row>
    <row r="74" spans="1:26" s="24" customFormat="1" hidden="1" outlineLevel="2" x14ac:dyDescent="0.3">
      <c r="A74" s="29"/>
      <c r="B74" s="11" t="str">
        <f>CONCATENATE("          ", "6286", " - ", "LAUNDRY EXPENSE")</f>
        <v xml:space="preserve">          6286 - LAUNDRY EXPENSE</v>
      </c>
      <c r="C74" s="11"/>
      <c r="D74" s="8">
        <v>159.74</v>
      </c>
      <c r="E74" s="3"/>
      <c r="F74" s="7">
        <f t="shared" si="44"/>
        <v>8.1076787442690753E-3</v>
      </c>
      <c r="G74" s="3"/>
      <c r="H74" s="8">
        <v>810</v>
      </c>
      <c r="I74" s="3"/>
      <c r="J74" s="7">
        <f t="shared" si="45"/>
        <v>9.5126247798003521E-2</v>
      </c>
      <c r="K74" s="3"/>
      <c r="L74" s="8">
        <f t="shared" si="46"/>
        <v>-650.26</v>
      </c>
      <c r="M74" s="3"/>
      <c r="N74" s="7">
        <f t="shared" si="47"/>
        <v>-0.80279012345679013</v>
      </c>
      <c r="O74" s="11"/>
      <c r="P74" s="8">
        <v>159.74</v>
      </c>
      <c r="Q74" s="3"/>
      <c r="R74" s="7">
        <f t="shared" si="48"/>
        <v>8.1076787442690753E-3</v>
      </c>
      <c r="S74" s="3"/>
      <c r="T74" s="8">
        <v>810</v>
      </c>
      <c r="U74" s="3"/>
      <c r="V74" s="7">
        <f t="shared" si="49"/>
        <v>9.5126247798003521E-2</v>
      </c>
      <c r="W74" s="3"/>
      <c r="X74" s="8">
        <f t="shared" si="50"/>
        <v>-650.26</v>
      </c>
      <c r="Y74" s="3"/>
      <c r="Z74" s="7">
        <f t="shared" si="51"/>
        <v>-0.80279012345679013</v>
      </c>
    </row>
    <row r="75" spans="1:26" s="27" customFormat="1" outlineLevel="1" collapsed="1" x14ac:dyDescent="0.3">
      <c r="A75" s="28"/>
      <c r="B75" s="14" t="str">
        <f>CONCATENATE("     ","Subscriptions &amp; Dues                              ")</f>
        <v xml:space="preserve">     Subscriptions &amp; Dues                              </v>
      </c>
      <c r="C75" s="14"/>
      <c r="D75" s="1">
        <f>SUM(OSRRefD22_13x_0)</f>
        <v>130.66999999999999</v>
      </c>
      <c r="E75" s="1"/>
      <c r="F75" s="5">
        <f t="shared" ref="F75:F85" si="52">IF(D$12=0,0,D75/D$12)</f>
        <v>6.6322172374711393E-3</v>
      </c>
      <c r="G75" s="1"/>
      <c r="H75" s="1">
        <f>SUM(OSRRefH22_13x_0)</f>
        <v>380</v>
      </c>
      <c r="I75" s="1"/>
      <c r="J75" s="5">
        <f t="shared" ref="J75:J85" si="53">IF(H$12=0,0,H75/H$12)</f>
        <v>4.4627128596594248E-2</v>
      </c>
      <c r="K75" s="1"/>
      <c r="L75" s="1">
        <f t="shared" ref="L75:L85" si="54">+D75-H75</f>
        <v>-249.33</v>
      </c>
      <c r="M75" s="1"/>
      <c r="N75" s="5">
        <f t="shared" ref="N75:N85" si="55">IF(H75=0,0,L75/H75)</f>
        <v>-0.6561315789473684</v>
      </c>
      <c r="O75" s="14"/>
      <c r="P75" s="1">
        <f>SUM(OSRRefP22_13x_0)</f>
        <v>130.66999999999999</v>
      </c>
      <c r="Q75" s="1"/>
      <c r="R75" s="5">
        <f t="shared" ref="R75:R85" si="56">IF(P$12=0,0,P75/P$12)</f>
        <v>6.6322172374711393E-3</v>
      </c>
      <c r="S75" s="1"/>
      <c r="T75" s="1">
        <f>SUM(OSRRefT22_13x_0)</f>
        <v>380</v>
      </c>
      <c r="U75" s="1"/>
      <c r="V75" s="5">
        <f t="shared" ref="V75:V85" si="57">IF(T$12=0,0,T75/T$12)</f>
        <v>4.4627128596594248E-2</v>
      </c>
      <c r="W75" s="1"/>
      <c r="X75" s="1">
        <f t="shared" ref="X75:X85" si="58">+P75-T75</f>
        <v>-249.33</v>
      </c>
      <c r="Y75" s="1"/>
      <c r="Z75" s="5">
        <f t="shared" ref="Z75:Z85" si="59">IF(T75=0,0,X75/T75)</f>
        <v>-0.6561315789473684</v>
      </c>
    </row>
    <row r="76" spans="1:26" s="24" customFormat="1" hidden="1" outlineLevel="2" x14ac:dyDescent="0.3">
      <c r="A76" s="29"/>
      <c r="B76" s="11" t="str">
        <f>CONCATENATE("          ", "6275", " - ", "SUBSCRIPTIONS")</f>
        <v xml:space="preserve">          6275 - SUBSCRIPTIONS</v>
      </c>
      <c r="C76" s="11"/>
      <c r="D76" s="8">
        <v>130.66999999999999</v>
      </c>
      <c r="E76" s="3"/>
      <c r="F76" s="7">
        <f t="shared" si="52"/>
        <v>6.6322172374711393E-3</v>
      </c>
      <c r="G76" s="3"/>
      <c r="H76" s="8">
        <v>380</v>
      </c>
      <c r="I76" s="3"/>
      <c r="J76" s="7">
        <f t="shared" si="53"/>
        <v>4.4627128596594248E-2</v>
      </c>
      <c r="K76" s="3"/>
      <c r="L76" s="8">
        <f t="shared" si="54"/>
        <v>-249.33</v>
      </c>
      <c r="M76" s="3"/>
      <c r="N76" s="7">
        <f t="shared" si="55"/>
        <v>-0.6561315789473684</v>
      </c>
      <c r="O76" s="11"/>
      <c r="P76" s="8">
        <v>130.66999999999999</v>
      </c>
      <c r="Q76" s="3"/>
      <c r="R76" s="7">
        <f t="shared" si="56"/>
        <v>6.6322172374711393E-3</v>
      </c>
      <c r="S76" s="3"/>
      <c r="T76" s="8">
        <v>380</v>
      </c>
      <c r="U76" s="3"/>
      <c r="V76" s="7">
        <f t="shared" si="57"/>
        <v>4.4627128596594248E-2</v>
      </c>
      <c r="W76" s="3"/>
      <c r="X76" s="8">
        <f t="shared" si="58"/>
        <v>-249.33</v>
      </c>
      <c r="Y76" s="3"/>
      <c r="Z76" s="7">
        <f t="shared" si="59"/>
        <v>-0.6561315789473684</v>
      </c>
    </row>
    <row r="77" spans="1:26" s="27" customFormat="1" outlineLevel="1" collapsed="1" x14ac:dyDescent="0.3">
      <c r="A77" s="28"/>
      <c r="B77" s="14" t="str">
        <f>CONCATENATE("     ","Supplies                                          ")</f>
        <v xml:space="preserve">     Supplies                                          </v>
      </c>
      <c r="C77" s="14"/>
      <c r="D77" s="1">
        <f>SUM(OSRRefD22_14x_0)</f>
        <v>1730.4100000000003</v>
      </c>
      <c r="E77" s="1"/>
      <c r="F77" s="5">
        <f t="shared" si="52"/>
        <v>8.7827772479470712E-2</v>
      </c>
      <c r="G77" s="1"/>
      <c r="H77" s="1">
        <f>SUM(OSRRefH22_14x_0)</f>
        <v>9039</v>
      </c>
      <c r="I77" s="1"/>
      <c r="J77" s="5">
        <f t="shared" si="53"/>
        <v>1.0615384615384615</v>
      </c>
      <c r="K77" s="1"/>
      <c r="L77" s="1">
        <f t="shared" si="54"/>
        <v>-7308.59</v>
      </c>
      <c r="M77" s="1"/>
      <c r="N77" s="5">
        <f t="shared" si="55"/>
        <v>-0.80856178780838595</v>
      </c>
      <c r="O77" s="14"/>
      <c r="P77" s="1">
        <f>SUM(OSRRefP22_14x_0)</f>
        <v>1730.4100000000003</v>
      </c>
      <c r="Q77" s="1"/>
      <c r="R77" s="5">
        <f t="shared" si="56"/>
        <v>8.7827772479470712E-2</v>
      </c>
      <c r="S77" s="1"/>
      <c r="T77" s="1">
        <f>SUM(OSRRefT22_14x_0)</f>
        <v>9039</v>
      </c>
      <c r="U77" s="1"/>
      <c r="V77" s="5">
        <f t="shared" si="57"/>
        <v>1.0615384615384615</v>
      </c>
      <c r="W77" s="1"/>
      <c r="X77" s="1">
        <f t="shared" si="58"/>
        <v>-7308.59</v>
      </c>
      <c r="Y77" s="1"/>
      <c r="Z77" s="5">
        <f t="shared" si="59"/>
        <v>-0.80856178780838595</v>
      </c>
    </row>
    <row r="78" spans="1:26" s="24" customFormat="1" hidden="1" outlineLevel="2" x14ac:dyDescent="0.3">
      <c r="A78" s="29"/>
      <c r="B78" s="11" t="str">
        <f>CONCATENATE("          ", "6235", " - ", "COVID-19 EXPENSES")</f>
        <v xml:space="preserve">          6235 - COVID-19 EXPENSES</v>
      </c>
      <c r="C78" s="11"/>
      <c r="D78" s="8"/>
      <c r="E78" s="3"/>
      <c r="F78" s="7">
        <f t="shared" si="52"/>
        <v>0</v>
      </c>
      <c r="G78" s="3"/>
      <c r="H78" s="8">
        <v>500</v>
      </c>
      <c r="I78" s="3"/>
      <c r="J78" s="7">
        <f t="shared" si="53"/>
        <v>5.8719906048150326E-2</v>
      </c>
      <c r="K78" s="3"/>
      <c r="L78" s="8">
        <f t="shared" si="54"/>
        <v>-500</v>
      </c>
      <c r="M78" s="3"/>
      <c r="N78" s="7">
        <f t="shared" si="55"/>
        <v>-1</v>
      </c>
      <c r="O78" s="11"/>
      <c r="P78" s="8"/>
      <c r="Q78" s="3"/>
      <c r="R78" s="7">
        <f t="shared" si="56"/>
        <v>0</v>
      </c>
      <c r="S78" s="3"/>
      <c r="T78" s="8">
        <v>500</v>
      </c>
      <c r="U78" s="3"/>
      <c r="V78" s="7">
        <f t="shared" si="57"/>
        <v>5.8719906048150326E-2</v>
      </c>
      <c r="W78" s="3"/>
      <c r="X78" s="8">
        <f t="shared" si="58"/>
        <v>-500</v>
      </c>
      <c r="Y78" s="3"/>
      <c r="Z78" s="7">
        <f t="shared" si="59"/>
        <v>-1</v>
      </c>
    </row>
    <row r="79" spans="1:26" s="24" customFormat="1" hidden="1" outlineLevel="2" x14ac:dyDescent="0.3">
      <c r="A79" s="29"/>
      <c r="B79" s="11" t="str">
        <f>CONCATENATE("          ", "6237", " - ", "JANITORIAL SUPPLIES")</f>
        <v xml:space="preserve">          6237 - JANITORIAL SUPPLIES</v>
      </c>
      <c r="C79" s="11"/>
      <c r="D79" s="8">
        <v>1002.17</v>
      </c>
      <c r="E79" s="3"/>
      <c r="F79" s="7">
        <f t="shared" si="52"/>
        <v>5.0865609159535106E-2</v>
      </c>
      <c r="G79" s="3"/>
      <c r="H79" s="8">
        <v>773</v>
      </c>
      <c r="I79" s="3"/>
      <c r="J79" s="7">
        <f t="shared" si="53"/>
        <v>9.0780974750440405E-2</v>
      </c>
      <c r="K79" s="3"/>
      <c r="L79" s="8">
        <f t="shared" si="54"/>
        <v>229.16999999999996</v>
      </c>
      <c r="M79" s="3"/>
      <c r="N79" s="7">
        <f t="shared" si="55"/>
        <v>0.2964683053040103</v>
      </c>
      <c r="O79" s="11"/>
      <c r="P79" s="8">
        <v>1002.17</v>
      </c>
      <c r="Q79" s="3"/>
      <c r="R79" s="7">
        <f t="shared" si="56"/>
        <v>5.0865609159535106E-2</v>
      </c>
      <c r="S79" s="3"/>
      <c r="T79" s="8">
        <v>773</v>
      </c>
      <c r="U79" s="3"/>
      <c r="V79" s="7">
        <f t="shared" si="57"/>
        <v>9.0780974750440405E-2</v>
      </c>
      <c r="W79" s="3"/>
      <c r="X79" s="8">
        <f t="shared" si="58"/>
        <v>229.16999999999996</v>
      </c>
      <c r="Y79" s="3"/>
      <c r="Z79" s="7">
        <f t="shared" si="59"/>
        <v>0.2964683053040103</v>
      </c>
    </row>
    <row r="80" spans="1:26" s="24" customFormat="1" hidden="1" outlineLevel="2" x14ac:dyDescent="0.3">
      <c r="A80" s="29"/>
      <c r="B80" s="11" t="str">
        <f>CONCATENATE("          ", "6239", " - ", "KITCHEN SUPPLIES")</f>
        <v xml:space="preserve">          6239 - KITCHEN SUPPLIES</v>
      </c>
      <c r="C80" s="11"/>
      <c r="D80" s="8">
        <v>32.03</v>
      </c>
      <c r="E80" s="3"/>
      <c r="F80" s="7">
        <f t="shared" si="52"/>
        <v>1.6256976973766024E-3</v>
      </c>
      <c r="G80" s="3"/>
      <c r="H80" s="8">
        <v>5163</v>
      </c>
      <c r="I80" s="3"/>
      <c r="J80" s="7">
        <f t="shared" si="53"/>
        <v>0.60634174985320022</v>
      </c>
      <c r="K80" s="3"/>
      <c r="L80" s="8">
        <f t="shared" si="54"/>
        <v>-5130.97</v>
      </c>
      <c r="M80" s="3"/>
      <c r="N80" s="7">
        <f t="shared" si="55"/>
        <v>-0.99379624249467369</v>
      </c>
      <c r="O80" s="11"/>
      <c r="P80" s="8">
        <v>32.03</v>
      </c>
      <c r="Q80" s="3"/>
      <c r="R80" s="7">
        <f t="shared" si="56"/>
        <v>1.6256976973766024E-3</v>
      </c>
      <c r="S80" s="3"/>
      <c r="T80" s="8">
        <v>5163</v>
      </c>
      <c r="U80" s="3"/>
      <c r="V80" s="7">
        <f t="shared" si="57"/>
        <v>0.60634174985320022</v>
      </c>
      <c r="W80" s="3"/>
      <c r="X80" s="8">
        <f t="shared" si="58"/>
        <v>-5130.97</v>
      </c>
      <c r="Y80" s="3"/>
      <c r="Z80" s="7">
        <f t="shared" si="59"/>
        <v>-0.99379624249467369</v>
      </c>
    </row>
    <row r="81" spans="1:26" s="24" customFormat="1" hidden="1" outlineLevel="2" x14ac:dyDescent="0.3">
      <c r="A81" s="29"/>
      <c r="B81" s="11" t="str">
        <f>CONCATENATE("          ", "6241", " - ", "OFFICE EXPENSE")</f>
        <v xml:space="preserve">          6241 - OFFICE EXPENSE</v>
      </c>
      <c r="C81" s="11"/>
      <c r="D81" s="8">
        <v>530.83000000000004</v>
      </c>
      <c r="E81" s="3"/>
      <c r="F81" s="7">
        <f t="shared" si="52"/>
        <v>2.6942526028673801E-2</v>
      </c>
      <c r="G81" s="3"/>
      <c r="H81" s="8">
        <v>44</v>
      </c>
      <c r="I81" s="3"/>
      <c r="J81" s="7">
        <f t="shared" si="53"/>
        <v>5.167351732237228E-3</v>
      </c>
      <c r="K81" s="3"/>
      <c r="L81" s="8">
        <f t="shared" si="54"/>
        <v>486.83000000000004</v>
      </c>
      <c r="M81" s="3"/>
      <c r="N81" s="7">
        <f t="shared" si="55"/>
        <v>11.064318181818182</v>
      </c>
      <c r="O81" s="11"/>
      <c r="P81" s="8">
        <v>530.83000000000004</v>
      </c>
      <c r="Q81" s="3"/>
      <c r="R81" s="7">
        <f t="shared" si="56"/>
        <v>2.6942526028673801E-2</v>
      </c>
      <c r="S81" s="3"/>
      <c r="T81" s="8">
        <v>44</v>
      </c>
      <c r="U81" s="3"/>
      <c r="V81" s="7">
        <f t="shared" si="57"/>
        <v>5.167351732237228E-3</v>
      </c>
      <c r="W81" s="3"/>
      <c r="X81" s="8">
        <f t="shared" si="58"/>
        <v>486.83000000000004</v>
      </c>
      <c r="Y81" s="3"/>
      <c r="Z81" s="7">
        <f t="shared" si="59"/>
        <v>11.064318181818182</v>
      </c>
    </row>
    <row r="82" spans="1:26" s="24" customFormat="1" hidden="1" outlineLevel="2" x14ac:dyDescent="0.3">
      <c r="A82" s="29"/>
      <c r="B82" s="11" t="str">
        <f>CONCATENATE("          ", "6243", " - ", "PAPER SUPPLIES")</f>
        <v xml:space="preserve">          6243 - PAPER SUPPLIES</v>
      </c>
      <c r="C82" s="11"/>
      <c r="D82" s="8">
        <v>165.38</v>
      </c>
      <c r="E82" s="3"/>
      <c r="F82" s="7">
        <f t="shared" si="52"/>
        <v>8.3939395938851854E-3</v>
      </c>
      <c r="G82" s="3"/>
      <c r="H82" s="8">
        <v>509</v>
      </c>
      <c r="I82" s="3"/>
      <c r="J82" s="7">
        <f t="shared" si="53"/>
        <v>5.9776864357017026E-2</v>
      </c>
      <c r="K82" s="3"/>
      <c r="L82" s="8">
        <f t="shared" si="54"/>
        <v>-343.62</v>
      </c>
      <c r="M82" s="3"/>
      <c r="N82" s="7">
        <f t="shared" si="55"/>
        <v>-0.67508840864440078</v>
      </c>
      <c r="O82" s="11"/>
      <c r="P82" s="8">
        <v>165.38</v>
      </c>
      <c r="Q82" s="3"/>
      <c r="R82" s="7">
        <f t="shared" si="56"/>
        <v>8.3939395938851854E-3</v>
      </c>
      <c r="S82" s="3"/>
      <c r="T82" s="8">
        <v>509</v>
      </c>
      <c r="U82" s="3"/>
      <c r="V82" s="7">
        <f t="shared" si="57"/>
        <v>5.9776864357017026E-2</v>
      </c>
      <c r="W82" s="3"/>
      <c r="X82" s="8">
        <f t="shared" si="58"/>
        <v>-343.62</v>
      </c>
      <c r="Y82" s="3"/>
      <c r="Z82" s="7">
        <f t="shared" si="59"/>
        <v>-0.67508840864440078</v>
      </c>
    </row>
    <row r="83" spans="1:26" s="24" customFormat="1" hidden="1" outlineLevel="2" x14ac:dyDescent="0.3">
      <c r="A83" s="29"/>
      <c r="B83" s="11" t="str">
        <f>CONCATENATE("          ", "6244", " - ", "SAFETY SUPPLY EXPENSE")</f>
        <v xml:space="preserve">          6244 - SAFETY SUPPLY EXPENSE</v>
      </c>
      <c r="C83" s="11"/>
      <c r="D83" s="8"/>
      <c r="E83" s="3"/>
      <c r="F83" s="7">
        <f t="shared" si="52"/>
        <v>0</v>
      </c>
      <c r="G83" s="3"/>
      <c r="H83" s="8">
        <v>50</v>
      </c>
      <c r="I83" s="3"/>
      <c r="J83" s="7">
        <f t="shared" si="53"/>
        <v>5.8719906048150319E-3</v>
      </c>
      <c r="K83" s="3"/>
      <c r="L83" s="8">
        <f t="shared" si="54"/>
        <v>-50</v>
      </c>
      <c r="M83" s="3"/>
      <c r="N83" s="7">
        <f t="shared" si="55"/>
        <v>-1</v>
      </c>
      <c r="O83" s="11"/>
      <c r="P83" s="8"/>
      <c r="Q83" s="3"/>
      <c r="R83" s="7">
        <f t="shared" si="56"/>
        <v>0</v>
      </c>
      <c r="S83" s="3"/>
      <c r="T83" s="8">
        <v>50</v>
      </c>
      <c r="U83" s="3"/>
      <c r="V83" s="7">
        <f t="shared" si="57"/>
        <v>5.8719906048150319E-3</v>
      </c>
      <c r="W83" s="3"/>
      <c r="X83" s="8">
        <f t="shared" si="58"/>
        <v>-50</v>
      </c>
      <c r="Y83" s="3"/>
      <c r="Z83" s="7">
        <f t="shared" si="59"/>
        <v>-1</v>
      </c>
    </row>
    <row r="84" spans="1:26" s="24" customFormat="1" hidden="1" outlineLevel="2" x14ac:dyDescent="0.3">
      <c r="A84" s="29"/>
      <c r="B84" s="11" t="str">
        <f>CONCATENATE("          ", "6245", " - ", "PRINTING")</f>
        <v xml:space="preserve">          6245 - PRINTING</v>
      </c>
      <c r="C84" s="11"/>
      <c r="D84" s="8"/>
      <c r="E84" s="3"/>
      <c r="F84" s="7">
        <f t="shared" si="52"/>
        <v>0</v>
      </c>
      <c r="G84" s="3"/>
      <c r="H84" s="8">
        <v>400</v>
      </c>
      <c r="I84" s="3"/>
      <c r="J84" s="7">
        <f t="shared" si="53"/>
        <v>4.6975924838520255E-2</v>
      </c>
      <c r="K84" s="3"/>
      <c r="L84" s="8">
        <f t="shared" si="54"/>
        <v>-400</v>
      </c>
      <c r="M84" s="3"/>
      <c r="N84" s="7">
        <f t="shared" si="55"/>
        <v>-1</v>
      </c>
      <c r="O84" s="11"/>
      <c r="P84" s="8"/>
      <c r="Q84" s="3"/>
      <c r="R84" s="7">
        <f t="shared" si="56"/>
        <v>0</v>
      </c>
      <c r="S84" s="3"/>
      <c r="T84" s="8">
        <v>400</v>
      </c>
      <c r="U84" s="3"/>
      <c r="V84" s="7">
        <f t="shared" si="57"/>
        <v>4.6975924838520255E-2</v>
      </c>
      <c r="W84" s="3"/>
      <c r="X84" s="8">
        <f t="shared" si="58"/>
        <v>-400</v>
      </c>
      <c r="Y84" s="3"/>
      <c r="Z84" s="7">
        <f t="shared" si="59"/>
        <v>-1</v>
      </c>
    </row>
    <row r="85" spans="1:26" s="24" customFormat="1" hidden="1" outlineLevel="2" x14ac:dyDescent="0.3">
      <c r="A85" s="29"/>
      <c r="B85" s="11" t="str">
        <f>CONCATENATE("          ", "6248", " - ", "UNIFORMS")</f>
        <v xml:space="preserve">          6248 - UNIFORMS</v>
      </c>
      <c r="C85" s="11"/>
      <c r="D85" s="8"/>
      <c r="E85" s="3"/>
      <c r="F85" s="7">
        <f t="shared" si="52"/>
        <v>0</v>
      </c>
      <c r="G85" s="3"/>
      <c r="H85" s="8">
        <v>1600</v>
      </c>
      <c r="I85" s="3"/>
      <c r="J85" s="7">
        <f t="shared" si="53"/>
        <v>0.18790369935408102</v>
      </c>
      <c r="K85" s="3"/>
      <c r="L85" s="8">
        <f t="shared" si="54"/>
        <v>-1600</v>
      </c>
      <c r="M85" s="3"/>
      <c r="N85" s="7">
        <f t="shared" si="55"/>
        <v>-1</v>
      </c>
      <c r="O85" s="11"/>
      <c r="P85" s="8"/>
      <c r="Q85" s="3"/>
      <c r="R85" s="7">
        <f t="shared" si="56"/>
        <v>0</v>
      </c>
      <c r="S85" s="3"/>
      <c r="T85" s="8">
        <v>1600</v>
      </c>
      <c r="U85" s="3"/>
      <c r="V85" s="7">
        <f t="shared" si="57"/>
        <v>0.18790369935408102</v>
      </c>
      <c r="W85" s="3"/>
      <c r="X85" s="8">
        <f t="shared" si="58"/>
        <v>-1600</v>
      </c>
      <c r="Y85" s="3"/>
      <c r="Z85" s="7">
        <f t="shared" si="59"/>
        <v>-1</v>
      </c>
    </row>
    <row r="86" spans="1:26" s="27" customFormat="1" outlineLevel="1" collapsed="1" x14ac:dyDescent="0.3">
      <c r="A86" s="28"/>
      <c r="B86" s="14" t="str">
        <f>CONCATENATE("     ","Telephone/Data Lines                              ")</f>
        <v xml:space="preserve">     Telephone/Data Lines                              </v>
      </c>
      <c r="C86" s="14"/>
      <c r="D86" s="1">
        <f>SUM(OSRRefD22_15x_0)</f>
        <v>523.54999999999995</v>
      </c>
      <c r="E86" s="1"/>
      <c r="F86" s="5">
        <f t="shared" ref="F86:F88" si="60">IF(D$12=0,0,D86/D$12)</f>
        <v>2.6573026208601937E-2</v>
      </c>
      <c r="G86" s="1"/>
      <c r="H86" s="1">
        <f>SUM(OSRRefH22_15x_0)</f>
        <v>510</v>
      </c>
      <c r="I86" s="1"/>
      <c r="J86" s="5">
        <f t="shared" ref="J86:J88" si="61">IF(H$12=0,0,H86/H$12)</f>
        <v>5.989430416911333E-2</v>
      </c>
      <c r="K86" s="1"/>
      <c r="L86" s="1">
        <f t="shared" ref="L86:L88" si="62">+D86-H86</f>
        <v>13.549999999999955</v>
      </c>
      <c r="M86" s="1"/>
      <c r="N86" s="5">
        <f t="shared" ref="N86:N88" si="63">IF(H86=0,0,L86/H86)</f>
        <v>2.6568627450980303E-2</v>
      </c>
      <c r="O86" s="14"/>
      <c r="P86" s="1">
        <f>SUM(OSRRefP22_15x_0)</f>
        <v>523.54999999999995</v>
      </c>
      <c r="Q86" s="1"/>
      <c r="R86" s="5">
        <f t="shared" ref="R86:R88" si="64">IF(P$12=0,0,P86/P$12)</f>
        <v>2.6573026208601937E-2</v>
      </c>
      <c r="S86" s="1"/>
      <c r="T86" s="1">
        <f>SUM(OSRRefT22_15x_0)</f>
        <v>510</v>
      </c>
      <c r="U86" s="1"/>
      <c r="V86" s="5">
        <f t="shared" ref="V86:V88" si="65">IF(T$12=0,0,T86/T$12)</f>
        <v>5.989430416911333E-2</v>
      </c>
      <c r="W86" s="1"/>
      <c r="X86" s="1">
        <f t="shared" ref="X86:X88" si="66">+P86-T86</f>
        <v>13.549999999999955</v>
      </c>
      <c r="Y86" s="1"/>
      <c r="Z86" s="5">
        <f t="shared" ref="Z86:Z88" si="67">IF(T86=0,0,X86/T86)</f>
        <v>2.6568627450980303E-2</v>
      </c>
    </row>
    <row r="87" spans="1:26" s="24" customFormat="1" hidden="1" outlineLevel="2" x14ac:dyDescent="0.3">
      <c r="A87" s="29"/>
      <c r="B87" s="11" t="str">
        <f>CONCATENATE("          ", "6303", " - ", "DATA PHONE LINES")</f>
        <v xml:space="preserve">          6303 - DATA PHONE LINES</v>
      </c>
      <c r="C87" s="11"/>
      <c r="D87" s="8"/>
      <c r="E87" s="3"/>
      <c r="F87" s="7">
        <f t="shared" si="60"/>
        <v>0</v>
      </c>
      <c r="G87" s="3"/>
      <c r="H87" s="8">
        <v>135</v>
      </c>
      <c r="I87" s="3"/>
      <c r="J87" s="7">
        <f t="shared" si="61"/>
        <v>1.5854374633000587E-2</v>
      </c>
      <c r="K87" s="3"/>
      <c r="L87" s="8">
        <f t="shared" si="62"/>
        <v>-135</v>
      </c>
      <c r="M87" s="3"/>
      <c r="N87" s="7">
        <f t="shared" si="63"/>
        <v>-1</v>
      </c>
      <c r="O87" s="11"/>
      <c r="P87" s="8"/>
      <c r="Q87" s="3"/>
      <c r="R87" s="7">
        <f t="shared" si="64"/>
        <v>0</v>
      </c>
      <c r="S87" s="3"/>
      <c r="T87" s="8">
        <v>135</v>
      </c>
      <c r="U87" s="3"/>
      <c r="V87" s="7">
        <f t="shared" si="65"/>
        <v>1.5854374633000587E-2</v>
      </c>
      <c r="W87" s="3"/>
      <c r="X87" s="8">
        <f t="shared" si="66"/>
        <v>-135</v>
      </c>
      <c r="Y87" s="3"/>
      <c r="Z87" s="7">
        <f t="shared" si="67"/>
        <v>-1</v>
      </c>
    </row>
    <row r="88" spans="1:26" s="24" customFormat="1" hidden="1" outlineLevel="2" x14ac:dyDescent="0.3">
      <c r="A88" s="29"/>
      <c r="B88" s="11" t="str">
        <f>CONCATENATE("          ", "6309", " - ", "TELEPHONE")</f>
        <v xml:space="preserve">          6309 - TELEPHONE</v>
      </c>
      <c r="C88" s="11"/>
      <c r="D88" s="8">
        <v>523.54999999999995</v>
      </c>
      <c r="E88" s="3"/>
      <c r="F88" s="7">
        <f t="shared" si="60"/>
        <v>2.6573026208601937E-2</v>
      </c>
      <c r="G88" s="3"/>
      <c r="H88" s="8">
        <v>375</v>
      </c>
      <c r="I88" s="3"/>
      <c r="J88" s="7">
        <f t="shared" si="61"/>
        <v>4.4039929536112743E-2</v>
      </c>
      <c r="K88" s="3"/>
      <c r="L88" s="8">
        <f t="shared" si="62"/>
        <v>148.54999999999995</v>
      </c>
      <c r="M88" s="3"/>
      <c r="N88" s="7">
        <f t="shared" si="63"/>
        <v>0.39613333333333323</v>
      </c>
      <c r="O88" s="11"/>
      <c r="P88" s="8">
        <v>523.54999999999995</v>
      </c>
      <c r="Q88" s="3"/>
      <c r="R88" s="7">
        <f t="shared" si="64"/>
        <v>2.6573026208601937E-2</v>
      </c>
      <c r="S88" s="3"/>
      <c r="T88" s="8">
        <v>375</v>
      </c>
      <c r="U88" s="3"/>
      <c r="V88" s="7">
        <f t="shared" si="65"/>
        <v>4.4039929536112743E-2</v>
      </c>
      <c r="W88" s="3"/>
      <c r="X88" s="8">
        <f t="shared" si="66"/>
        <v>148.54999999999995</v>
      </c>
      <c r="Y88" s="3"/>
      <c r="Z88" s="7">
        <f t="shared" si="67"/>
        <v>0.39613333333333323</v>
      </c>
    </row>
    <row r="89" spans="1:26" s="27" customFormat="1" outlineLevel="1" collapsed="1" x14ac:dyDescent="0.3">
      <c r="A89" s="28"/>
      <c r="B89" s="14" t="str">
        <f>CONCATENATE("     ","Training                                          ")</f>
        <v xml:space="preserve">     Training                                          </v>
      </c>
      <c r="C89" s="14"/>
      <c r="D89" s="1">
        <f>SUM(OSRRefD22_16x_0)</f>
        <v>0</v>
      </c>
      <c r="E89" s="1"/>
      <c r="F89" s="5">
        <f t="shared" ref="F89:F92" si="68">IF(D$12=0,0,D89/D$12)</f>
        <v>0</v>
      </c>
      <c r="G89" s="1"/>
      <c r="H89" s="1">
        <f>SUM(OSRRefH22_16x_0)</f>
        <v>320</v>
      </c>
      <c r="I89" s="1"/>
      <c r="J89" s="5">
        <f t="shared" ref="J89:J92" si="69">IF(H$12=0,0,H89/H$12)</f>
        <v>3.7580739870816206E-2</v>
      </c>
      <c r="K89" s="1"/>
      <c r="L89" s="1">
        <f t="shared" ref="L89:L92" si="70">+D89-H89</f>
        <v>-320</v>
      </c>
      <c r="M89" s="1"/>
      <c r="N89" s="5">
        <f t="shared" ref="N89:N92" si="71">IF(H89=0,0,L89/H89)</f>
        <v>-1</v>
      </c>
      <c r="O89" s="14"/>
      <c r="P89" s="1">
        <f>SUM(OSRRefP22_16x_0)</f>
        <v>0</v>
      </c>
      <c r="Q89" s="1"/>
      <c r="R89" s="5">
        <f t="shared" ref="R89:R92" si="72">IF(P$12=0,0,P89/P$12)</f>
        <v>0</v>
      </c>
      <c r="S89" s="1"/>
      <c r="T89" s="1">
        <f>SUM(OSRRefT22_16x_0)</f>
        <v>320</v>
      </c>
      <c r="U89" s="1"/>
      <c r="V89" s="5">
        <f t="shared" ref="V89:V92" si="73">IF(T$12=0,0,T89/T$12)</f>
        <v>3.7580739870816206E-2</v>
      </c>
      <c r="W89" s="1"/>
      <c r="X89" s="1">
        <f t="shared" ref="X89:X92" si="74">+P89-T89</f>
        <v>-320</v>
      </c>
      <c r="Y89" s="1"/>
      <c r="Z89" s="5">
        <f t="shared" ref="Z89:Z92" si="75">IF(T89=0,0,X89/T89)</f>
        <v>-1</v>
      </c>
    </row>
    <row r="90" spans="1:26" s="24" customFormat="1" hidden="1" outlineLevel="2" x14ac:dyDescent="0.3">
      <c r="A90" s="29"/>
      <c r="B90" s="11" t="str">
        <f>CONCATENATE("          ", "6376", " - ", "TRAINING")</f>
        <v xml:space="preserve">          6376 - TRAINING</v>
      </c>
      <c r="C90" s="11"/>
      <c r="D90" s="8"/>
      <c r="E90" s="3"/>
      <c r="F90" s="7">
        <f t="shared" si="68"/>
        <v>0</v>
      </c>
      <c r="G90" s="3"/>
      <c r="H90" s="8">
        <v>320</v>
      </c>
      <c r="I90" s="3"/>
      <c r="J90" s="7">
        <f t="shared" si="69"/>
        <v>3.7580739870816206E-2</v>
      </c>
      <c r="K90" s="3"/>
      <c r="L90" s="8">
        <f t="shared" si="70"/>
        <v>-320</v>
      </c>
      <c r="M90" s="3"/>
      <c r="N90" s="7">
        <f t="shared" si="71"/>
        <v>-1</v>
      </c>
      <c r="O90" s="11"/>
      <c r="P90" s="8"/>
      <c r="Q90" s="3"/>
      <c r="R90" s="7">
        <f t="shared" si="72"/>
        <v>0</v>
      </c>
      <c r="S90" s="3"/>
      <c r="T90" s="8">
        <v>320</v>
      </c>
      <c r="U90" s="3"/>
      <c r="V90" s="7">
        <f t="shared" si="73"/>
        <v>3.7580739870816206E-2</v>
      </c>
      <c r="W90" s="3"/>
      <c r="X90" s="8">
        <f t="shared" si="74"/>
        <v>-320</v>
      </c>
      <c r="Y90" s="3"/>
      <c r="Z90" s="7">
        <f t="shared" si="75"/>
        <v>-1</v>
      </c>
    </row>
    <row r="91" spans="1:26" s="27" customFormat="1" outlineLevel="1" collapsed="1" x14ac:dyDescent="0.3">
      <c r="A91" s="28"/>
      <c r="B91" s="14" t="str">
        <f>CONCATENATE("     ","Utilities                                         ")</f>
        <v xml:space="preserve">     Utilities                                         </v>
      </c>
      <c r="C91" s="14"/>
      <c r="D91" s="1">
        <f>SUM(OSRRefD22_17x_0)</f>
        <v>8150</v>
      </c>
      <c r="E91" s="1"/>
      <c r="F91" s="5">
        <f t="shared" si="68"/>
        <v>0.41365707878923846</v>
      </c>
      <c r="G91" s="1"/>
      <c r="H91" s="1">
        <f>SUM(OSRRefH22_17x_0)</f>
        <v>8667</v>
      </c>
      <c r="I91" s="1"/>
      <c r="J91" s="5">
        <f t="shared" si="69"/>
        <v>1.0178508514386377</v>
      </c>
      <c r="K91" s="1"/>
      <c r="L91" s="1">
        <f t="shared" si="70"/>
        <v>-517</v>
      </c>
      <c r="M91" s="1"/>
      <c r="N91" s="5">
        <f t="shared" si="71"/>
        <v>-5.9651551863389871E-2</v>
      </c>
      <c r="O91" s="14"/>
      <c r="P91" s="1">
        <f>SUM(OSRRefP22_17x_0)</f>
        <v>8150</v>
      </c>
      <c r="Q91" s="1"/>
      <c r="R91" s="5">
        <f t="shared" si="72"/>
        <v>0.41365707878923846</v>
      </c>
      <c r="S91" s="1"/>
      <c r="T91" s="1">
        <f>SUM(OSRRefT22_17x_0)</f>
        <v>8667</v>
      </c>
      <c r="U91" s="1"/>
      <c r="V91" s="5">
        <f t="shared" si="73"/>
        <v>1.0178508514386377</v>
      </c>
      <c r="W91" s="1"/>
      <c r="X91" s="1">
        <f t="shared" si="74"/>
        <v>-517</v>
      </c>
      <c r="Y91" s="1"/>
      <c r="Z91" s="5">
        <f t="shared" si="75"/>
        <v>-5.9651551863389871E-2</v>
      </c>
    </row>
    <row r="92" spans="1:26" s="24" customFormat="1" hidden="1" outlineLevel="2" x14ac:dyDescent="0.3">
      <c r="A92" s="29"/>
      <c r="B92" s="11" t="str">
        <f>CONCATENATE("          ", "6274", " - ", "UTILITIES")</f>
        <v xml:space="preserve">          6274 - UTILITIES</v>
      </c>
      <c r="C92" s="11"/>
      <c r="D92" s="8">
        <v>8150</v>
      </c>
      <c r="E92" s="3"/>
      <c r="F92" s="7">
        <f t="shared" si="68"/>
        <v>0.41365707878923846</v>
      </c>
      <c r="G92" s="3"/>
      <c r="H92" s="8">
        <v>8667</v>
      </c>
      <c r="I92" s="3"/>
      <c r="J92" s="7">
        <f t="shared" si="69"/>
        <v>1.0178508514386377</v>
      </c>
      <c r="K92" s="3"/>
      <c r="L92" s="8">
        <f t="shared" si="70"/>
        <v>-517</v>
      </c>
      <c r="M92" s="3"/>
      <c r="N92" s="7">
        <f t="shared" si="71"/>
        <v>-5.9651551863389871E-2</v>
      </c>
      <c r="O92" s="11"/>
      <c r="P92" s="8">
        <v>8150</v>
      </c>
      <c r="Q92" s="3"/>
      <c r="R92" s="7">
        <f t="shared" si="72"/>
        <v>0.41365707878923846</v>
      </c>
      <c r="S92" s="3"/>
      <c r="T92" s="8">
        <v>8667</v>
      </c>
      <c r="U92" s="3"/>
      <c r="V92" s="7">
        <f t="shared" si="73"/>
        <v>1.0178508514386377</v>
      </c>
      <c r="W92" s="3"/>
      <c r="X92" s="8">
        <f t="shared" si="74"/>
        <v>-517</v>
      </c>
      <c r="Y92" s="3"/>
      <c r="Z92" s="7">
        <f t="shared" si="75"/>
        <v>-5.9651551863389871E-2</v>
      </c>
    </row>
    <row r="93" spans="1:26" s="62" customFormat="1" x14ac:dyDescent="0.3">
      <c r="A93" s="36"/>
      <c r="B93" s="36"/>
      <c r="C93" s="36"/>
      <c r="D93" s="1"/>
      <c r="E93" s="1"/>
      <c r="F93" s="5"/>
      <c r="G93" s="1"/>
      <c r="H93" s="1"/>
      <c r="I93" s="1"/>
      <c r="J93" s="5"/>
      <c r="K93" s="1"/>
      <c r="L93" s="1"/>
      <c r="M93" s="1"/>
      <c r="N93" s="5"/>
      <c r="O93" s="36"/>
      <c r="P93" s="1"/>
      <c r="Q93" s="1"/>
      <c r="R93" s="5"/>
      <c r="S93" s="1"/>
      <c r="T93" s="1"/>
      <c r="U93" s="1"/>
      <c r="V93" s="5"/>
      <c r="W93" s="1"/>
      <c r="X93" s="1"/>
      <c r="Y93" s="1"/>
      <c r="Z93" s="5"/>
    </row>
    <row r="94" spans="1:26" s="23" customFormat="1" collapsed="1" x14ac:dyDescent="0.3">
      <c r="A94" s="10"/>
      <c r="B94" s="25" t="s">
        <v>293</v>
      </c>
      <c r="C94" s="10"/>
      <c r="D94" s="4">
        <f>SUM(OSRRefD25x_0)</f>
        <v>2655.42</v>
      </c>
      <c r="E94" s="4"/>
      <c r="F94" s="12">
        <f t="shared" ref="F94:F96" si="76">IF(D$12=0,0,D94/D$12)</f>
        <v>0.1347770895900024</v>
      </c>
      <c r="G94" s="4"/>
      <c r="H94" s="4">
        <f>SUM(OSRRefH25x_0)</f>
        <v>0</v>
      </c>
      <c r="I94" s="4"/>
      <c r="J94" s="12">
        <f t="shared" ref="J94:J96" si="77">IF(H$12=0,0,H94/H$12)</f>
        <v>0</v>
      </c>
      <c r="K94" s="4"/>
      <c r="L94" s="4">
        <f t="shared" ref="L94:L96" si="78">+D94-H94</f>
        <v>2655.42</v>
      </c>
      <c r="M94" s="4"/>
      <c r="N94" s="12">
        <f t="shared" ref="N94:N96" si="79">IF(H94=0,0,L94/H94)</f>
        <v>0</v>
      </c>
      <c r="O94" s="10"/>
      <c r="P94" s="4">
        <f>SUM(OSRRefP25x_0)</f>
        <v>2655.42</v>
      </c>
      <c r="Q94" s="4"/>
      <c r="R94" s="12">
        <f t="shared" ref="R94:R96" si="80">IF(P$12=0,0,P94/P$12)</f>
        <v>0.1347770895900024</v>
      </c>
      <c r="S94" s="4"/>
      <c r="T94" s="4">
        <f>SUM(OSRRefT25x_0)</f>
        <v>0</v>
      </c>
      <c r="U94" s="4"/>
      <c r="V94" s="12">
        <f t="shared" ref="V94:V96" si="81">IF(T$12=0,0,T94/T$12)</f>
        <v>0</v>
      </c>
      <c r="W94" s="4"/>
      <c r="X94" s="4">
        <f t="shared" ref="X94:X96" si="82">+P94-T94</f>
        <v>2655.42</v>
      </c>
      <c r="Y94" s="4"/>
      <c r="Z94" s="12">
        <f t="shared" ref="Z94:Z96" si="83">IF(T94=0,0,X94/T94)</f>
        <v>0</v>
      </c>
    </row>
    <row r="95" spans="1:26" s="24" customFormat="1" hidden="1" outlineLevel="1" x14ac:dyDescent="0.3">
      <c r="A95" s="44"/>
      <c r="B95" s="11" t="str">
        <f>CONCATENATE("          ", "9150", " - ", "MISC. INCOME")</f>
        <v xml:space="preserve">          9150 - MISC. INCOME</v>
      </c>
      <c r="C95" s="11"/>
      <c r="D95" s="3">
        <f>--1417.3</f>
        <v>1417.3</v>
      </c>
      <c r="E95" s="3"/>
      <c r="F95" s="19">
        <f t="shared" si="76"/>
        <v>7.1935727333495417E-2</v>
      </c>
      <c r="G95" s="3"/>
      <c r="H95" s="3"/>
      <c r="I95" s="3"/>
      <c r="J95" s="19">
        <f t="shared" si="77"/>
        <v>0</v>
      </c>
      <c r="K95" s="3"/>
      <c r="L95" s="3">
        <f t="shared" si="78"/>
        <v>1417.3</v>
      </c>
      <c r="M95" s="3"/>
      <c r="N95" s="19">
        <f t="shared" si="79"/>
        <v>0</v>
      </c>
      <c r="O95" s="11"/>
      <c r="P95" s="3">
        <f>--1417.3</f>
        <v>1417.3</v>
      </c>
      <c r="Q95" s="3"/>
      <c r="R95" s="19">
        <f t="shared" si="80"/>
        <v>7.1935727333495417E-2</v>
      </c>
      <c r="S95" s="3"/>
      <c r="T95" s="3"/>
      <c r="U95" s="3"/>
      <c r="V95" s="19">
        <f t="shared" si="81"/>
        <v>0</v>
      </c>
      <c r="W95" s="3"/>
      <c r="X95" s="3">
        <f t="shared" si="82"/>
        <v>1417.3</v>
      </c>
      <c r="Y95" s="3"/>
      <c r="Z95" s="19">
        <f t="shared" si="83"/>
        <v>0</v>
      </c>
    </row>
    <row r="96" spans="1:26" s="24" customFormat="1" hidden="1" outlineLevel="1" x14ac:dyDescent="0.3">
      <c r="A96" s="44"/>
      <c r="B96" s="11" t="str">
        <f>CONCATENATE("          ", "9160", " - ", "MISC. INCOME")</f>
        <v xml:space="preserve">          9160 - MISC. INCOME</v>
      </c>
      <c r="C96" s="11"/>
      <c r="D96" s="3">
        <f>--1238.12</f>
        <v>1238.1199999999999</v>
      </c>
      <c r="E96" s="3"/>
      <c r="F96" s="19">
        <f t="shared" si="76"/>
        <v>6.284136225650698E-2</v>
      </c>
      <c r="G96" s="3"/>
      <c r="H96" s="3"/>
      <c r="I96" s="3"/>
      <c r="J96" s="19">
        <f t="shared" si="77"/>
        <v>0</v>
      </c>
      <c r="K96" s="3"/>
      <c r="L96" s="3">
        <f t="shared" si="78"/>
        <v>1238.1199999999999</v>
      </c>
      <c r="M96" s="3"/>
      <c r="N96" s="19">
        <f t="shared" si="79"/>
        <v>0</v>
      </c>
      <c r="O96" s="11"/>
      <c r="P96" s="3">
        <f>--1238.12</f>
        <v>1238.1199999999999</v>
      </c>
      <c r="Q96" s="3"/>
      <c r="R96" s="19">
        <f t="shared" si="80"/>
        <v>6.284136225650698E-2</v>
      </c>
      <c r="S96" s="3"/>
      <c r="T96" s="3"/>
      <c r="U96" s="3"/>
      <c r="V96" s="19">
        <f t="shared" si="81"/>
        <v>0</v>
      </c>
      <c r="W96" s="3"/>
      <c r="X96" s="3">
        <f t="shared" si="82"/>
        <v>1238.1199999999999</v>
      </c>
      <c r="Y96" s="3"/>
      <c r="Z96" s="19">
        <f t="shared" si="83"/>
        <v>0</v>
      </c>
    </row>
    <row r="97" spans="1:26" x14ac:dyDescent="0.3">
      <c r="A97" s="9"/>
      <c r="B97" s="10"/>
      <c r="C97" s="10"/>
      <c r="D97" s="2"/>
      <c r="E97" s="2"/>
      <c r="F97" s="6"/>
      <c r="G97" s="2"/>
      <c r="H97" s="2"/>
      <c r="I97" s="2"/>
      <c r="J97" s="6"/>
      <c r="K97" s="2"/>
      <c r="L97" s="2"/>
      <c r="M97" s="2"/>
      <c r="N97" s="6"/>
      <c r="O97" s="10"/>
      <c r="P97" s="2"/>
      <c r="Q97" s="2"/>
      <c r="R97" s="6"/>
      <c r="S97" s="2"/>
      <c r="T97" s="2"/>
      <c r="U97" s="2"/>
      <c r="V97" s="6"/>
      <c r="W97" s="2"/>
      <c r="X97" s="2"/>
      <c r="Y97" s="2"/>
      <c r="Z97" s="6"/>
    </row>
    <row r="98" spans="1:26" s="23" customFormat="1" x14ac:dyDescent="0.3">
      <c r="A98" s="10"/>
      <c r="B98" s="26" t="s">
        <v>277</v>
      </c>
      <c r="C98" s="26"/>
      <c r="D98" s="21">
        <f>+D23-D25+D94</f>
        <v>-128552.77999999998</v>
      </c>
      <c r="E98" s="13"/>
      <c r="F98" s="22">
        <f>IF(D$12=0,0,D98/D$12)</f>
        <v>-6.5247567417221637</v>
      </c>
      <c r="G98" s="13"/>
      <c r="H98" s="21">
        <f>+H23-H25+H94</f>
        <v>-159134.22166607116</v>
      </c>
      <c r="I98" s="13"/>
      <c r="J98" s="22">
        <f>IF(H$12=0,0,H98/H$12)</f>
        <v>-18.688693090554452</v>
      </c>
      <c r="K98" s="16"/>
      <c r="L98" s="21">
        <f>+D98-H98</f>
        <v>30581.441666071172</v>
      </c>
      <c r="M98" s="16"/>
      <c r="N98" s="22">
        <f>IF(H98=0,0,L98/H98)</f>
        <v>-0.19217388532708932</v>
      </c>
      <c r="O98" s="25"/>
      <c r="P98" s="21">
        <f>+P23-P25+P94</f>
        <v>-128552.77999999998</v>
      </c>
      <c r="Q98" s="13"/>
      <c r="R98" s="22">
        <f>IF(P$12=0,0,P98/P$12)</f>
        <v>-6.5247567417221637</v>
      </c>
      <c r="S98" s="13"/>
      <c r="T98" s="21">
        <f>+T23-T25+T94</f>
        <v>-159134.22166607116</v>
      </c>
      <c r="U98" s="13"/>
      <c r="V98" s="22">
        <f>IF(T$12=0,0,T98/T$12)</f>
        <v>-18.688693090554452</v>
      </c>
      <c r="W98" s="16"/>
      <c r="X98" s="21">
        <f>+P98-T98</f>
        <v>30581.441666071172</v>
      </c>
      <c r="Y98" s="16"/>
      <c r="Z98" s="22">
        <f>IF(T98=0,0,X98/T98)</f>
        <v>-0.19217388532708932</v>
      </c>
    </row>
    <row r="99" spans="1:26" x14ac:dyDescent="0.3">
      <c r="A99" s="9"/>
      <c r="B99" s="10"/>
      <c r="C99" s="9"/>
      <c r="D99" s="2"/>
      <c r="E99" s="2"/>
      <c r="F99" s="6"/>
      <c r="G99" s="2"/>
      <c r="H99" s="2"/>
      <c r="I99" s="2"/>
      <c r="J99" s="6"/>
      <c r="K99" s="2"/>
      <c r="L99" s="2"/>
      <c r="M99" s="2"/>
      <c r="N99" s="6"/>
      <c r="P99" s="2"/>
      <c r="Q99" s="2"/>
      <c r="R99" s="6"/>
      <c r="S99" s="2"/>
      <c r="T99" s="2"/>
      <c r="U99" s="2"/>
      <c r="V99" s="6"/>
      <c r="W99" s="2"/>
      <c r="X99" s="2"/>
      <c r="Y99" s="2"/>
      <c r="Z99" s="6"/>
    </row>
    <row r="100" spans="1:26" s="23" customFormat="1" x14ac:dyDescent="0.3">
      <c r="A100" s="52"/>
      <c r="B100" s="10" t="s">
        <v>128</v>
      </c>
      <c r="C100" s="10"/>
      <c r="D100" s="4">
        <v>9102.39</v>
      </c>
      <c r="E100" s="4"/>
      <c r="F100" s="12">
        <f>IF(D$12=0,0,D100/D$12)</f>
        <v>0.46199608066262282</v>
      </c>
      <c r="G100" s="4"/>
      <c r="H100" s="4">
        <v>3083</v>
      </c>
      <c r="I100" s="4"/>
      <c r="J100" s="12">
        <f>IF(H$12=0,0,H100/H$12)</f>
        <v>0.36206694069289491</v>
      </c>
      <c r="K100" s="4"/>
      <c r="L100" s="4">
        <f>+D100-H100</f>
        <v>6019.3899999999994</v>
      </c>
      <c r="M100" s="4"/>
      <c r="N100" s="12">
        <f>IF(H100=0,0,L100/H100)</f>
        <v>1.9524456698021406</v>
      </c>
      <c r="O100" s="10"/>
      <c r="P100" s="4">
        <v>9102.39</v>
      </c>
      <c r="Q100" s="4"/>
      <c r="R100" s="12">
        <f>IF(P$12=0,0,P100/P$12)</f>
        <v>0.46199608066262282</v>
      </c>
      <c r="S100" s="4"/>
      <c r="T100" s="4">
        <v>3083</v>
      </c>
      <c r="U100" s="4"/>
      <c r="V100" s="12">
        <f>IF(T$12=0,0,T100/T$12)</f>
        <v>0.36206694069289491</v>
      </c>
      <c r="W100" s="4"/>
      <c r="X100" s="4">
        <f>+P100-T100</f>
        <v>6019.3899999999994</v>
      </c>
      <c r="Y100" s="4"/>
      <c r="Z100" s="12">
        <f>IF(T100=0,0,X100/T100)</f>
        <v>1.9524456698021406</v>
      </c>
    </row>
    <row r="101" spans="1:26" x14ac:dyDescent="0.3">
      <c r="A101" s="9"/>
      <c r="B101" s="10"/>
      <c r="C101" s="10"/>
      <c r="D101" s="2"/>
      <c r="E101" s="2"/>
      <c r="F101" s="6"/>
      <c r="G101" s="2"/>
      <c r="H101" s="2"/>
      <c r="I101" s="2"/>
      <c r="J101" s="6"/>
      <c r="K101" s="2"/>
      <c r="L101" s="2"/>
      <c r="M101" s="2"/>
      <c r="N101" s="6"/>
      <c r="O101" s="10"/>
      <c r="P101" s="2"/>
      <c r="Q101" s="2"/>
      <c r="R101" s="6"/>
      <c r="S101" s="2"/>
      <c r="T101" s="2"/>
      <c r="U101" s="2"/>
      <c r="V101" s="6"/>
      <c r="W101" s="2"/>
      <c r="X101" s="2"/>
      <c r="Y101" s="2"/>
      <c r="Z101" s="6"/>
    </row>
    <row r="102" spans="1:26" s="23" customFormat="1" ht="15" thickBot="1" x14ac:dyDescent="0.35">
      <c r="A102" s="10"/>
      <c r="B102" s="26" t="s">
        <v>126</v>
      </c>
      <c r="C102" s="26"/>
      <c r="D102" s="35">
        <f>+D98-D100</f>
        <v>-137655.16999999998</v>
      </c>
      <c r="E102" s="13"/>
      <c r="F102" s="30">
        <f>IF(D$12=0,0,D102/D$12)</f>
        <v>-6.9867528223847861</v>
      </c>
      <c r="G102" s="13"/>
      <c r="H102" s="35">
        <f>+H98-H100</f>
        <v>-162217.22166607116</v>
      </c>
      <c r="I102" s="13"/>
      <c r="J102" s="30">
        <f>IF(H$12=0,0,H102/H$12)</f>
        <v>-19.050760031247346</v>
      </c>
      <c r="K102" s="16"/>
      <c r="L102" s="35">
        <f>D102-H102</f>
        <v>24562.051666071173</v>
      </c>
      <c r="M102" s="16"/>
      <c r="N102" s="30">
        <f>IF(H102=0,0,L102/H102)</f>
        <v>-0.15141457493725829</v>
      </c>
      <c r="O102" s="25"/>
      <c r="P102" s="35">
        <f>+P98-P100</f>
        <v>-137655.16999999998</v>
      </c>
      <c r="Q102" s="13"/>
      <c r="R102" s="30">
        <f>IF(P$12=0,0,P102/P$12)</f>
        <v>-6.9867528223847861</v>
      </c>
      <c r="S102" s="13"/>
      <c r="T102" s="35">
        <f>+T98-T100</f>
        <v>-162217.22166607116</v>
      </c>
      <c r="U102" s="13"/>
      <c r="V102" s="30">
        <f>IF(T$12=0,0,T102/T$12)</f>
        <v>-19.050760031247346</v>
      </c>
      <c r="W102" s="16"/>
      <c r="X102" s="35">
        <f>P102-T102</f>
        <v>24562.051666071173</v>
      </c>
      <c r="Y102" s="16"/>
      <c r="Z102" s="30">
        <f>IF(T102=0,0,X102/T102)</f>
        <v>-0.15141457493725829</v>
      </c>
    </row>
    <row r="103" spans="1:26" ht="15" thickTop="1" x14ac:dyDescent="0.3">
      <c r="A103" s="9"/>
      <c r="B103" s="9"/>
      <c r="C103" s="9"/>
      <c r="D103" s="2"/>
      <c r="E103" s="2"/>
      <c r="F103" s="6"/>
      <c r="G103" s="2"/>
      <c r="H103" s="2"/>
      <c r="I103" s="2"/>
      <c r="J103" s="6"/>
      <c r="K103" s="2"/>
      <c r="L103" s="2"/>
      <c r="M103" s="2"/>
      <c r="N103" s="6"/>
      <c r="P103" s="2"/>
      <c r="Q103" s="2"/>
      <c r="R103" s="6"/>
      <c r="S103" s="2"/>
      <c r="T103" s="2"/>
      <c r="U103" s="2"/>
      <c r="V103" s="6"/>
      <c r="W103" s="2"/>
      <c r="X103" s="2"/>
      <c r="Y103" s="2"/>
      <c r="Z103" s="6"/>
    </row>
    <row r="104" spans="1:26" x14ac:dyDescent="0.3">
      <c r="A104" s="9"/>
      <c r="B104" s="9"/>
      <c r="C104" s="9"/>
      <c r="D104" s="2"/>
      <c r="E104" s="2"/>
      <c r="F104" s="6"/>
      <c r="G104" s="2"/>
      <c r="H104" s="2"/>
      <c r="I104" s="2"/>
      <c r="J104" s="6"/>
      <c r="K104" s="2"/>
      <c r="L104" s="2"/>
      <c r="M104" s="2"/>
      <c r="N104" s="6"/>
      <c r="P104" s="2"/>
      <c r="Q104" s="2"/>
      <c r="R104" s="6"/>
      <c r="S104" s="2"/>
      <c r="T104" s="2"/>
      <c r="U104" s="2"/>
      <c r="V104" s="6"/>
      <c r="W104" s="2"/>
      <c r="X104" s="2"/>
      <c r="Y104" s="2"/>
      <c r="Z104" s="6"/>
    </row>
    <row r="105" spans="1:26" s="23" customFormat="1" ht="15" thickBot="1" x14ac:dyDescent="0.35">
      <c r="A105" s="10"/>
      <c r="B105" s="26" t="s">
        <v>294</v>
      </c>
      <c r="C105" s="26"/>
      <c r="D105" s="33">
        <f>SUM(D102:D104)</f>
        <v>-137655.16999999998</v>
      </c>
      <c r="E105" s="13"/>
      <c r="F105" s="31">
        <f>IF(D$12=0,0,D105/D$12)</f>
        <v>-6.9867528223847861</v>
      </c>
      <c r="G105" s="13"/>
      <c r="H105" s="33">
        <f>SUM(H102:H104)</f>
        <v>-162217.22166607116</v>
      </c>
      <c r="I105" s="13"/>
      <c r="J105" s="31">
        <f>IF(H$12=0,0,H105/H$12)</f>
        <v>-19.050760031247346</v>
      </c>
      <c r="K105" s="16"/>
      <c r="L105" s="33">
        <f>+D105-H105</f>
        <v>24562.051666071173</v>
      </c>
      <c r="M105" s="16"/>
      <c r="N105" s="31">
        <f>IF(H105=0,0,L105/H105)</f>
        <v>-0.15141457493725829</v>
      </c>
      <c r="O105" s="25"/>
      <c r="P105" s="33">
        <f>SUM(P102:P104)</f>
        <v>-137655.16999999998</v>
      </c>
      <c r="Q105" s="13"/>
      <c r="R105" s="31">
        <f>IF(P$12=0,0,P105/P$12)</f>
        <v>-6.9867528223847861</v>
      </c>
      <c r="S105" s="13"/>
      <c r="T105" s="33">
        <f>SUM(T102:T104)</f>
        <v>-162217.22166607116</v>
      </c>
      <c r="U105" s="13"/>
      <c r="V105" s="31">
        <f>IF(T$12=0,0,T105/T$12)</f>
        <v>-19.050760031247346</v>
      </c>
      <c r="W105" s="16"/>
      <c r="X105" s="33">
        <f>+P105-T105</f>
        <v>24562.051666071173</v>
      </c>
      <c r="Y105" s="16"/>
      <c r="Z105" s="31">
        <f>IF(T105=0,0,X105/T105)</f>
        <v>-0.15141457493725829</v>
      </c>
    </row>
    <row r="106" spans="1:26" ht="15" thickTop="1" x14ac:dyDescent="0.3">
      <c r="A106" s="9"/>
      <c r="C106" s="9"/>
      <c r="D106" s="18"/>
      <c r="E106" s="18"/>
      <c r="G106" s="18"/>
      <c r="H106" s="18"/>
      <c r="I106" s="18"/>
      <c r="J106" s="43"/>
      <c r="K106" s="18"/>
      <c r="L106" s="18"/>
      <c r="M106" s="18"/>
      <c r="P106" s="18"/>
      <c r="Q106" s="18"/>
      <c r="R106" s="43"/>
      <c r="S106" s="18"/>
      <c r="T106" s="18"/>
      <c r="U106" s="18"/>
      <c r="V106" s="43"/>
      <c r="W106" s="18"/>
      <c r="X106" s="18"/>
    </row>
    <row r="107" spans="1:26" x14ac:dyDescent="0.3">
      <c r="A107" s="9"/>
      <c r="B107" s="54">
        <v>44462.645476273145</v>
      </c>
      <c r="D107" s="18"/>
      <c r="E107" s="18"/>
      <c r="G107" s="18"/>
      <c r="H107" s="18"/>
      <c r="I107" s="18"/>
      <c r="J107" s="43"/>
      <c r="K107" s="18"/>
      <c r="L107" s="18"/>
      <c r="M107" s="18"/>
      <c r="P107" s="18"/>
      <c r="Q107" s="18"/>
      <c r="R107" s="43"/>
      <c r="S107" s="18"/>
      <c r="T107" s="18"/>
      <c r="U107" s="18"/>
      <c r="V107" s="43"/>
      <c r="W107" s="18"/>
      <c r="X107" s="18"/>
    </row>
    <row r="108" spans="1:26" x14ac:dyDescent="0.3">
      <c r="A108" s="9"/>
      <c r="B108" s="59" t="s">
        <v>56</v>
      </c>
      <c r="D108" s="18"/>
      <c r="E108" s="18"/>
      <c r="G108" s="18"/>
      <c r="H108" s="18"/>
      <c r="I108" s="18"/>
      <c r="J108" s="43"/>
      <c r="K108" s="18"/>
      <c r="L108" s="18"/>
      <c r="M108" s="18"/>
      <c r="P108" s="18"/>
      <c r="Q108" s="18"/>
      <c r="R108" s="43"/>
      <c r="S108" s="18"/>
      <c r="T108" s="18"/>
      <c r="U108" s="18"/>
      <c r="V108" s="43"/>
      <c r="W108" s="18"/>
      <c r="X108" s="18"/>
    </row>
    <row r="109" spans="1:26" x14ac:dyDescent="0.3">
      <c r="A109" s="9"/>
      <c r="B109" s="55"/>
      <c r="D109" s="18"/>
      <c r="E109" s="18"/>
      <c r="G109" s="18"/>
      <c r="H109" s="18"/>
      <c r="I109" s="18"/>
      <c r="J109" s="43"/>
      <c r="K109" s="18"/>
      <c r="L109" s="18"/>
      <c r="M109" s="18"/>
      <c r="P109" s="18"/>
      <c r="Q109" s="18"/>
      <c r="R109" s="43"/>
      <c r="S109" s="18"/>
      <c r="T109" s="18"/>
      <c r="U109" s="18"/>
      <c r="V109" s="43"/>
      <c r="W109" s="18"/>
      <c r="X109" s="18"/>
    </row>
    <row r="110" spans="1:26" x14ac:dyDescent="0.3">
      <c r="D110" s="18"/>
      <c r="E110" s="18"/>
      <c r="G110" s="18"/>
      <c r="H110" s="18"/>
      <c r="I110" s="18"/>
      <c r="J110" s="43"/>
      <c r="K110" s="18"/>
      <c r="L110" s="18"/>
      <c r="M110" s="18"/>
      <c r="P110" s="18"/>
      <c r="Q110" s="18"/>
      <c r="R110" s="43"/>
      <c r="S110" s="18"/>
      <c r="T110" s="18"/>
      <c r="U110" s="18"/>
      <c r="V110" s="43"/>
      <c r="W110" s="18"/>
      <c r="X110" s="18"/>
    </row>
  </sheetData>
  <pageMargins left="0.25" right="0.25" top="0.75" bottom="0.75" header="0.3" footer="0.3"/>
  <pageSetup scale="55" fitToWidth="2" orientation="landscape"/>
  <drawing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>
    <tabColor rgb="FF92D050"/>
    <outlinePr summaryBelow="0" summaryRight="0"/>
  </sheetPr>
  <dimension ref="A2:Z80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50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7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50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7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7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7" customWidth="1" outlineLevel="1"/>
  </cols>
  <sheetData>
    <row r="2" spans="1:26" x14ac:dyDescent="0.3">
      <c r="D2" s="57" t="s">
        <v>23</v>
      </c>
    </row>
    <row r="3" spans="1:26" x14ac:dyDescent="0.3">
      <c r="D3" s="57" t="s">
        <v>237</v>
      </c>
      <c r="E3" s="17"/>
      <c r="F3" s="51"/>
      <c r="G3" s="17"/>
      <c r="H3" s="17"/>
      <c r="I3" s="17"/>
      <c r="J3" s="39"/>
      <c r="K3" s="17"/>
      <c r="L3" s="17"/>
      <c r="M3" s="17"/>
      <c r="N3" s="51"/>
      <c r="O3" s="61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3">
      <c r="D4" s="57" t="str">
        <f>CONCATENATE("Period ",RIGHT(202201,2),", ",2022)</f>
        <v>Period 01, 2022</v>
      </c>
      <c r="E4" s="17"/>
      <c r="F4" s="51"/>
      <c r="G4" s="17"/>
      <c r="H4" s="17"/>
      <c r="I4" s="17"/>
      <c r="J4" s="39"/>
      <c r="K4" s="17"/>
      <c r="L4" s="17"/>
      <c r="M4" s="17"/>
      <c r="N4" s="51"/>
      <c r="O4" s="61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3">
      <c r="A5" s="23"/>
      <c r="D5" s="64">
        <v>44408</v>
      </c>
      <c r="E5" s="17"/>
      <c r="F5" s="51"/>
      <c r="G5" s="17"/>
      <c r="H5" s="17"/>
      <c r="I5" s="17"/>
      <c r="J5" s="39"/>
      <c r="K5" s="17"/>
      <c r="L5" s="17"/>
      <c r="M5" s="17"/>
      <c r="N5" s="51"/>
      <c r="O5" s="61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3">
      <c r="A6" s="23"/>
      <c r="B6" s="47"/>
      <c r="C6" s="47"/>
      <c r="D6" s="23" t="str">
        <f>CONCATENATE("Department ","405", " - ", "Caffeine Lab")</f>
        <v>Department 405 - Caffeine Lab</v>
      </c>
      <c r="E6" s="17"/>
      <c r="F6" s="51"/>
      <c r="G6" s="17"/>
      <c r="H6" s="17"/>
      <c r="I6" s="17"/>
      <c r="J6" s="39"/>
      <c r="K6" s="17"/>
      <c r="L6" s="17"/>
      <c r="M6" s="17"/>
      <c r="N6" s="51"/>
      <c r="O6" s="60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3">
      <c r="B7" s="63"/>
    </row>
    <row r="8" spans="1:26" x14ac:dyDescent="0.3">
      <c r="B8" s="63"/>
    </row>
    <row r="9" spans="1:26" x14ac:dyDescent="0.3">
      <c r="B9" s="9"/>
      <c r="C9" s="9"/>
      <c r="D9" s="15" t="s">
        <v>292</v>
      </c>
      <c r="E9" s="15"/>
      <c r="F9" s="38"/>
      <c r="G9" s="15"/>
      <c r="H9" s="15"/>
      <c r="I9" s="15"/>
      <c r="J9" s="49"/>
      <c r="K9" s="15"/>
      <c r="L9" s="15"/>
      <c r="M9" s="15"/>
      <c r="N9" s="38"/>
      <c r="P9" s="15" t="s">
        <v>39</v>
      </c>
      <c r="Q9" s="15"/>
      <c r="R9" s="38"/>
      <c r="S9" s="15"/>
      <c r="T9" s="15"/>
      <c r="U9" s="15"/>
      <c r="V9" s="49"/>
      <c r="W9" s="15"/>
      <c r="X9" s="15"/>
      <c r="Y9" s="15"/>
      <c r="Z9" s="38"/>
    </row>
    <row r="10" spans="1:26" x14ac:dyDescent="0.3">
      <c r="A10" s="10"/>
      <c r="B10" s="53"/>
      <c r="C10" s="10"/>
      <c r="D10" s="42" t="s">
        <v>57</v>
      </c>
      <c r="E10" s="34"/>
      <c r="F10" s="40" t="s">
        <v>40</v>
      </c>
      <c r="G10" s="34"/>
      <c r="H10" s="45" t="s">
        <v>238</v>
      </c>
      <c r="I10" s="34"/>
      <c r="J10" s="48" t="s">
        <v>58</v>
      </c>
      <c r="K10" s="10"/>
      <c r="L10" s="42" t="s">
        <v>127</v>
      </c>
      <c r="M10" s="10"/>
      <c r="N10" s="40" t="s">
        <v>258</v>
      </c>
      <c r="O10" s="10"/>
      <c r="P10" s="56" t="s">
        <v>57</v>
      </c>
      <c r="Q10" s="34"/>
      <c r="R10" s="40" t="s">
        <v>40</v>
      </c>
      <c r="S10" s="34"/>
      <c r="T10" s="45" t="s">
        <v>238</v>
      </c>
      <c r="U10" s="34"/>
      <c r="V10" s="48" t="s">
        <v>58</v>
      </c>
      <c r="W10" s="10"/>
      <c r="X10" s="42" t="s">
        <v>127</v>
      </c>
      <c r="Y10" s="10"/>
      <c r="Z10" s="40" t="s">
        <v>258</v>
      </c>
    </row>
    <row r="11" spans="1:26" ht="15.6" x14ac:dyDescent="0.3">
      <c r="A11" s="9"/>
      <c r="B11" s="58"/>
      <c r="C11" s="9"/>
      <c r="D11" s="9"/>
      <c r="E11" s="9"/>
      <c r="F11" s="6"/>
      <c r="G11" s="9"/>
      <c r="H11" s="9"/>
      <c r="I11" s="9"/>
      <c r="J11" s="46"/>
      <c r="K11" s="9"/>
      <c r="L11" s="9"/>
      <c r="M11" s="9"/>
      <c r="N11" s="6"/>
      <c r="P11" s="9"/>
      <c r="Q11" s="9"/>
      <c r="R11" s="6"/>
      <c r="S11" s="9"/>
      <c r="T11" s="9"/>
      <c r="U11" s="9"/>
      <c r="V11" s="46"/>
      <c r="W11" s="9"/>
      <c r="X11" s="9"/>
      <c r="Y11" s="9"/>
      <c r="Z11" s="6"/>
    </row>
    <row r="12" spans="1:26" s="23" customFormat="1" x14ac:dyDescent="0.3">
      <c r="A12" s="10"/>
      <c r="B12" s="25" t="s">
        <v>140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3">
      <c r="A13" s="9"/>
      <c r="B13" s="10"/>
      <c r="C13" s="9"/>
      <c r="D13" s="2"/>
      <c r="E13" s="2"/>
      <c r="F13" s="6"/>
      <c r="G13" s="2"/>
      <c r="H13" s="2"/>
      <c r="I13" s="2"/>
      <c r="J13" s="6"/>
      <c r="K13" s="2"/>
      <c r="L13" s="2"/>
      <c r="M13" s="2"/>
      <c r="N13" s="6"/>
      <c r="P13" s="2"/>
      <c r="Q13" s="2"/>
      <c r="R13" s="6"/>
      <c r="S13" s="2"/>
      <c r="T13" s="2"/>
      <c r="U13" s="2"/>
      <c r="V13" s="6"/>
      <c r="W13" s="2"/>
      <c r="X13" s="2"/>
      <c r="Y13" s="2"/>
      <c r="Z13" s="6"/>
    </row>
    <row r="14" spans="1:26" s="23" customFormat="1" collapsed="1" x14ac:dyDescent="0.3">
      <c r="A14" s="10"/>
      <c r="B14" s="25" t="s">
        <v>257</v>
      </c>
      <c r="C14" s="10"/>
      <c r="D14" s="4">
        <f>SUM(OSRRefD16x_0)</f>
        <v>0</v>
      </c>
      <c r="E14" s="4"/>
      <c r="F14" s="12">
        <f t="shared" ref="F14:F15" si="0">IF(D$12=0,0,D14/D$12)</f>
        <v>0</v>
      </c>
      <c r="G14" s="4"/>
      <c r="H14" s="4">
        <f>SUM(OSRRefH16x_0)</f>
        <v>0</v>
      </c>
      <c r="I14" s="4"/>
      <c r="J14" s="12">
        <f t="shared" ref="J14:J15" si="1">IF(H$12=0,0,H14/H$12)</f>
        <v>0</v>
      </c>
      <c r="K14" s="4"/>
      <c r="L14" s="4">
        <f t="shared" ref="L14:L15" si="2">+D14-H14</f>
        <v>0</v>
      </c>
      <c r="M14" s="4"/>
      <c r="N14" s="12">
        <f t="shared" ref="N14:N15" si="3">IF(H14=0,0,L14/H14)</f>
        <v>0</v>
      </c>
      <c r="O14" s="10"/>
      <c r="P14" s="4">
        <f>SUM(OSRRefP16x_0)</f>
        <v>0</v>
      </c>
      <c r="Q14" s="4"/>
      <c r="R14" s="12">
        <f t="shared" ref="R14:R15" si="4">IF(P$12=0,0,P14/P$12)</f>
        <v>0</v>
      </c>
      <c r="S14" s="4"/>
      <c r="T14" s="4">
        <f>SUM(OSRRefT16x_0)</f>
        <v>0</v>
      </c>
      <c r="U14" s="4"/>
      <c r="V14" s="12">
        <f t="shared" ref="V14:V15" si="5">IF(T$12=0,0,T14/T$12)</f>
        <v>0</v>
      </c>
      <c r="W14" s="4"/>
      <c r="X14" s="4">
        <f t="shared" ref="X14:X15" si="6">+P14-T14</f>
        <v>0</v>
      </c>
      <c r="Y14" s="4"/>
      <c r="Z14" s="12">
        <f t="shared" ref="Z14:Z15" si="7">IF(T14=0,0,X14/T14)</f>
        <v>0</v>
      </c>
    </row>
    <row r="15" spans="1:26" s="24" customFormat="1" hidden="1" outlineLevel="1" x14ac:dyDescent="0.3">
      <c r="A15" s="44"/>
      <c r="B15" s="11" t="str">
        <f>CONCATENATE("          ", "5000", " - ", "PURCHASES @ COST")</f>
        <v xml:space="preserve">          5000 - PURCHASES @ COST</v>
      </c>
      <c r="C15" s="11"/>
      <c r="D15" s="3"/>
      <c r="E15" s="3"/>
      <c r="F15" s="19">
        <f t="shared" si="0"/>
        <v>0</v>
      </c>
      <c r="G15" s="3"/>
      <c r="H15" s="3">
        <v>0</v>
      </c>
      <c r="I15" s="3"/>
      <c r="J15" s="19">
        <f t="shared" si="1"/>
        <v>0</v>
      </c>
      <c r="K15" s="3"/>
      <c r="L15" s="3">
        <f t="shared" si="2"/>
        <v>0</v>
      </c>
      <c r="M15" s="3"/>
      <c r="N15" s="19">
        <f t="shared" si="3"/>
        <v>0</v>
      </c>
      <c r="O15" s="11"/>
      <c r="P15" s="3"/>
      <c r="Q15" s="3"/>
      <c r="R15" s="19">
        <f t="shared" si="4"/>
        <v>0</v>
      </c>
      <c r="S15" s="3"/>
      <c r="T15" s="3">
        <v>0</v>
      </c>
      <c r="U15" s="3"/>
      <c r="V15" s="19">
        <f t="shared" si="5"/>
        <v>0</v>
      </c>
      <c r="W15" s="3"/>
      <c r="X15" s="3">
        <f t="shared" si="6"/>
        <v>0</v>
      </c>
      <c r="Y15" s="3"/>
      <c r="Z15" s="19">
        <f t="shared" si="7"/>
        <v>0</v>
      </c>
    </row>
    <row r="16" spans="1:26" x14ac:dyDescent="0.3">
      <c r="A16" s="9"/>
      <c r="B16" s="10"/>
      <c r="C16" s="10"/>
      <c r="D16" s="2"/>
      <c r="E16" s="2"/>
      <c r="F16" s="6"/>
      <c r="G16" s="2"/>
      <c r="H16" s="2"/>
      <c r="I16" s="2"/>
      <c r="J16" s="6"/>
      <c r="K16" s="2"/>
      <c r="L16" s="2"/>
      <c r="M16" s="2"/>
      <c r="N16" s="6"/>
      <c r="O16" s="10"/>
      <c r="P16" s="2"/>
      <c r="Q16" s="2"/>
      <c r="R16" s="6"/>
      <c r="S16" s="2"/>
      <c r="T16" s="2"/>
      <c r="U16" s="2"/>
      <c r="V16" s="6"/>
      <c r="W16" s="2"/>
      <c r="X16" s="2"/>
      <c r="Y16" s="2"/>
      <c r="Z16" s="6"/>
    </row>
    <row r="17" spans="1:26" s="23" customFormat="1" x14ac:dyDescent="0.3">
      <c r="A17" s="10"/>
      <c r="B17" s="26" t="s">
        <v>108</v>
      </c>
      <c r="C17" s="26"/>
      <c r="D17" s="21">
        <f>D12-D14</f>
        <v>0</v>
      </c>
      <c r="E17" s="13"/>
      <c r="F17" s="22">
        <f>IF(D$12=0,0,D17/D$12)</f>
        <v>0</v>
      </c>
      <c r="G17" s="13"/>
      <c r="H17" s="21">
        <f>H12-H14</f>
        <v>0</v>
      </c>
      <c r="I17" s="13"/>
      <c r="J17" s="22">
        <f>IF(H$12=0,0,H17/H$12)</f>
        <v>0</v>
      </c>
      <c r="K17" s="16"/>
      <c r="L17" s="21">
        <f>+D17-H17</f>
        <v>0</v>
      </c>
      <c r="M17" s="16"/>
      <c r="N17" s="22">
        <f>IF(H17=0,0,L17/H17)</f>
        <v>0</v>
      </c>
      <c r="O17" s="25"/>
      <c r="P17" s="21">
        <f>P12-P14</f>
        <v>0</v>
      </c>
      <c r="Q17" s="13"/>
      <c r="R17" s="22">
        <f>IF(P$12=0,0,P17/P$12)</f>
        <v>0</v>
      </c>
      <c r="S17" s="13"/>
      <c r="T17" s="21">
        <f>T12-T14</f>
        <v>0</v>
      </c>
      <c r="U17" s="13"/>
      <c r="V17" s="22">
        <f>IF(T$12=0,0,T17/T$12)</f>
        <v>0</v>
      </c>
      <c r="W17" s="16"/>
      <c r="X17" s="21">
        <f>+P17-T17</f>
        <v>0</v>
      </c>
      <c r="Y17" s="16"/>
      <c r="Z17" s="22">
        <f>IF(T17=0,0,X17/T17)</f>
        <v>0</v>
      </c>
    </row>
    <row r="18" spans="1:26" x14ac:dyDescent="0.3">
      <c r="A18" s="9"/>
      <c r="B18" s="10"/>
      <c r="C18" s="9"/>
      <c r="D18" s="1"/>
      <c r="E18" s="1"/>
      <c r="F18" s="5"/>
      <c r="G18" s="1"/>
      <c r="H18" s="1"/>
      <c r="I18" s="1"/>
      <c r="J18" s="5"/>
      <c r="K18" s="1"/>
      <c r="L18" s="1"/>
      <c r="M18" s="1"/>
      <c r="N18" s="5"/>
      <c r="O18" s="36"/>
      <c r="P18" s="1"/>
      <c r="Q18" s="1"/>
      <c r="R18" s="5"/>
      <c r="S18" s="1"/>
      <c r="T18" s="1"/>
      <c r="U18" s="1"/>
      <c r="V18" s="5"/>
      <c r="W18" s="1"/>
      <c r="X18" s="1"/>
      <c r="Y18" s="1"/>
      <c r="Z18" s="5"/>
    </row>
    <row r="19" spans="1:26" s="23" customFormat="1" x14ac:dyDescent="0.3">
      <c r="A19" s="10"/>
      <c r="B19" s="25" t="s">
        <v>295</v>
      </c>
      <c r="C19" s="10"/>
      <c r="D19" s="20">
        <f>SUM(OSRRefD22x_0)</f>
        <v>13284.030000000002</v>
      </c>
      <c r="E19" s="20"/>
      <c r="F19" s="32">
        <f t="shared" ref="F19:F29" si="8">IF(D$12=0,0,D19/D$12)</f>
        <v>0</v>
      </c>
      <c r="G19" s="20"/>
      <c r="H19" s="20">
        <f>SUM(OSRRefH22x_0)</f>
        <v>18170.02288461538</v>
      </c>
      <c r="I19" s="20"/>
      <c r="J19" s="32">
        <f t="shared" ref="J19:J29" si="9">IF(H$12=0,0,H19/H$12)</f>
        <v>0</v>
      </c>
      <c r="K19" s="4"/>
      <c r="L19" s="20">
        <f t="shared" ref="L19:L29" si="10">+D19-H19</f>
        <v>-4885.992884615378</v>
      </c>
      <c r="M19" s="4"/>
      <c r="N19" s="32">
        <f t="shared" ref="N19:N29" si="11">IF(H19=0,0,L19/H19)</f>
        <v>-0.26890405783431154</v>
      </c>
      <c r="O19" s="10"/>
      <c r="P19" s="20">
        <f>SUM(OSRRefP22x_0)</f>
        <v>13284.030000000002</v>
      </c>
      <c r="Q19" s="20"/>
      <c r="R19" s="32">
        <f t="shared" ref="R19:R29" si="12">IF(P$12=0,0,P19/P$12)</f>
        <v>0</v>
      </c>
      <c r="S19" s="20"/>
      <c r="T19" s="20">
        <f>SUM(OSRRefT22x_0)</f>
        <v>18170.02288461538</v>
      </c>
      <c r="U19" s="20"/>
      <c r="V19" s="32">
        <f t="shared" ref="V19:V29" si="13">IF(T$12=0,0,T19/T$12)</f>
        <v>0</v>
      </c>
      <c r="W19" s="4"/>
      <c r="X19" s="20">
        <f t="shared" ref="X19:X29" si="14">+P19-T19</f>
        <v>-4885.992884615378</v>
      </c>
      <c r="Y19" s="4"/>
      <c r="Z19" s="32">
        <f t="shared" ref="Z19:Z29" si="15">IF(T19=0,0,X19/T19)</f>
        <v>-0.26890405783431154</v>
      </c>
    </row>
    <row r="20" spans="1:26" s="27" customFormat="1" outlineLevel="1" collapsed="1" x14ac:dyDescent="0.3">
      <c r="A20" s="28"/>
      <c r="B20" s="14" t="str">
        <f>CONCATENATE("     ","*Benefits                                         ")</f>
        <v xml:space="preserve">     *Benefits                                         </v>
      </c>
      <c r="C20" s="14"/>
      <c r="D20" s="1">
        <f>SUM(OSRRefD22_0x_0)</f>
        <v>1243.8900000000001</v>
      </c>
      <c r="E20" s="1"/>
      <c r="F20" s="5">
        <f t="shared" si="8"/>
        <v>0</v>
      </c>
      <c r="G20" s="1"/>
      <c r="H20" s="1">
        <f>SUM(OSRRefH22_0x_0)</f>
        <v>3422.5367307692309</v>
      </c>
      <c r="I20" s="1"/>
      <c r="J20" s="5">
        <f t="shared" si="9"/>
        <v>0</v>
      </c>
      <c r="K20" s="1"/>
      <c r="L20" s="1">
        <f t="shared" si="10"/>
        <v>-2178.646730769231</v>
      </c>
      <c r="M20" s="1"/>
      <c r="N20" s="5">
        <f t="shared" si="11"/>
        <v>-0.63655905024562587</v>
      </c>
      <c r="O20" s="14"/>
      <c r="P20" s="1">
        <f>SUM(OSRRefP22_0x_0)</f>
        <v>1243.8900000000001</v>
      </c>
      <c r="Q20" s="1"/>
      <c r="R20" s="5">
        <f t="shared" si="12"/>
        <v>0</v>
      </c>
      <c r="S20" s="1"/>
      <c r="T20" s="1">
        <f>SUM(OSRRefT22_0x_0)</f>
        <v>3422.5367307692309</v>
      </c>
      <c r="U20" s="1"/>
      <c r="V20" s="5">
        <f t="shared" si="13"/>
        <v>0</v>
      </c>
      <c r="W20" s="1"/>
      <c r="X20" s="1">
        <f t="shared" si="14"/>
        <v>-2178.646730769231</v>
      </c>
      <c r="Y20" s="1"/>
      <c r="Z20" s="5">
        <f t="shared" si="15"/>
        <v>-0.63655905024562587</v>
      </c>
    </row>
    <row r="21" spans="1:26" s="24" customFormat="1" hidden="1" outlineLevel="2" x14ac:dyDescent="0.3">
      <c r="A21" s="29"/>
      <c r="B21" s="11" t="str">
        <f>CONCATENATE("          ", "6111", " - ", "F.I.C.A.")</f>
        <v xml:space="preserve">          6111 - F.I.C.A.</v>
      </c>
      <c r="C21" s="11"/>
      <c r="D21" s="8">
        <v>247.14</v>
      </c>
      <c r="E21" s="3"/>
      <c r="F21" s="7">
        <f t="shared" si="8"/>
        <v>0</v>
      </c>
      <c r="G21" s="3"/>
      <c r="H21" s="8">
        <v>428.27365384615399</v>
      </c>
      <c r="I21" s="3"/>
      <c r="J21" s="7">
        <f t="shared" si="9"/>
        <v>0</v>
      </c>
      <c r="K21" s="3"/>
      <c r="L21" s="8">
        <f t="shared" si="10"/>
        <v>-181.133653846154</v>
      </c>
      <c r="M21" s="3"/>
      <c r="N21" s="7">
        <f t="shared" si="11"/>
        <v>-0.42293905361552192</v>
      </c>
      <c r="O21" s="11"/>
      <c r="P21" s="8">
        <v>247.14</v>
      </c>
      <c r="Q21" s="3"/>
      <c r="R21" s="7">
        <f t="shared" si="12"/>
        <v>0</v>
      </c>
      <c r="S21" s="3"/>
      <c r="T21" s="8">
        <v>428.27365384615399</v>
      </c>
      <c r="U21" s="3"/>
      <c r="V21" s="7">
        <f t="shared" si="13"/>
        <v>0</v>
      </c>
      <c r="W21" s="3"/>
      <c r="X21" s="8">
        <f t="shared" si="14"/>
        <v>-181.133653846154</v>
      </c>
      <c r="Y21" s="3"/>
      <c r="Z21" s="7">
        <f t="shared" si="15"/>
        <v>-0.42293905361552192</v>
      </c>
    </row>
    <row r="22" spans="1:26" s="24" customFormat="1" hidden="1" outlineLevel="2" x14ac:dyDescent="0.3">
      <c r="A22" s="29"/>
      <c r="B22" s="11" t="str">
        <f>CONCATENATE("          ", "6112", " - ", "COMPENSATION INSURANCE")</f>
        <v xml:space="preserve">          6112 - COMPENSATION INSURANCE</v>
      </c>
      <c r="C22" s="11"/>
      <c r="D22" s="8">
        <v>116.31</v>
      </c>
      <c r="E22" s="3"/>
      <c r="F22" s="7">
        <f t="shared" si="8"/>
        <v>0</v>
      </c>
      <c r="G22" s="3"/>
      <c r="H22" s="8">
        <v>229.604030769231</v>
      </c>
      <c r="I22" s="3"/>
      <c r="J22" s="7">
        <f t="shared" si="9"/>
        <v>0</v>
      </c>
      <c r="K22" s="3"/>
      <c r="L22" s="8">
        <f t="shared" si="10"/>
        <v>-113.294030769231</v>
      </c>
      <c r="M22" s="3"/>
      <c r="N22" s="7">
        <f t="shared" si="11"/>
        <v>-0.49343223805639486</v>
      </c>
      <c r="O22" s="11"/>
      <c r="P22" s="8">
        <v>116.31</v>
      </c>
      <c r="Q22" s="3"/>
      <c r="R22" s="7">
        <f t="shared" si="12"/>
        <v>0</v>
      </c>
      <c r="S22" s="3"/>
      <c r="T22" s="8">
        <v>229.604030769231</v>
      </c>
      <c r="U22" s="3"/>
      <c r="V22" s="7">
        <f t="shared" si="13"/>
        <v>0</v>
      </c>
      <c r="W22" s="3"/>
      <c r="X22" s="8">
        <f t="shared" si="14"/>
        <v>-113.294030769231</v>
      </c>
      <c r="Y22" s="3"/>
      <c r="Z22" s="7">
        <f t="shared" si="15"/>
        <v>-0.49343223805639486</v>
      </c>
    </row>
    <row r="23" spans="1:26" s="24" customFormat="1" hidden="1" outlineLevel="2" x14ac:dyDescent="0.3">
      <c r="A23" s="29"/>
      <c r="B23" s="11" t="str">
        <f>CONCATENATE("          ", "6113", " - ", "GROUP INSURANCE")</f>
        <v xml:space="preserve">          6113 - GROUP INSURANCE</v>
      </c>
      <c r="C23" s="11"/>
      <c r="D23" s="8">
        <v>42.95</v>
      </c>
      <c r="E23" s="3"/>
      <c r="F23" s="7">
        <f t="shared" si="8"/>
        <v>0</v>
      </c>
      <c r="G23" s="3"/>
      <c r="H23" s="8">
        <v>1977</v>
      </c>
      <c r="I23" s="3"/>
      <c r="J23" s="7">
        <f t="shared" si="9"/>
        <v>0</v>
      </c>
      <c r="K23" s="3"/>
      <c r="L23" s="8">
        <f t="shared" si="10"/>
        <v>-1934.05</v>
      </c>
      <c r="M23" s="3"/>
      <c r="N23" s="7">
        <f t="shared" si="11"/>
        <v>-0.97827516439049067</v>
      </c>
      <c r="O23" s="11"/>
      <c r="P23" s="8">
        <v>42.95</v>
      </c>
      <c r="Q23" s="3"/>
      <c r="R23" s="7">
        <f t="shared" si="12"/>
        <v>0</v>
      </c>
      <c r="S23" s="3"/>
      <c r="T23" s="8">
        <v>1977</v>
      </c>
      <c r="U23" s="3"/>
      <c r="V23" s="7">
        <f t="shared" si="13"/>
        <v>0</v>
      </c>
      <c r="W23" s="3"/>
      <c r="X23" s="8">
        <f t="shared" si="14"/>
        <v>-1934.05</v>
      </c>
      <c r="Y23" s="3"/>
      <c r="Z23" s="7">
        <f t="shared" si="15"/>
        <v>-0.97827516439049067</v>
      </c>
    </row>
    <row r="24" spans="1:26" s="24" customFormat="1" hidden="1" outlineLevel="2" x14ac:dyDescent="0.3">
      <c r="A24" s="29"/>
      <c r="B24" s="11" t="str">
        <f>CONCATENATE("          ", "6114", " - ", "STATE UNEMPLOYMENT INSURANCE")</f>
        <v xml:space="preserve">          6114 - STATE UNEMPLOYMENT INSURANCE</v>
      </c>
      <c r="C24" s="11"/>
      <c r="D24" s="8">
        <v>8.4</v>
      </c>
      <c r="E24" s="3"/>
      <c r="F24" s="7">
        <f t="shared" si="8"/>
        <v>0</v>
      </c>
      <c r="G24" s="3"/>
      <c r="H24" s="8">
        <v>12.722123076923101</v>
      </c>
      <c r="I24" s="3"/>
      <c r="J24" s="7">
        <f t="shared" si="9"/>
        <v>0</v>
      </c>
      <c r="K24" s="3"/>
      <c r="L24" s="8">
        <f t="shared" si="10"/>
        <v>-4.3221230769231003</v>
      </c>
      <c r="M24" s="3"/>
      <c r="N24" s="7">
        <f t="shared" si="11"/>
        <v>-0.33973284575143603</v>
      </c>
      <c r="O24" s="11"/>
      <c r="P24" s="8">
        <v>8.4</v>
      </c>
      <c r="Q24" s="3"/>
      <c r="R24" s="7">
        <f t="shared" si="12"/>
        <v>0</v>
      </c>
      <c r="S24" s="3"/>
      <c r="T24" s="8">
        <v>12.722123076923101</v>
      </c>
      <c r="U24" s="3"/>
      <c r="V24" s="7">
        <f t="shared" si="13"/>
        <v>0</v>
      </c>
      <c r="W24" s="3"/>
      <c r="X24" s="8">
        <f t="shared" si="14"/>
        <v>-4.3221230769231003</v>
      </c>
      <c r="Y24" s="3"/>
      <c r="Z24" s="7">
        <f t="shared" si="15"/>
        <v>-0.33973284575143603</v>
      </c>
    </row>
    <row r="25" spans="1:26" s="24" customFormat="1" hidden="1" outlineLevel="2" x14ac:dyDescent="0.3">
      <c r="A25" s="29"/>
      <c r="B25" s="11" t="str">
        <f>CONCATENATE("          ", "6115", " - ", "P.E.R.S.")</f>
        <v xml:space="preserve">          6115 - P.E.R.S.</v>
      </c>
      <c r="C25" s="11"/>
      <c r="D25" s="8">
        <v>245.21</v>
      </c>
      <c r="E25" s="3"/>
      <c r="F25" s="7">
        <f t="shared" si="8"/>
        <v>0</v>
      </c>
      <c r="G25" s="3"/>
      <c r="H25" s="8">
        <v>481.269230769231</v>
      </c>
      <c r="I25" s="3"/>
      <c r="J25" s="7">
        <f t="shared" si="9"/>
        <v>0</v>
      </c>
      <c r="K25" s="3"/>
      <c r="L25" s="8">
        <f t="shared" si="10"/>
        <v>-236.05923076923099</v>
      </c>
      <c r="M25" s="3"/>
      <c r="N25" s="7">
        <f t="shared" si="11"/>
        <v>-0.49049308718932333</v>
      </c>
      <c r="O25" s="11"/>
      <c r="P25" s="8">
        <v>245.21</v>
      </c>
      <c r="Q25" s="3"/>
      <c r="R25" s="7">
        <f t="shared" si="12"/>
        <v>0</v>
      </c>
      <c r="S25" s="3"/>
      <c r="T25" s="8">
        <v>481.269230769231</v>
      </c>
      <c r="U25" s="3"/>
      <c r="V25" s="7">
        <f t="shared" si="13"/>
        <v>0</v>
      </c>
      <c r="W25" s="3"/>
      <c r="X25" s="8">
        <f t="shared" si="14"/>
        <v>-236.05923076923099</v>
      </c>
      <c r="Y25" s="3"/>
      <c r="Z25" s="7">
        <f t="shared" si="15"/>
        <v>-0.49049308718932333</v>
      </c>
    </row>
    <row r="26" spans="1:26" s="24" customFormat="1" hidden="1" outlineLevel="2" x14ac:dyDescent="0.3">
      <c r="A26" s="29"/>
      <c r="B26" s="11" t="str">
        <f>CONCATENATE("          ", "6116", " - ", "EDUCATIONAL BENEFITS")</f>
        <v xml:space="preserve">          6116 - EDUCATIONAL BENEFITS</v>
      </c>
      <c r="C26" s="11"/>
      <c r="D26" s="8"/>
      <c r="E26" s="3"/>
      <c r="F26" s="7">
        <f t="shared" si="8"/>
        <v>0</v>
      </c>
      <c r="G26" s="3"/>
      <c r="H26" s="8">
        <v>0</v>
      </c>
      <c r="I26" s="3"/>
      <c r="J26" s="7">
        <f t="shared" si="9"/>
        <v>0</v>
      </c>
      <c r="K26" s="3"/>
      <c r="L26" s="8">
        <f t="shared" si="10"/>
        <v>0</v>
      </c>
      <c r="M26" s="3"/>
      <c r="N26" s="7">
        <f t="shared" si="11"/>
        <v>0</v>
      </c>
      <c r="O26" s="11"/>
      <c r="P26" s="8"/>
      <c r="Q26" s="3"/>
      <c r="R26" s="7">
        <f t="shared" si="12"/>
        <v>0</v>
      </c>
      <c r="S26" s="3"/>
      <c r="T26" s="8">
        <v>0</v>
      </c>
      <c r="U26" s="3"/>
      <c r="V26" s="7">
        <f t="shared" si="13"/>
        <v>0</v>
      </c>
      <c r="W26" s="3"/>
      <c r="X26" s="8">
        <f t="shared" si="14"/>
        <v>0</v>
      </c>
      <c r="Y26" s="3"/>
      <c r="Z26" s="7">
        <f t="shared" si="15"/>
        <v>0</v>
      </c>
    </row>
    <row r="27" spans="1:26" s="24" customFormat="1" hidden="1" outlineLevel="2" x14ac:dyDescent="0.3">
      <c r="A27" s="29"/>
      <c r="B27" s="11" t="str">
        <f>CONCATENATE("          ", "6118", " - ", "VACATION")</f>
        <v xml:space="preserve">          6118 - VACATION</v>
      </c>
      <c r="C27" s="11"/>
      <c r="D27" s="8">
        <v>207.3</v>
      </c>
      <c r="E27" s="3"/>
      <c r="F27" s="7">
        <f t="shared" si="8"/>
        <v>0</v>
      </c>
      <c r="G27" s="3"/>
      <c r="H27" s="8">
        <v>167.88461538461499</v>
      </c>
      <c r="I27" s="3"/>
      <c r="J27" s="7">
        <f t="shared" si="9"/>
        <v>0</v>
      </c>
      <c r="K27" s="3"/>
      <c r="L27" s="8">
        <f t="shared" si="10"/>
        <v>39.415384615385022</v>
      </c>
      <c r="M27" s="3"/>
      <c r="N27" s="7">
        <f t="shared" si="11"/>
        <v>0.23477663230240847</v>
      </c>
      <c r="O27" s="11"/>
      <c r="P27" s="8">
        <v>207.3</v>
      </c>
      <c r="Q27" s="3"/>
      <c r="R27" s="7">
        <f t="shared" si="12"/>
        <v>0</v>
      </c>
      <c r="S27" s="3"/>
      <c r="T27" s="8">
        <v>167.88461538461499</v>
      </c>
      <c r="U27" s="3"/>
      <c r="V27" s="7">
        <f t="shared" si="13"/>
        <v>0</v>
      </c>
      <c r="W27" s="3"/>
      <c r="X27" s="8">
        <f t="shared" si="14"/>
        <v>39.415384615385022</v>
      </c>
      <c r="Y27" s="3"/>
      <c r="Z27" s="7">
        <f t="shared" si="15"/>
        <v>0.23477663230240847</v>
      </c>
    </row>
    <row r="28" spans="1:26" s="24" customFormat="1" hidden="1" outlineLevel="2" x14ac:dyDescent="0.3">
      <c r="A28" s="29"/>
      <c r="B28" s="11" t="str">
        <f>CONCATENATE("          ", "6119", " - ", "SICK LEAVE")</f>
        <v xml:space="preserve">          6119 - SICK LEAVE</v>
      </c>
      <c r="C28" s="11"/>
      <c r="D28" s="8">
        <v>248.36</v>
      </c>
      <c r="E28" s="3"/>
      <c r="F28" s="7">
        <f t="shared" si="8"/>
        <v>0</v>
      </c>
      <c r="G28" s="3"/>
      <c r="H28" s="8">
        <v>125.783076923077</v>
      </c>
      <c r="I28" s="3"/>
      <c r="J28" s="7">
        <f t="shared" si="9"/>
        <v>0</v>
      </c>
      <c r="K28" s="3"/>
      <c r="L28" s="8">
        <f t="shared" si="10"/>
        <v>122.57692307692301</v>
      </c>
      <c r="M28" s="3"/>
      <c r="N28" s="7">
        <f t="shared" si="11"/>
        <v>0.97451045144876902</v>
      </c>
      <c r="O28" s="11"/>
      <c r="P28" s="8">
        <v>248.36</v>
      </c>
      <c r="Q28" s="3"/>
      <c r="R28" s="7">
        <f t="shared" si="12"/>
        <v>0</v>
      </c>
      <c r="S28" s="3"/>
      <c r="T28" s="8">
        <v>125.783076923077</v>
      </c>
      <c r="U28" s="3"/>
      <c r="V28" s="7">
        <f t="shared" si="13"/>
        <v>0</v>
      </c>
      <c r="W28" s="3"/>
      <c r="X28" s="8">
        <f t="shared" si="14"/>
        <v>122.57692307692301</v>
      </c>
      <c r="Y28" s="3"/>
      <c r="Z28" s="7">
        <f t="shared" si="15"/>
        <v>0.97451045144876902</v>
      </c>
    </row>
    <row r="29" spans="1:26" s="24" customFormat="1" hidden="1" outlineLevel="2" x14ac:dyDescent="0.3">
      <c r="A29" s="29"/>
      <c r="B29" s="11" t="str">
        <f>CONCATENATE("          ", "6156", " - ", "EMPLOYEE MEALS")</f>
        <v xml:space="preserve">          6156 - EMPLOYEE MEALS</v>
      </c>
      <c r="C29" s="11"/>
      <c r="D29" s="8">
        <v>128.22</v>
      </c>
      <c r="E29" s="3"/>
      <c r="F29" s="7">
        <f t="shared" si="8"/>
        <v>0</v>
      </c>
      <c r="G29" s="3"/>
      <c r="H29" s="8"/>
      <c r="I29" s="3"/>
      <c r="J29" s="7">
        <f t="shared" si="9"/>
        <v>0</v>
      </c>
      <c r="K29" s="3"/>
      <c r="L29" s="8">
        <f t="shared" si="10"/>
        <v>128.22</v>
      </c>
      <c r="M29" s="3"/>
      <c r="N29" s="7">
        <f t="shared" si="11"/>
        <v>0</v>
      </c>
      <c r="O29" s="11"/>
      <c r="P29" s="8">
        <v>128.22</v>
      </c>
      <c r="Q29" s="3"/>
      <c r="R29" s="7">
        <f t="shared" si="12"/>
        <v>0</v>
      </c>
      <c r="S29" s="3"/>
      <c r="T29" s="8"/>
      <c r="U29" s="3"/>
      <c r="V29" s="7">
        <f t="shared" si="13"/>
        <v>0</v>
      </c>
      <c r="W29" s="3"/>
      <c r="X29" s="8">
        <f t="shared" si="14"/>
        <v>128.22</v>
      </c>
      <c r="Y29" s="3"/>
      <c r="Z29" s="7">
        <f t="shared" si="15"/>
        <v>0</v>
      </c>
    </row>
    <row r="30" spans="1:26" s="27" customFormat="1" outlineLevel="1" collapsed="1" x14ac:dyDescent="0.3">
      <c r="A30" s="28"/>
      <c r="B30" s="14" t="str">
        <f>CONCATENATE("     ","*Payroll                                          ")</f>
        <v xml:space="preserve">     *Payroll                                          </v>
      </c>
      <c r="C30" s="14"/>
      <c r="D30" s="1">
        <f>SUM(OSRRefD22_1x_0)</f>
        <v>4990.76</v>
      </c>
      <c r="E30" s="1"/>
      <c r="F30" s="5">
        <f t="shared" ref="F30:F40" si="16">IF(D$12=0,0,D30/D$12)</f>
        <v>0</v>
      </c>
      <c r="G30" s="1"/>
      <c r="H30" s="1">
        <f>SUM(OSRRefH22_1x_0)</f>
        <v>5764.48615384615</v>
      </c>
      <c r="I30" s="1"/>
      <c r="J30" s="5">
        <f t="shared" ref="J30:J40" si="17">IF(H$12=0,0,H30/H$12)</f>
        <v>0</v>
      </c>
      <c r="K30" s="1"/>
      <c r="L30" s="1">
        <f t="shared" ref="L30:L40" si="18">+D30-H30</f>
        <v>-773.72615384614983</v>
      </c>
      <c r="M30" s="1"/>
      <c r="N30" s="5">
        <f t="shared" ref="N30:N40" si="19">IF(H30=0,0,L30/H30)</f>
        <v>-0.13422291826131083</v>
      </c>
      <c r="O30" s="14"/>
      <c r="P30" s="1">
        <f>SUM(OSRRefP22_1x_0)</f>
        <v>4990.76</v>
      </c>
      <c r="Q30" s="1"/>
      <c r="R30" s="5">
        <f t="shared" ref="R30:R40" si="20">IF(P$12=0,0,P30/P$12)</f>
        <v>0</v>
      </c>
      <c r="S30" s="1"/>
      <c r="T30" s="1">
        <f>SUM(OSRRefT22_1x_0)</f>
        <v>5764.48615384615</v>
      </c>
      <c r="U30" s="1"/>
      <c r="V30" s="5">
        <f t="shared" ref="V30:V40" si="21">IF(T$12=0,0,T30/T$12)</f>
        <v>0</v>
      </c>
      <c r="W30" s="1"/>
      <c r="X30" s="1">
        <f t="shared" ref="X30:X40" si="22">+P30-T30</f>
        <v>-773.72615384614983</v>
      </c>
      <c r="Y30" s="1"/>
      <c r="Z30" s="5">
        <f t="shared" ref="Z30:Z40" si="23">IF(T30=0,0,X30/T30)</f>
        <v>-0.13422291826131083</v>
      </c>
    </row>
    <row r="31" spans="1:26" s="24" customFormat="1" hidden="1" outlineLevel="2" x14ac:dyDescent="0.3">
      <c r="A31" s="29"/>
      <c r="B31" s="11" t="str">
        <f>CONCATENATE("          ", "6001", " - ", "ADMINISTRATIVE SALARIES")</f>
        <v xml:space="preserve">          6001 - ADMINISTRATIVE SALARIES</v>
      </c>
      <c r="C31" s="11"/>
      <c r="D31" s="8"/>
      <c r="E31" s="3"/>
      <c r="F31" s="7">
        <f t="shared" si="16"/>
        <v>0</v>
      </c>
      <c r="G31" s="3"/>
      <c r="H31" s="8">
        <v>0</v>
      </c>
      <c r="I31" s="3"/>
      <c r="J31" s="7">
        <f t="shared" si="17"/>
        <v>0</v>
      </c>
      <c r="K31" s="3"/>
      <c r="L31" s="8">
        <f t="shared" si="18"/>
        <v>0</v>
      </c>
      <c r="M31" s="3"/>
      <c r="N31" s="7">
        <f t="shared" si="19"/>
        <v>0</v>
      </c>
      <c r="O31" s="11"/>
      <c r="P31" s="8"/>
      <c r="Q31" s="3"/>
      <c r="R31" s="7">
        <f t="shared" si="20"/>
        <v>0</v>
      </c>
      <c r="S31" s="3"/>
      <c r="T31" s="8">
        <v>0</v>
      </c>
      <c r="U31" s="3"/>
      <c r="V31" s="7">
        <f t="shared" si="21"/>
        <v>0</v>
      </c>
      <c r="W31" s="3"/>
      <c r="X31" s="8">
        <f t="shared" si="22"/>
        <v>0</v>
      </c>
      <c r="Y31" s="3"/>
      <c r="Z31" s="7">
        <f t="shared" si="23"/>
        <v>0</v>
      </c>
    </row>
    <row r="32" spans="1:26" s="24" customFormat="1" hidden="1" outlineLevel="2" x14ac:dyDescent="0.3">
      <c r="A32" s="29"/>
      <c r="B32" s="11" t="str">
        <f>CONCATENATE("          ", "6002", " - ", "STAFF SALARIES")</f>
        <v xml:space="preserve">          6002 - STAFF SALARIES</v>
      </c>
      <c r="C32" s="11"/>
      <c r="D32" s="8">
        <v>4576.76</v>
      </c>
      <c r="E32" s="3"/>
      <c r="F32" s="7">
        <f t="shared" si="16"/>
        <v>0</v>
      </c>
      <c r="G32" s="3"/>
      <c r="H32" s="8">
        <v>5316.3461538461497</v>
      </c>
      <c r="I32" s="3"/>
      <c r="J32" s="7">
        <f t="shared" si="17"/>
        <v>0</v>
      </c>
      <c r="K32" s="3"/>
      <c r="L32" s="8">
        <f t="shared" si="18"/>
        <v>-739.5861538461495</v>
      </c>
      <c r="M32" s="3"/>
      <c r="N32" s="7">
        <f t="shared" si="19"/>
        <v>-0.13911550009043155</v>
      </c>
      <c r="O32" s="11"/>
      <c r="P32" s="8">
        <v>4576.76</v>
      </c>
      <c r="Q32" s="3"/>
      <c r="R32" s="7">
        <f t="shared" si="20"/>
        <v>0</v>
      </c>
      <c r="S32" s="3"/>
      <c r="T32" s="8">
        <v>5316.3461538461497</v>
      </c>
      <c r="U32" s="3"/>
      <c r="V32" s="7">
        <f t="shared" si="21"/>
        <v>0</v>
      </c>
      <c r="W32" s="3"/>
      <c r="X32" s="8">
        <f t="shared" si="22"/>
        <v>-739.5861538461495</v>
      </c>
      <c r="Y32" s="3"/>
      <c r="Z32" s="7">
        <f t="shared" si="23"/>
        <v>-0.13911550009043155</v>
      </c>
    </row>
    <row r="33" spans="1:26" s="24" customFormat="1" hidden="1" outlineLevel="2" x14ac:dyDescent="0.3">
      <c r="A33" s="29"/>
      <c r="B33" s="11" t="str">
        <f>CONCATENATE("          ", "6003", " - ", "STAFF HOURLY-9 MONTH")</f>
        <v xml:space="preserve">          6003 - STAFF HOURLY-9 MONTH</v>
      </c>
      <c r="C33" s="11"/>
      <c r="D33" s="8"/>
      <c r="E33" s="3"/>
      <c r="F33" s="7">
        <f t="shared" si="16"/>
        <v>0</v>
      </c>
      <c r="G33" s="3"/>
      <c r="H33" s="8">
        <v>0</v>
      </c>
      <c r="I33" s="3"/>
      <c r="J33" s="7">
        <f t="shared" si="17"/>
        <v>0</v>
      </c>
      <c r="K33" s="3"/>
      <c r="L33" s="8">
        <f t="shared" si="18"/>
        <v>0</v>
      </c>
      <c r="M33" s="3"/>
      <c r="N33" s="7">
        <f t="shared" si="19"/>
        <v>0</v>
      </c>
      <c r="O33" s="11"/>
      <c r="P33" s="8"/>
      <c r="Q33" s="3"/>
      <c r="R33" s="7">
        <f t="shared" si="20"/>
        <v>0</v>
      </c>
      <c r="S33" s="3"/>
      <c r="T33" s="8">
        <v>0</v>
      </c>
      <c r="U33" s="3"/>
      <c r="V33" s="7">
        <f t="shared" si="21"/>
        <v>0</v>
      </c>
      <c r="W33" s="3"/>
      <c r="X33" s="8">
        <f t="shared" si="22"/>
        <v>0</v>
      </c>
      <c r="Y33" s="3"/>
      <c r="Z33" s="7">
        <f t="shared" si="23"/>
        <v>0</v>
      </c>
    </row>
    <row r="34" spans="1:26" s="24" customFormat="1" hidden="1" outlineLevel="2" x14ac:dyDescent="0.3">
      <c r="A34" s="29"/>
      <c r="B34" s="11" t="str">
        <f>CONCATENATE("          ", "6004", " - ", "STAFF HOURLY")</f>
        <v xml:space="preserve">          6004 - STAFF HOURLY</v>
      </c>
      <c r="C34" s="11"/>
      <c r="D34" s="8"/>
      <c r="E34" s="3"/>
      <c r="F34" s="7">
        <f t="shared" si="16"/>
        <v>0</v>
      </c>
      <c r="G34" s="3"/>
      <c r="H34" s="8">
        <v>0</v>
      </c>
      <c r="I34" s="3"/>
      <c r="J34" s="7">
        <f t="shared" si="17"/>
        <v>0</v>
      </c>
      <c r="K34" s="3"/>
      <c r="L34" s="8">
        <f t="shared" si="18"/>
        <v>0</v>
      </c>
      <c r="M34" s="3"/>
      <c r="N34" s="7">
        <f t="shared" si="19"/>
        <v>0</v>
      </c>
      <c r="O34" s="11"/>
      <c r="P34" s="8"/>
      <c r="Q34" s="3"/>
      <c r="R34" s="7">
        <f t="shared" si="20"/>
        <v>0</v>
      </c>
      <c r="S34" s="3"/>
      <c r="T34" s="8">
        <v>0</v>
      </c>
      <c r="U34" s="3"/>
      <c r="V34" s="7">
        <f t="shared" si="21"/>
        <v>0</v>
      </c>
      <c r="W34" s="3"/>
      <c r="X34" s="8">
        <f t="shared" si="22"/>
        <v>0</v>
      </c>
      <c r="Y34" s="3"/>
      <c r="Z34" s="7">
        <f t="shared" si="23"/>
        <v>0</v>
      </c>
    </row>
    <row r="35" spans="1:26" s="24" customFormat="1" hidden="1" outlineLevel="2" x14ac:dyDescent="0.3">
      <c r="A35" s="29"/>
      <c r="B35" s="11" t="str">
        <f>CONCATENATE("          ", "6005", " - ", "TEMPORARY WAGES-HOURLY")</f>
        <v xml:space="preserve">          6005 - TEMPORARY WAGES-HOURLY</v>
      </c>
      <c r="C35" s="11"/>
      <c r="D35" s="8"/>
      <c r="E35" s="3"/>
      <c r="F35" s="7">
        <f t="shared" si="16"/>
        <v>0</v>
      </c>
      <c r="G35" s="3"/>
      <c r="H35" s="8">
        <v>448.14</v>
      </c>
      <c r="I35" s="3"/>
      <c r="J35" s="7">
        <f t="shared" si="17"/>
        <v>0</v>
      </c>
      <c r="K35" s="3"/>
      <c r="L35" s="8">
        <f t="shared" si="18"/>
        <v>-448.14</v>
      </c>
      <c r="M35" s="3"/>
      <c r="N35" s="7">
        <f t="shared" si="19"/>
        <v>-1</v>
      </c>
      <c r="O35" s="11"/>
      <c r="P35" s="8"/>
      <c r="Q35" s="3"/>
      <c r="R35" s="7">
        <f t="shared" si="20"/>
        <v>0</v>
      </c>
      <c r="S35" s="3"/>
      <c r="T35" s="8">
        <v>448.14</v>
      </c>
      <c r="U35" s="3"/>
      <c r="V35" s="7">
        <f t="shared" si="21"/>
        <v>0</v>
      </c>
      <c r="W35" s="3"/>
      <c r="X35" s="8">
        <f t="shared" si="22"/>
        <v>-448.14</v>
      </c>
      <c r="Y35" s="3"/>
      <c r="Z35" s="7">
        <f t="shared" si="23"/>
        <v>-1</v>
      </c>
    </row>
    <row r="36" spans="1:26" s="24" customFormat="1" hidden="1" outlineLevel="2" x14ac:dyDescent="0.3">
      <c r="A36" s="29"/>
      <c r="B36" s="11" t="str">
        <f>CONCATENATE("          ", "6006", " - ", "TEMPORARY PART TIME")</f>
        <v xml:space="preserve">          6006 - TEMPORARY PART TIME</v>
      </c>
      <c r="C36" s="11"/>
      <c r="D36" s="8"/>
      <c r="E36" s="3"/>
      <c r="F36" s="7">
        <f t="shared" si="16"/>
        <v>0</v>
      </c>
      <c r="G36" s="3"/>
      <c r="H36" s="8">
        <v>0</v>
      </c>
      <c r="I36" s="3"/>
      <c r="J36" s="7">
        <f t="shared" si="17"/>
        <v>0</v>
      </c>
      <c r="K36" s="3"/>
      <c r="L36" s="8">
        <f t="shared" si="18"/>
        <v>0</v>
      </c>
      <c r="M36" s="3"/>
      <c r="N36" s="7">
        <f t="shared" si="19"/>
        <v>0</v>
      </c>
      <c r="O36" s="11"/>
      <c r="P36" s="8"/>
      <c r="Q36" s="3"/>
      <c r="R36" s="7">
        <f t="shared" si="20"/>
        <v>0</v>
      </c>
      <c r="S36" s="3"/>
      <c r="T36" s="8">
        <v>0</v>
      </c>
      <c r="U36" s="3"/>
      <c r="V36" s="7">
        <f t="shared" si="21"/>
        <v>0</v>
      </c>
      <c r="W36" s="3"/>
      <c r="X36" s="8">
        <f t="shared" si="22"/>
        <v>0</v>
      </c>
      <c r="Y36" s="3"/>
      <c r="Z36" s="7">
        <f t="shared" si="23"/>
        <v>0</v>
      </c>
    </row>
    <row r="37" spans="1:26" s="24" customFormat="1" hidden="1" outlineLevel="2" x14ac:dyDescent="0.3">
      <c r="A37" s="29"/>
      <c r="B37" s="11" t="str">
        <f>CONCATENATE("          ", "6007", " - ", "STUDENT HOURLY")</f>
        <v xml:space="preserve">          6007 - STUDENT HOURLY</v>
      </c>
      <c r="C37" s="11"/>
      <c r="D37" s="8">
        <v>414</v>
      </c>
      <c r="E37" s="3"/>
      <c r="F37" s="7">
        <f t="shared" si="16"/>
        <v>0</v>
      </c>
      <c r="G37" s="3"/>
      <c r="H37" s="8">
        <v>0</v>
      </c>
      <c r="I37" s="3"/>
      <c r="J37" s="7">
        <f t="shared" si="17"/>
        <v>0</v>
      </c>
      <c r="K37" s="3"/>
      <c r="L37" s="8">
        <f t="shared" si="18"/>
        <v>414</v>
      </c>
      <c r="M37" s="3"/>
      <c r="N37" s="7">
        <f t="shared" si="19"/>
        <v>0</v>
      </c>
      <c r="O37" s="11"/>
      <c r="P37" s="8">
        <v>414</v>
      </c>
      <c r="Q37" s="3"/>
      <c r="R37" s="7">
        <f t="shared" si="20"/>
        <v>0</v>
      </c>
      <c r="S37" s="3"/>
      <c r="T37" s="8">
        <v>0</v>
      </c>
      <c r="U37" s="3"/>
      <c r="V37" s="7">
        <f t="shared" si="21"/>
        <v>0</v>
      </c>
      <c r="W37" s="3"/>
      <c r="X37" s="8">
        <f t="shared" si="22"/>
        <v>414</v>
      </c>
      <c r="Y37" s="3"/>
      <c r="Z37" s="7">
        <f t="shared" si="23"/>
        <v>0</v>
      </c>
    </row>
    <row r="38" spans="1:26" s="24" customFormat="1" hidden="1" outlineLevel="2" x14ac:dyDescent="0.3">
      <c r="A38" s="29"/>
      <c r="B38" s="11" t="str">
        <f>CONCATENATE("          ", "6008", " - ", "STUDENT HOURLY-FICA EXEMPT")</f>
        <v xml:space="preserve">          6008 - STUDENT HOURLY-FICA EXEMPT</v>
      </c>
      <c r="C38" s="11"/>
      <c r="D38" s="8"/>
      <c r="E38" s="3"/>
      <c r="F38" s="7">
        <f t="shared" si="16"/>
        <v>0</v>
      </c>
      <c r="G38" s="3"/>
      <c r="H38" s="8">
        <v>0</v>
      </c>
      <c r="I38" s="3"/>
      <c r="J38" s="7">
        <f t="shared" si="17"/>
        <v>0</v>
      </c>
      <c r="K38" s="3"/>
      <c r="L38" s="8">
        <f t="shared" si="18"/>
        <v>0</v>
      </c>
      <c r="M38" s="3"/>
      <c r="N38" s="7">
        <f t="shared" si="19"/>
        <v>0</v>
      </c>
      <c r="O38" s="11"/>
      <c r="P38" s="8"/>
      <c r="Q38" s="3"/>
      <c r="R38" s="7">
        <f t="shared" si="20"/>
        <v>0</v>
      </c>
      <c r="S38" s="3"/>
      <c r="T38" s="8">
        <v>0</v>
      </c>
      <c r="U38" s="3"/>
      <c r="V38" s="7">
        <f t="shared" si="21"/>
        <v>0</v>
      </c>
      <c r="W38" s="3"/>
      <c r="X38" s="8">
        <f t="shared" si="22"/>
        <v>0</v>
      </c>
      <c r="Y38" s="3"/>
      <c r="Z38" s="7">
        <f t="shared" si="23"/>
        <v>0</v>
      </c>
    </row>
    <row r="39" spans="1:26" s="24" customFormat="1" hidden="1" outlineLevel="2" x14ac:dyDescent="0.3">
      <c r="A39" s="29"/>
      <c r="B39" s="11" t="str">
        <f>CONCATENATE("          ", "6009", " - ", "TEMPORARY-SEASONAL")</f>
        <v xml:space="preserve">          6009 - TEMPORARY-SEASONAL</v>
      </c>
      <c r="C39" s="11"/>
      <c r="D39" s="8"/>
      <c r="E39" s="3"/>
      <c r="F39" s="7">
        <f t="shared" si="16"/>
        <v>0</v>
      </c>
      <c r="G39" s="3"/>
      <c r="H39" s="8">
        <v>0</v>
      </c>
      <c r="I39" s="3"/>
      <c r="J39" s="7">
        <f t="shared" si="17"/>
        <v>0</v>
      </c>
      <c r="K39" s="3"/>
      <c r="L39" s="8">
        <f t="shared" si="18"/>
        <v>0</v>
      </c>
      <c r="M39" s="3"/>
      <c r="N39" s="7">
        <f t="shared" si="19"/>
        <v>0</v>
      </c>
      <c r="O39" s="11"/>
      <c r="P39" s="8"/>
      <c r="Q39" s="3"/>
      <c r="R39" s="7">
        <f t="shared" si="20"/>
        <v>0</v>
      </c>
      <c r="S39" s="3"/>
      <c r="T39" s="8">
        <v>0</v>
      </c>
      <c r="U39" s="3"/>
      <c r="V39" s="7">
        <f t="shared" si="21"/>
        <v>0</v>
      </c>
      <c r="W39" s="3"/>
      <c r="X39" s="8">
        <f t="shared" si="22"/>
        <v>0</v>
      </c>
      <c r="Y39" s="3"/>
      <c r="Z39" s="7">
        <f t="shared" si="23"/>
        <v>0</v>
      </c>
    </row>
    <row r="40" spans="1:26" s="24" customFormat="1" hidden="1" outlineLevel="2" x14ac:dyDescent="0.3">
      <c r="A40" s="29"/>
      <c r="B40" s="11" t="str">
        <f>CONCATENATE("          ", "6010", " - ", "GRATUITY")</f>
        <v xml:space="preserve">          6010 - GRATUITY</v>
      </c>
      <c r="C40" s="11"/>
      <c r="D40" s="8"/>
      <c r="E40" s="3"/>
      <c r="F40" s="7">
        <f t="shared" si="16"/>
        <v>0</v>
      </c>
      <c r="G40" s="3"/>
      <c r="H40" s="8">
        <v>0</v>
      </c>
      <c r="I40" s="3"/>
      <c r="J40" s="7">
        <f t="shared" si="17"/>
        <v>0</v>
      </c>
      <c r="K40" s="3"/>
      <c r="L40" s="8">
        <f t="shared" si="18"/>
        <v>0</v>
      </c>
      <c r="M40" s="3"/>
      <c r="N40" s="7">
        <f t="shared" si="19"/>
        <v>0</v>
      </c>
      <c r="O40" s="11"/>
      <c r="P40" s="8"/>
      <c r="Q40" s="3"/>
      <c r="R40" s="7">
        <f t="shared" si="20"/>
        <v>0</v>
      </c>
      <c r="S40" s="3"/>
      <c r="T40" s="8">
        <v>0</v>
      </c>
      <c r="U40" s="3"/>
      <c r="V40" s="7">
        <f t="shared" si="21"/>
        <v>0</v>
      </c>
      <c r="W40" s="3"/>
      <c r="X40" s="8">
        <f t="shared" si="22"/>
        <v>0</v>
      </c>
      <c r="Y40" s="3"/>
      <c r="Z40" s="7">
        <f t="shared" si="23"/>
        <v>0</v>
      </c>
    </row>
    <row r="41" spans="1:26" s="27" customFormat="1" outlineLevel="1" collapsed="1" x14ac:dyDescent="0.3">
      <c r="A41" s="28"/>
      <c r="B41" s="14" t="str">
        <f>CONCATENATE("     ","Advertising/Promo                                 ")</f>
        <v xml:space="preserve">     Advertising/Promo                                 </v>
      </c>
      <c r="C41" s="14"/>
      <c r="D41" s="1">
        <f>SUM(OSRRefD22_2x_0)</f>
        <v>48.14</v>
      </c>
      <c r="E41" s="1"/>
      <c r="F41" s="5">
        <f t="shared" ref="F41:F47" si="24">IF(D$12=0,0,D41/D$12)</f>
        <v>0</v>
      </c>
      <c r="G41" s="1"/>
      <c r="H41" s="1">
        <f>SUM(OSRRefH22_2x_0)</f>
        <v>0</v>
      </c>
      <c r="I41" s="1"/>
      <c r="J41" s="5">
        <f t="shared" ref="J41:J47" si="25">IF(H$12=0,0,H41/H$12)</f>
        <v>0</v>
      </c>
      <c r="K41" s="1"/>
      <c r="L41" s="1">
        <f t="shared" ref="L41:L47" si="26">+D41-H41</f>
        <v>48.14</v>
      </c>
      <c r="M41" s="1"/>
      <c r="N41" s="5">
        <f t="shared" ref="N41:N47" si="27">IF(H41=0,0,L41/H41)</f>
        <v>0</v>
      </c>
      <c r="O41" s="14"/>
      <c r="P41" s="1">
        <f>SUM(OSRRefP22_2x_0)</f>
        <v>48.14</v>
      </c>
      <c r="Q41" s="1"/>
      <c r="R41" s="5">
        <f t="shared" ref="R41:R47" si="28">IF(P$12=0,0,P41/P$12)</f>
        <v>0</v>
      </c>
      <c r="S41" s="1"/>
      <c r="T41" s="1">
        <f>SUM(OSRRefT22_2x_0)</f>
        <v>0</v>
      </c>
      <c r="U41" s="1"/>
      <c r="V41" s="5">
        <f t="shared" ref="V41:V47" si="29">IF(T$12=0,0,T41/T$12)</f>
        <v>0</v>
      </c>
      <c r="W41" s="1"/>
      <c r="X41" s="1">
        <f t="shared" ref="X41:X47" si="30">+P41-T41</f>
        <v>48.14</v>
      </c>
      <c r="Y41" s="1"/>
      <c r="Z41" s="5">
        <f t="shared" ref="Z41:Z47" si="31">IF(T41=0,0,X41/T41)</f>
        <v>0</v>
      </c>
    </row>
    <row r="42" spans="1:26" s="24" customFormat="1" hidden="1" outlineLevel="2" x14ac:dyDescent="0.3">
      <c r="A42" s="29"/>
      <c r="B42" s="11" t="str">
        <f>CONCATENATE("          ", "6362", " - ", "ADVERTISING EXPENSE")</f>
        <v xml:space="preserve">          6362 - ADVERTISING EXPENSE</v>
      </c>
      <c r="C42" s="11"/>
      <c r="D42" s="8">
        <v>48.14</v>
      </c>
      <c r="E42" s="3"/>
      <c r="F42" s="7">
        <f t="shared" si="24"/>
        <v>0</v>
      </c>
      <c r="G42" s="3"/>
      <c r="H42" s="8"/>
      <c r="I42" s="3"/>
      <c r="J42" s="7">
        <f t="shared" si="25"/>
        <v>0</v>
      </c>
      <c r="K42" s="3"/>
      <c r="L42" s="8">
        <f t="shared" si="26"/>
        <v>48.14</v>
      </c>
      <c r="M42" s="3"/>
      <c r="N42" s="7">
        <f t="shared" si="27"/>
        <v>0</v>
      </c>
      <c r="O42" s="11"/>
      <c r="P42" s="8">
        <v>48.14</v>
      </c>
      <c r="Q42" s="3"/>
      <c r="R42" s="7">
        <f t="shared" si="28"/>
        <v>0</v>
      </c>
      <c r="S42" s="3"/>
      <c r="T42" s="8"/>
      <c r="U42" s="3"/>
      <c r="V42" s="7">
        <f t="shared" si="29"/>
        <v>0</v>
      </c>
      <c r="W42" s="3"/>
      <c r="X42" s="8">
        <f t="shared" si="30"/>
        <v>48.14</v>
      </c>
      <c r="Y42" s="3"/>
      <c r="Z42" s="7">
        <f t="shared" si="31"/>
        <v>0</v>
      </c>
    </row>
    <row r="43" spans="1:26" s="27" customFormat="1" outlineLevel="1" collapsed="1" x14ac:dyDescent="0.3">
      <c r="A43" s="28"/>
      <c r="B43" s="14" t="str">
        <f>CONCATENATE("     ","Bank/card Fees                                    ")</f>
        <v xml:space="preserve">     Bank/card Fees                                    </v>
      </c>
      <c r="C43" s="14"/>
      <c r="D43" s="1">
        <f>SUM(OSRRefD22_3x_0)</f>
        <v>0</v>
      </c>
      <c r="E43" s="1"/>
      <c r="F43" s="5">
        <f t="shared" si="24"/>
        <v>0</v>
      </c>
      <c r="G43" s="1"/>
      <c r="H43" s="1">
        <f>SUM(OSRRefH22_3x_0)</f>
        <v>0</v>
      </c>
      <c r="I43" s="1"/>
      <c r="J43" s="5">
        <f t="shared" si="25"/>
        <v>0</v>
      </c>
      <c r="K43" s="1"/>
      <c r="L43" s="1">
        <f t="shared" si="26"/>
        <v>0</v>
      </c>
      <c r="M43" s="1"/>
      <c r="N43" s="5">
        <f t="shared" si="27"/>
        <v>0</v>
      </c>
      <c r="O43" s="14"/>
      <c r="P43" s="1">
        <f>SUM(OSRRefP22_3x_0)</f>
        <v>0</v>
      </c>
      <c r="Q43" s="1"/>
      <c r="R43" s="5">
        <f t="shared" si="28"/>
        <v>0</v>
      </c>
      <c r="S43" s="1"/>
      <c r="T43" s="1">
        <f>SUM(OSRRefT22_3x_0)</f>
        <v>0</v>
      </c>
      <c r="U43" s="1"/>
      <c r="V43" s="5">
        <f t="shared" si="29"/>
        <v>0</v>
      </c>
      <c r="W43" s="1"/>
      <c r="X43" s="1">
        <f t="shared" si="30"/>
        <v>0</v>
      </c>
      <c r="Y43" s="1"/>
      <c r="Z43" s="5">
        <f t="shared" si="31"/>
        <v>0</v>
      </c>
    </row>
    <row r="44" spans="1:26" s="24" customFormat="1" hidden="1" outlineLevel="2" x14ac:dyDescent="0.3">
      <c r="A44" s="29"/>
      <c r="B44" s="11" t="str">
        <f>CONCATENATE("          ", "6381", " - ", "BANK/CREDIT CARD FEES")</f>
        <v xml:space="preserve">          6381 - BANK/CREDIT CARD FEES</v>
      </c>
      <c r="C44" s="11"/>
      <c r="D44" s="8"/>
      <c r="E44" s="3"/>
      <c r="F44" s="7">
        <f t="shared" si="24"/>
        <v>0</v>
      </c>
      <c r="G44" s="3"/>
      <c r="H44" s="8">
        <v>0</v>
      </c>
      <c r="I44" s="3"/>
      <c r="J44" s="7">
        <f t="shared" si="25"/>
        <v>0</v>
      </c>
      <c r="K44" s="3"/>
      <c r="L44" s="8">
        <f t="shared" si="26"/>
        <v>0</v>
      </c>
      <c r="M44" s="3"/>
      <c r="N44" s="7">
        <f t="shared" si="27"/>
        <v>0</v>
      </c>
      <c r="O44" s="11"/>
      <c r="P44" s="8"/>
      <c r="Q44" s="3"/>
      <c r="R44" s="7">
        <f t="shared" si="28"/>
        <v>0</v>
      </c>
      <c r="S44" s="3"/>
      <c r="T44" s="8">
        <v>0</v>
      </c>
      <c r="U44" s="3"/>
      <c r="V44" s="7">
        <f t="shared" si="29"/>
        <v>0</v>
      </c>
      <c r="W44" s="3"/>
      <c r="X44" s="8">
        <f t="shared" si="30"/>
        <v>0</v>
      </c>
      <c r="Y44" s="3"/>
      <c r="Z44" s="7">
        <f t="shared" si="31"/>
        <v>0</v>
      </c>
    </row>
    <row r="45" spans="1:26" s="27" customFormat="1" outlineLevel="1" collapsed="1" x14ac:dyDescent="0.3">
      <c r="A45" s="28"/>
      <c r="B45" s="14" t="str">
        <f>CONCATENATE("     ","Depreciation                                      ")</f>
        <v xml:space="preserve">     Depreciation                                      </v>
      </c>
      <c r="C45" s="14"/>
      <c r="D45" s="1">
        <f>SUM(OSRRefD22_4x_0)</f>
        <v>4626.5</v>
      </c>
      <c r="E45" s="1"/>
      <c r="F45" s="5">
        <f t="shared" si="24"/>
        <v>0</v>
      </c>
      <c r="G45" s="1"/>
      <c r="H45" s="1">
        <f>SUM(OSRRefH22_4x_0)</f>
        <v>4733</v>
      </c>
      <c r="I45" s="1"/>
      <c r="J45" s="5">
        <f t="shared" si="25"/>
        <v>0</v>
      </c>
      <c r="K45" s="1"/>
      <c r="L45" s="1">
        <f t="shared" si="26"/>
        <v>-106.5</v>
      </c>
      <c r="M45" s="1"/>
      <c r="N45" s="5">
        <f t="shared" si="27"/>
        <v>-2.2501584618635113E-2</v>
      </c>
      <c r="O45" s="14"/>
      <c r="P45" s="1">
        <f>SUM(OSRRefP22_4x_0)</f>
        <v>4626.5</v>
      </c>
      <c r="Q45" s="1"/>
      <c r="R45" s="5">
        <f t="shared" si="28"/>
        <v>0</v>
      </c>
      <c r="S45" s="1"/>
      <c r="T45" s="1">
        <f>SUM(OSRRefT22_4x_0)</f>
        <v>4733</v>
      </c>
      <c r="U45" s="1"/>
      <c r="V45" s="5">
        <f t="shared" si="29"/>
        <v>0</v>
      </c>
      <c r="W45" s="1"/>
      <c r="X45" s="1">
        <f t="shared" si="30"/>
        <v>-106.5</v>
      </c>
      <c r="Y45" s="1"/>
      <c r="Z45" s="5">
        <f t="shared" si="31"/>
        <v>-2.2501584618635113E-2</v>
      </c>
    </row>
    <row r="46" spans="1:26" s="24" customFormat="1" hidden="1" outlineLevel="2" x14ac:dyDescent="0.3">
      <c r="A46" s="29"/>
      <c r="B46" s="11" t="str">
        <f>CONCATENATE("          ", "6321", " - ", "BUILDING DEPRECIATION")</f>
        <v xml:space="preserve">          6321 - BUILDING DEPRECIATION</v>
      </c>
      <c r="C46" s="11"/>
      <c r="D46" s="8">
        <v>4626.5</v>
      </c>
      <c r="E46" s="3"/>
      <c r="F46" s="7">
        <f t="shared" si="24"/>
        <v>0</v>
      </c>
      <c r="G46" s="3"/>
      <c r="H46" s="8"/>
      <c r="I46" s="3"/>
      <c r="J46" s="7">
        <f t="shared" si="25"/>
        <v>0</v>
      </c>
      <c r="K46" s="3"/>
      <c r="L46" s="8">
        <f t="shared" si="26"/>
        <v>4626.5</v>
      </c>
      <c r="M46" s="3"/>
      <c r="N46" s="7">
        <f t="shared" si="27"/>
        <v>0</v>
      </c>
      <c r="O46" s="11"/>
      <c r="P46" s="8">
        <v>4626.5</v>
      </c>
      <c r="Q46" s="3"/>
      <c r="R46" s="7">
        <f t="shared" si="28"/>
        <v>0</v>
      </c>
      <c r="S46" s="3"/>
      <c r="T46" s="8"/>
      <c r="U46" s="3"/>
      <c r="V46" s="7">
        <f t="shared" si="29"/>
        <v>0</v>
      </c>
      <c r="W46" s="3"/>
      <c r="X46" s="8">
        <f t="shared" si="30"/>
        <v>4626.5</v>
      </c>
      <c r="Y46" s="3"/>
      <c r="Z46" s="7">
        <f t="shared" si="31"/>
        <v>0</v>
      </c>
    </row>
    <row r="47" spans="1:26" s="24" customFormat="1" hidden="1" outlineLevel="2" x14ac:dyDescent="0.3">
      <c r="A47" s="29"/>
      <c r="B47" s="11" t="str">
        <f>CONCATENATE("          ", "6322", " - ", "EQUIPMENT DEPRECIATION EXPENSE")</f>
        <v xml:space="preserve">          6322 - EQUIPMENT DEPRECIATION EXPENSE</v>
      </c>
      <c r="C47" s="11"/>
      <c r="D47" s="8"/>
      <c r="E47" s="3"/>
      <c r="F47" s="7">
        <f t="shared" si="24"/>
        <v>0</v>
      </c>
      <c r="G47" s="3"/>
      <c r="H47" s="8">
        <v>4733</v>
      </c>
      <c r="I47" s="3"/>
      <c r="J47" s="7">
        <f t="shared" si="25"/>
        <v>0</v>
      </c>
      <c r="K47" s="3"/>
      <c r="L47" s="8">
        <f t="shared" si="26"/>
        <v>-4733</v>
      </c>
      <c r="M47" s="3"/>
      <c r="N47" s="7">
        <f t="shared" si="27"/>
        <v>-1</v>
      </c>
      <c r="O47" s="11"/>
      <c r="P47" s="8"/>
      <c r="Q47" s="3"/>
      <c r="R47" s="7">
        <f t="shared" si="28"/>
        <v>0</v>
      </c>
      <c r="S47" s="3"/>
      <c r="T47" s="8">
        <v>4733</v>
      </c>
      <c r="U47" s="3"/>
      <c r="V47" s="7">
        <f t="shared" si="29"/>
        <v>0</v>
      </c>
      <c r="W47" s="3"/>
      <c r="X47" s="8">
        <f t="shared" si="30"/>
        <v>-4733</v>
      </c>
      <c r="Y47" s="3"/>
      <c r="Z47" s="7">
        <f t="shared" si="31"/>
        <v>-1</v>
      </c>
    </row>
    <row r="48" spans="1:26" s="27" customFormat="1" outlineLevel="1" collapsed="1" x14ac:dyDescent="0.3">
      <c r="A48" s="28"/>
      <c r="B48" s="14" t="str">
        <f>CONCATENATE("     ","Rent                                              ")</f>
        <v xml:space="preserve">     Rent                                              </v>
      </c>
      <c r="C48" s="14"/>
      <c r="D48" s="1">
        <f>SUM(OSRRefD22_5x_0)</f>
        <v>1850</v>
      </c>
      <c r="E48" s="1"/>
      <c r="F48" s="5">
        <f t="shared" ref="F48:F52" si="32">IF(D$12=0,0,D48/D$12)</f>
        <v>0</v>
      </c>
      <c r="G48" s="1"/>
      <c r="H48" s="1">
        <f>SUM(OSRRefH22_5x_0)</f>
        <v>1850</v>
      </c>
      <c r="I48" s="1"/>
      <c r="J48" s="5">
        <f t="shared" ref="J48:J52" si="33">IF(H$12=0,0,H48/H$12)</f>
        <v>0</v>
      </c>
      <c r="K48" s="1"/>
      <c r="L48" s="1">
        <f t="shared" ref="L48:L52" si="34">+D48-H48</f>
        <v>0</v>
      </c>
      <c r="M48" s="1"/>
      <c r="N48" s="5">
        <f t="shared" ref="N48:N52" si="35">IF(H48=0,0,L48/H48)</f>
        <v>0</v>
      </c>
      <c r="O48" s="14"/>
      <c r="P48" s="1">
        <f>SUM(OSRRefP22_5x_0)</f>
        <v>1850</v>
      </c>
      <c r="Q48" s="1"/>
      <c r="R48" s="5">
        <f t="shared" ref="R48:R52" si="36">IF(P$12=0,0,P48/P$12)</f>
        <v>0</v>
      </c>
      <c r="S48" s="1"/>
      <c r="T48" s="1">
        <f>SUM(OSRRefT22_5x_0)</f>
        <v>1850</v>
      </c>
      <c r="U48" s="1"/>
      <c r="V48" s="5">
        <f t="shared" ref="V48:V52" si="37">IF(T$12=0,0,T48/T$12)</f>
        <v>0</v>
      </c>
      <c r="W48" s="1"/>
      <c r="X48" s="1">
        <f t="shared" ref="X48:X52" si="38">+P48-T48</f>
        <v>0</v>
      </c>
      <c r="Y48" s="1"/>
      <c r="Z48" s="5">
        <f t="shared" ref="Z48:Z52" si="39">IF(T48=0,0,X48/T48)</f>
        <v>0</v>
      </c>
    </row>
    <row r="49" spans="1:26" s="24" customFormat="1" hidden="1" outlineLevel="2" x14ac:dyDescent="0.3">
      <c r="A49" s="29"/>
      <c r="B49" s="11" t="str">
        <f>CONCATENATE("          ", "6273", " - ", "RENT")</f>
        <v xml:space="preserve">          6273 - RENT</v>
      </c>
      <c r="C49" s="11"/>
      <c r="D49" s="8">
        <v>1850</v>
      </c>
      <c r="E49" s="3"/>
      <c r="F49" s="7">
        <f t="shared" si="32"/>
        <v>0</v>
      </c>
      <c r="G49" s="3"/>
      <c r="H49" s="8">
        <v>1850</v>
      </c>
      <c r="I49" s="3"/>
      <c r="J49" s="7">
        <f t="shared" si="33"/>
        <v>0</v>
      </c>
      <c r="K49" s="3"/>
      <c r="L49" s="8">
        <f t="shared" si="34"/>
        <v>0</v>
      </c>
      <c r="M49" s="3"/>
      <c r="N49" s="7">
        <f t="shared" si="35"/>
        <v>0</v>
      </c>
      <c r="O49" s="11"/>
      <c r="P49" s="8">
        <v>1850</v>
      </c>
      <c r="Q49" s="3"/>
      <c r="R49" s="7">
        <f t="shared" si="36"/>
        <v>0</v>
      </c>
      <c r="S49" s="3"/>
      <c r="T49" s="8">
        <v>1850</v>
      </c>
      <c r="U49" s="3"/>
      <c r="V49" s="7">
        <f t="shared" si="37"/>
        <v>0</v>
      </c>
      <c r="W49" s="3"/>
      <c r="X49" s="8">
        <f t="shared" si="38"/>
        <v>0</v>
      </c>
      <c r="Y49" s="3"/>
      <c r="Z49" s="7">
        <f t="shared" si="39"/>
        <v>0</v>
      </c>
    </row>
    <row r="50" spans="1:26" s="27" customFormat="1" outlineLevel="1" collapsed="1" x14ac:dyDescent="0.3">
      <c r="A50" s="28"/>
      <c r="B50" s="14" t="str">
        <f>CONCATENATE("     ","Repair and Maintenance                            ")</f>
        <v xml:space="preserve">     Repair and Maintenance                            </v>
      </c>
      <c r="C50" s="14"/>
      <c r="D50" s="1">
        <f>SUM(OSRRefD22_6x_0)</f>
        <v>130.94999999999999</v>
      </c>
      <c r="E50" s="1"/>
      <c r="F50" s="5">
        <f t="shared" si="32"/>
        <v>0</v>
      </c>
      <c r="G50" s="1"/>
      <c r="H50" s="1">
        <f>SUM(OSRRefH22_6x_0)</f>
        <v>650</v>
      </c>
      <c r="I50" s="1"/>
      <c r="J50" s="5">
        <f t="shared" si="33"/>
        <v>0</v>
      </c>
      <c r="K50" s="1"/>
      <c r="L50" s="1">
        <f t="shared" si="34"/>
        <v>-519.04999999999995</v>
      </c>
      <c r="M50" s="1"/>
      <c r="N50" s="5">
        <f t="shared" si="35"/>
        <v>-0.79853846153846142</v>
      </c>
      <c r="O50" s="14"/>
      <c r="P50" s="1">
        <f>SUM(OSRRefP22_6x_0)</f>
        <v>130.94999999999999</v>
      </c>
      <c r="Q50" s="1"/>
      <c r="R50" s="5">
        <f t="shared" si="36"/>
        <v>0</v>
      </c>
      <c r="S50" s="1"/>
      <c r="T50" s="1">
        <f>SUM(OSRRefT22_6x_0)</f>
        <v>650</v>
      </c>
      <c r="U50" s="1"/>
      <c r="V50" s="5">
        <f t="shared" si="37"/>
        <v>0</v>
      </c>
      <c r="W50" s="1"/>
      <c r="X50" s="1">
        <f t="shared" si="38"/>
        <v>-519.04999999999995</v>
      </c>
      <c r="Y50" s="1"/>
      <c r="Z50" s="5">
        <f t="shared" si="39"/>
        <v>-0.79853846153846142</v>
      </c>
    </row>
    <row r="51" spans="1:26" s="24" customFormat="1" hidden="1" outlineLevel="2" x14ac:dyDescent="0.3">
      <c r="A51" s="29"/>
      <c r="B51" s="11" t="str">
        <f>CONCATENATE("          ", "6373", " - ", "MAINTENANCE CONTRACTS")</f>
        <v xml:space="preserve">          6373 - MAINTENANCE CONTRACTS</v>
      </c>
      <c r="C51" s="11"/>
      <c r="D51" s="8"/>
      <c r="E51" s="3"/>
      <c r="F51" s="7">
        <f t="shared" si="32"/>
        <v>0</v>
      </c>
      <c r="G51" s="3"/>
      <c r="H51" s="8">
        <v>150</v>
      </c>
      <c r="I51" s="3"/>
      <c r="J51" s="7">
        <f t="shared" si="33"/>
        <v>0</v>
      </c>
      <c r="K51" s="3"/>
      <c r="L51" s="8">
        <f t="shared" si="34"/>
        <v>-150</v>
      </c>
      <c r="M51" s="3"/>
      <c r="N51" s="7">
        <f t="shared" si="35"/>
        <v>-1</v>
      </c>
      <c r="O51" s="11"/>
      <c r="P51" s="8"/>
      <c r="Q51" s="3"/>
      <c r="R51" s="7">
        <f t="shared" si="36"/>
        <v>0</v>
      </c>
      <c r="S51" s="3"/>
      <c r="T51" s="8">
        <v>150</v>
      </c>
      <c r="U51" s="3"/>
      <c r="V51" s="7">
        <f t="shared" si="37"/>
        <v>0</v>
      </c>
      <c r="W51" s="3"/>
      <c r="X51" s="8">
        <f t="shared" si="38"/>
        <v>-150</v>
      </c>
      <c r="Y51" s="3"/>
      <c r="Z51" s="7">
        <f t="shared" si="39"/>
        <v>-1</v>
      </c>
    </row>
    <row r="52" spans="1:26" s="24" customFormat="1" hidden="1" outlineLevel="2" x14ac:dyDescent="0.3">
      <c r="A52" s="29"/>
      <c r="B52" s="11" t="str">
        <f>CONCATENATE("          ", "6375", " - ", "OUTSIDE REPAIRS &amp; MAINTENANCE")</f>
        <v xml:space="preserve">          6375 - OUTSIDE REPAIRS &amp; MAINTENANCE</v>
      </c>
      <c r="C52" s="11"/>
      <c r="D52" s="8">
        <v>130.94999999999999</v>
      </c>
      <c r="E52" s="3"/>
      <c r="F52" s="7">
        <f t="shared" si="32"/>
        <v>0</v>
      </c>
      <c r="G52" s="3"/>
      <c r="H52" s="8">
        <v>500</v>
      </c>
      <c r="I52" s="3"/>
      <c r="J52" s="7">
        <f t="shared" si="33"/>
        <v>0</v>
      </c>
      <c r="K52" s="3"/>
      <c r="L52" s="8">
        <f t="shared" si="34"/>
        <v>-369.05</v>
      </c>
      <c r="M52" s="3"/>
      <c r="N52" s="7">
        <f t="shared" si="35"/>
        <v>-0.73809999999999998</v>
      </c>
      <c r="O52" s="11"/>
      <c r="P52" s="8">
        <v>130.94999999999999</v>
      </c>
      <c r="Q52" s="3"/>
      <c r="R52" s="7">
        <f t="shared" si="36"/>
        <v>0</v>
      </c>
      <c r="S52" s="3"/>
      <c r="T52" s="8">
        <v>500</v>
      </c>
      <c r="U52" s="3"/>
      <c r="V52" s="7">
        <f t="shared" si="37"/>
        <v>0</v>
      </c>
      <c r="W52" s="3"/>
      <c r="X52" s="8">
        <f t="shared" si="38"/>
        <v>-369.05</v>
      </c>
      <c r="Y52" s="3"/>
      <c r="Z52" s="7">
        <f t="shared" si="39"/>
        <v>-0.73809999999999998</v>
      </c>
    </row>
    <row r="53" spans="1:26" s="27" customFormat="1" outlineLevel="1" collapsed="1" x14ac:dyDescent="0.3">
      <c r="A53" s="28"/>
      <c r="B53" s="14" t="str">
        <f>CONCATENATE("     ","Services                                          ")</f>
        <v xml:space="preserve">     Services                                          </v>
      </c>
      <c r="C53" s="14"/>
      <c r="D53" s="1">
        <f>SUM(OSRRefD22_7x_0)</f>
        <v>0</v>
      </c>
      <c r="E53" s="1"/>
      <c r="F53" s="5">
        <f t="shared" ref="F53:F60" si="40">IF(D$12=0,0,D53/D$12)</f>
        <v>0</v>
      </c>
      <c r="G53" s="1"/>
      <c r="H53" s="1">
        <f>SUM(OSRRefH22_7x_0)</f>
        <v>0</v>
      </c>
      <c r="I53" s="1"/>
      <c r="J53" s="5">
        <f t="shared" ref="J53:J60" si="41">IF(H$12=0,0,H53/H$12)</f>
        <v>0</v>
      </c>
      <c r="K53" s="1"/>
      <c r="L53" s="1">
        <f t="shared" ref="L53:L60" si="42">+D53-H53</f>
        <v>0</v>
      </c>
      <c r="M53" s="1"/>
      <c r="N53" s="5">
        <f t="shared" ref="N53:N60" si="43">IF(H53=0,0,L53/H53)</f>
        <v>0</v>
      </c>
      <c r="O53" s="14"/>
      <c r="P53" s="1">
        <f>SUM(OSRRefP22_7x_0)</f>
        <v>0</v>
      </c>
      <c r="Q53" s="1"/>
      <c r="R53" s="5">
        <f t="shared" ref="R53:R60" si="44">IF(P$12=0,0,P53/P$12)</f>
        <v>0</v>
      </c>
      <c r="S53" s="1"/>
      <c r="T53" s="1">
        <f>SUM(OSRRefT22_7x_0)</f>
        <v>0</v>
      </c>
      <c r="U53" s="1"/>
      <c r="V53" s="5">
        <f t="shared" ref="V53:V60" si="45">IF(T$12=0,0,T53/T$12)</f>
        <v>0</v>
      </c>
      <c r="W53" s="1"/>
      <c r="X53" s="1">
        <f t="shared" ref="X53:X60" si="46">+P53-T53</f>
        <v>0</v>
      </c>
      <c r="Y53" s="1"/>
      <c r="Z53" s="5">
        <f t="shared" ref="Z53:Z60" si="47">IF(T53=0,0,X53/T53)</f>
        <v>0</v>
      </c>
    </row>
    <row r="54" spans="1:26" s="24" customFormat="1" hidden="1" outlineLevel="2" x14ac:dyDescent="0.3">
      <c r="A54" s="29"/>
      <c r="B54" s="11" t="str">
        <f>CONCATENATE("          ", "6284", " - ", "TRASH REMOVAL EXPENSE")</f>
        <v xml:space="preserve">          6284 - TRASH REMOVAL EXPENSE</v>
      </c>
      <c r="C54" s="11"/>
      <c r="D54" s="8"/>
      <c r="E54" s="3"/>
      <c r="F54" s="7">
        <f t="shared" si="40"/>
        <v>0</v>
      </c>
      <c r="G54" s="3"/>
      <c r="H54" s="8">
        <v>0</v>
      </c>
      <c r="I54" s="3"/>
      <c r="J54" s="7">
        <f t="shared" si="41"/>
        <v>0</v>
      </c>
      <c r="K54" s="3"/>
      <c r="L54" s="8">
        <f t="shared" si="42"/>
        <v>0</v>
      </c>
      <c r="M54" s="3"/>
      <c r="N54" s="7">
        <f t="shared" si="43"/>
        <v>0</v>
      </c>
      <c r="O54" s="11"/>
      <c r="P54" s="8"/>
      <c r="Q54" s="3"/>
      <c r="R54" s="7">
        <f t="shared" si="44"/>
        <v>0</v>
      </c>
      <c r="S54" s="3"/>
      <c r="T54" s="8">
        <v>0</v>
      </c>
      <c r="U54" s="3"/>
      <c r="V54" s="7">
        <f t="shared" si="45"/>
        <v>0</v>
      </c>
      <c r="W54" s="3"/>
      <c r="X54" s="8">
        <f t="shared" si="46"/>
        <v>0</v>
      </c>
      <c r="Y54" s="3"/>
      <c r="Z54" s="7">
        <f t="shared" si="47"/>
        <v>0</v>
      </c>
    </row>
    <row r="55" spans="1:26" s="27" customFormat="1" outlineLevel="1" collapsed="1" x14ac:dyDescent="0.3">
      <c r="A55" s="28"/>
      <c r="B55" s="14" t="str">
        <f>CONCATENATE("     ","Supplies                                          ")</f>
        <v xml:space="preserve">     Supplies                                          </v>
      </c>
      <c r="C55" s="14"/>
      <c r="D55" s="1">
        <f>SUM(OSRRefD22_8x_0)</f>
        <v>43.79</v>
      </c>
      <c r="E55" s="1"/>
      <c r="F55" s="5">
        <f t="shared" si="40"/>
        <v>0</v>
      </c>
      <c r="G55" s="1"/>
      <c r="H55" s="1">
        <f>SUM(OSRRefH22_8x_0)</f>
        <v>1400</v>
      </c>
      <c r="I55" s="1"/>
      <c r="J55" s="5">
        <f t="shared" si="41"/>
        <v>0</v>
      </c>
      <c r="K55" s="1"/>
      <c r="L55" s="1">
        <f t="shared" si="42"/>
        <v>-1356.21</v>
      </c>
      <c r="M55" s="1"/>
      <c r="N55" s="5">
        <f t="shared" si="43"/>
        <v>-0.96872142857142862</v>
      </c>
      <c r="O55" s="14"/>
      <c r="P55" s="1">
        <f>SUM(OSRRefP22_8x_0)</f>
        <v>43.79</v>
      </c>
      <c r="Q55" s="1"/>
      <c r="R55" s="5">
        <f t="shared" si="44"/>
        <v>0</v>
      </c>
      <c r="S55" s="1"/>
      <c r="T55" s="1">
        <f>SUM(OSRRefT22_8x_0)</f>
        <v>1400</v>
      </c>
      <c r="U55" s="1"/>
      <c r="V55" s="5">
        <f t="shared" si="45"/>
        <v>0</v>
      </c>
      <c r="W55" s="1"/>
      <c r="X55" s="1">
        <f t="shared" si="46"/>
        <v>-1356.21</v>
      </c>
      <c r="Y55" s="1"/>
      <c r="Z55" s="5">
        <f t="shared" si="47"/>
        <v>-0.96872142857142862</v>
      </c>
    </row>
    <row r="56" spans="1:26" s="24" customFormat="1" hidden="1" outlineLevel="2" x14ac:dyDescent="0.3">
      <c r="A56" s="29"/>
      <c r="B56" s="11" t="str">
        <f>CONCATENATE("          ", "6235", " - ", "COVID-19 EXPENSES")</f>
        <v xml:space="preserve">          6235 - COVID-19 EXPENSES</v>
      </c>
      <c r="C56" s="11"/>
      <c r="D56" s="8"/>
      <c r="E56" s="3"/>
      <c r="F56" s="7">
        <f t="shared" si="40"/>
        <v>0</v>
      </c>
      <c r="G56" s="3"/>
      <c r="H56" s="8">
        <v>250</v>
      </c>
      <c r="I56" s="3"/>
      <c r="J56" s="7">
        <f t="shared" si="41"/>
        <v>0</v>
      </c>
      <c r="K56" s="3"/>
      <c r="L56" s="8">
        <f t="shared" si="42"/>
        <v>-250</v>
      </c>
      <c r="M56" s="3"/>
      <c r="N56" s="7">
        <f t="shared" si="43"/>
        <v>-1</v>
      </c>
      <c r="O56" s="11"/>
      <c r="P56" s="8"/>
      <c r="Q56" s="3"/>
      <c r="R56" s="7">
        <f t="shared" si="44"/>
        <v>0</v>
      </c>
      <c r="S56" s="3"/>
      <c r="T56" s="8">
        <v>250</v>
      </c>
      <c r="U56" s="3"/>
      <c r="V56" s="7">
        <f t="shared" si="45"/>
        <v>0</v>
      </c>
      <c r="W56" s="3"/>
      <c r="X56" s="8">
        <f t="shared" si="46"/>
        <v>-250</v>
      </c>
      <c r="Y56" s="3"/>
      <c r="Z56" s="7">
        <f t="shared" si="47"/>
        <v>-1</v>
      </c>
    </row>
    <row r="57" spans="1:26" s="24" customFormat="1" hidden="1" outlineLevel="2" x14ac:dyDescent="0.3">
      <c r="A57" s="29"/>
      <c r="B57" s="11" t="str">
        <f>CONCATENATE("          ", "6239", " - ", "KITCHEN SUPPLIES")</f>
        <v xml:space="preserve">          6239 - KITCHEN SUPPLIES</v>
      </c>
      <c r="C57" s="11"/>
      <c r="D57" s="8"/>
      <c r="E57" s="3"/>
      <c r="F57" s="7">
        <f t="shared" si="40"/>
        <v>0</v>
      </c>
      <c r="G57" s="3"/>
      <c r="H57" s="8">
        <v>100</v>
      </c>
      <c r="I57" s="3"/>
      <c r="J57" s="7">
        <f t="shared" si="41"/>
        <v>0</v>
      </c>
      <c r="K57" s="3"/>
      <c r="L57" s="8">
        <f t="shared" si="42"/>
        <v>-100</v>
      </c>
      <c r="M57" s="3"/>
      <c r="N57" s="7">
        <f t="shared" si="43"/>
        <v>-1</v>
      </c>
      <c r="O57" s="11"/>
      <c r="P57" s="8"/>
      <c r="Q57" s="3"/>
      <c r="R57" s="7">
        <f t="shared" si="44"/>
        <v>0</v>
      </c>
      <c r="S57" s="3"/>
      <c r="T57" s="8">
        <v>100</v>
      </c>
      <c r="U57" s="3"/>
      <c r="V57" s="7">
        <f t="shared" si="45"/>
        <v>0</v>
      </c>
      <c r="W57" s="3"/>
      <c r="X57" s="8">
        <f t="shared" si="46"/>
        <v>-100</v>
      </c>
      <c r="Y57" s="3"/>
      <c r="Z57" s="7">
        <f t="shared" si="47"/>
        <v>-1</v>
      </c>
    </row>
    <row r="58" spans="1:26" s="24" customFormat="1" hidden="1" outlineLevel="2" x14ac:dyDescent="0.3">
      <c r="A58" s="29"/>
      <c r="B58" s="11" t="str">
        <f>CONCATENATE("          ", "6241", " - ", "OFFICE EXPENSE")</f>
        <v xml:space="preserve">          6241 - OFFICE EXPENSE</v>
      </c>
      <c r="C58" s="11"/>
      <c r="D58" s="8">
        <v>43.79</v>
      </c>
      <c r="E58" s="3"/>
      <c r="F58" s="7">
        <f t="shared" si="40"/>
        <v>0</v>
      </c>
      <c r="G58" s="3"/>
      <c r="H58" s="8"/>
      <c r="I58" s="3"/>
      <c r="J58" s="7">
        <f t="shared" si="41"/>
        <v>0</v>
      </c>
      <c r="K58" s="3"/>
      <c r="L58" s="8">
        <f t="shared" si="42"/>
        <v>43.79</v>
      </c>
      <c r="M58" s="3"/>
      <c r="N58" s="7">
        <f t="shared" si="43"/>
        <v>0</v>
      </c>
      <c r="O58" s="11"/>
      <c r="P58" s="8">
        <v>43.79</v>
      </c>
      <c r="Q58" s="3"/>
      <c r="R58" s="7">
        <f t="shared" si="44"/>
        <v>0</v>
      </c>
      <c r="S58" s="3"/>
      <c r="T58" s="8"/>
      <c r="U58" s="3"/>
      <c r="V58" s="7">
        <f t="shared" si="45"/>
        <v>0</v>
      </c>
      <c r="W58" s="3"/>
      <c r="X58" s="8">
        <f t="shared" si="46"/>
        <v>43.79</v>
      </c>
      <c r="Y58" s="3"/>
      <c r="Z58" s="7">
        <f t="shared" si="47"/>
        <v>0</v>
      </c>
    </row>
    <row r="59" spans="1:26" s="24" customFormat="1" hidden="1" outlineLevel="2" x14ac:dyDescent="0.3">
      <c r="A59" s="29"/>
      <c r="B59" s="11" t="str">
        <f>CONCATENATE("          ", "6245", " - ", "PRINTING")</f>
        <v xml:space="preserve">          6245 - PRINTING</v>
      </c>
      <c r="C59" s="11"/>
      <c r="D59" s="8"/>
      <c r="E59" s="3"/>
      <c r="F59" s="7">
        <f t="shared" si="40"/>
        <v>0</v>
      </c>
      <c r="G59" s="3"/>
      <c r="H59" s="8">
        <v>250</v>
      </c>
      <c r="I59" s="3"/>
      <c r="J59" s="7">
        <f t="shared" si="41"/>
        <v>0</v>
      </c>
      <c r="K59" s="3"/>
      <c r="L59" s="8">
        <f t="shared" si="42"/>
        <v>-250</v>
      </c>
      <c r="M59" s="3"/>
      <c r="N59" s="7">
        <f t="shared" si="43"/>
        <v>-1</v>
      </c>
      <c r="O59" s="11"/>
      <c r="P59" s="8"/>
      <c r="Q59" s="3"/>
      <c r="R59" s="7">
        <f t="shared" si="44"/>
        <v>0</v>
      </c>
      <c r="S59" s="3"/>
      <c r="T59" s="8">
        <v>250</v>
      </c>
      <c r="U59" s="3"/>
      <c r="V59" s="7">
        <f t="shared" si="45"/>
        <v>0</v>
      </c>
      <c r="W59" s="3"/>
      <c r="X59" s="8">
        <f t="shared" si="46"/>
        <v>-250</v>
      </c>
      <c r="Y59" s="3"/>
      <c r="Z59" s="7">
        <f t="shared" si="47"/>
        <v>-1</v>
      </c>
    </row>
    <row r="60" spans="1:26" s="24" customFormat="1" hidden="1" outlineLevel="2" x14ac:dyDescent="0.3">
      <c r="A60" s="29"/>
      <c r="B60" s="11" t="str">
        <f>CONCATENATE("          ", "6248", " - ", "UNIFORMS")</f>
        <v xml:space="preserve">          6248 - UNIFORMS</v>
      </c>
      <c r="C60" s="11"/>
      <c r="D60" s="8"/>
      <c r="E60" s="3"/>
      <c r="F60" s="7">
        <f t="shared" si="40"/>
        <v>0</v>
      </c>
      <c r="G60" s="3"/>
      <c r="H60" s="8">
        <v>800</v>
      </c>
      <c r="I60" s="3"/>
      <c r="J60" s="7">
        <f t="shared" si="41"/>
        <v>0</v>
      </c>
      <c r="K60" s="3"/>
      <c r="L60" s="8">
        <f t="shared" si="42"/>
        <v>-800</v>
      </c>
      <c r="M60" s="3"/>
      <c r="N60" s="7">
        <f t="shared" si="43"/>
        <v>-1</v>
      </c>
      <c r="O60" s="11"/>
      <c r="P60" s="8"/>
      <c r="Q60" s="3"/>
      <c r="R60" s="7">
        <f t="shared" si="44"/>
        <v>0</v>
      </c>
      <c r="S60" s="3"/>
      <c r="T60" s="8">
        <v>800</v>
      </c>
      <c r="U60" s="3"/>
      <c r="V60" s="7">
        <f t="shared" si="45"/>
        <v>0</v>
      </c>
      <c r="W60" s="3"/>
      <c r="X60" s="8">
        <f t="shared" si="46"/>
        <v>-800</v>
      </c>
      <c r="Y60" s="3"/>
      <c r="Z60" s="7">
        <f t="shared" si="47"/>
        <v>-1</v>
      </c>
    </row>
    <row r="61" spans="1:26" s="27" customFormat="1" outlineLevel="1" collapsed="1" x14ac:dyDescent="0.3">
      <c r="A61" s="28"/>
      <c r="B61" s="14" t="str">
        <f>CONCATENATE("     ","Telephone/Data Lines                              ")</f>
        <v xml:space="preserve">     Telephone/Data Lines                              </v>
      </c>
      <c r="C61" s="14"/>
      <c r="D61" s="1">
        <f>SUM(OSRRefD22_9x_0)</f>
        <v>150</v>
      </c>
      <c r="E61" s="1"/>
      <c r="F61" s="5">
        <f t="shared" ref="F61:F64" si="48">IF(D$12=0,0,D61/D$12)</f>
        <v>0</v>
      </c>
      <c r="G61" s="1"/>
      <c r="H61" s="1">
        <f>SUM(OSRRefH22_9x_0)</f>
        <v>150</v>
      </c>
      <c r="I61" s="1"/>
      <c r="J61" s="5">
        <f t="shared" ref="J61:J64" si="49">IF(H$12=0,0,H61/H$12)</f>
        <v>0</v>
      </c>
      <c r="K61" s="1"/>
      <c r="L61" s="1">
        <f t="shared" ref="L61:L64" si="50">+D61-H61</f>
        <v>0</v>
      </c>
      <c r="M61" s="1"/>
      <c r="N61" s="5">
        <f t="shared" ref="N61:N64" si="51">IF(H61=0,0,L61/H61)</f>
        <v>0</v>
      </c>
      <c r="O61" s="14"/>
      <c r="P61" s="1">
        <f>SUM(OSRRefP22_9x_0)</f>
        <v>150</v>
      </c>
      <c r="Q61" s="1"/>
      <c r="R61" s="5">
        <f t="shared" ref="R61:R64" si="52">IF(P$12=0,0,P61/P$12)</f>
        <v>0</v>
      </c>
      <c r="S61" s="1"/>
      <c r="T61" s="1">
        <f>SUM(OSRRefT22_9x_0)</f>
        <v>150</v>
      </c>
      <c r="U61" s="1"/>
      <c r="V61" s="5">
        <f t="shared" ref="V61:V64" si="53">IF(T$12=0,0,T61/T$12)</f>
        <v>0</v>
      </c>
      <c r="W61" s="1"/>
      <c r="X61" s="1">
        <f t="shared" ref="X61:X64" si="54">+P61-T61</f>
        <v>0</v>
      </c>
      <c r="Y61" s="1"/>
      <c r="Z61" s="5">
        <f t="shared" ref="Z61:Z64" si="55">IF(T61=0,0,X61/T61)</f>
        <v>0</v>
      </c>
    </row>
    <row r="62" spans="1:26" s="24" customFormat="1" hidden="1" outlineLevel="2" x14ac:dyDescent="0.3">
      <c r="A62" s="29"/>
      <c r="B62" s="11" t="str">
        <f>CONCATENATE("          ", "6309", " - ", "TELEPHONE")</f>
        <v xml:space="preserve">          6309 - TELEPHONE</v>
      </c>
      <c r="C62" s="11"/>
      <c r="D62" s="8">
        <v>150</v>
      </c>
      <c r="E62" s="3"/>
      <c r="F62" s="7">
        <f t="shared" si="48"/>
        <v>0</v>
      </c>
      <c r="G62" s="3"/>
      <c r="H62" s="8">
        <v>150</v>
      </c>
      <c r="I62" s="3"/>
      <c r="J62" s="7">
        <f t="shared" si="49"/>
        <v>0</v>
      </c>
      <c r="K62" s="3"/>
      <c r="L62" s="8">
        <f t="shared" si="50"/>
        <v>0</v>
      </c>
      <c r="M62" s="3"/>
      <c r="N62" s="7">
        <f t="shared" si="51"/>
        <v>0</v>
      </c>
      <c r="O62" s="11"/>
      <c r="P62" s="8">
        <v>150</v>
      </c>
      <c r="Q62" s="3"/>
      <c r="R62" s="7">
        <f t="shared" si="52"/>
        <v>0</v>
      </c>
      <c r="S62" s="3"/>
      <c r="T62" s="8">
        <v>150</v>
      </c>
      <c r="U62" s="3"/>
      <c r="V62" s="7">
        <f t="shared" si="53"/>
        <v>0</v>
      </c>
      <c r="W62" s="3"/>
      <c r="X62" s="8">
        <f t="shared" si="54"/>
        <v>0</v>
      </c>
      <c r="Y62" s="3"/>
      <c r="Z62" s="7">
        <f t="shared" si="55"/>
        <v>0</v>
      </c>
    </row>
    <row r="63" spans="1:26" s="27" customFormat="1" outlineLevel="1" collapsed="1" x14ac:dyDescent="0.3">
      <c r="A63" s="28"/>
      <c r="B63" s="14" t="str">
        <f>CONCATENATE("     ","Utilities                                         ")</f>
        <v xml:space="preserve">     Utilities                                         </v>
      </c>
      <c r="C63" s="14"/>
      <c r="D63" s="1">
        <f>SUM(OSRRefD22_10x_0)</f>
        <v>200</v>
      </c>
      <c r="E63" s="1"/>
      <c r="F63" s="5">
        <f t="shared" si="48"/>
        <v>0</v>
      </c>
      <c r="G63" s="1"/>
      <c r="H63" s="1">
        <f>SUM(OSRRefH22_10x_0)</f>
        <v>200</v>
      </c>
      <c r="I63" s="1"/>
      <c r="J63" s="5">
        <f t="shared" si="49"/>
        <v>0</v>
      </c>
      <c r="K63" s="1"/>
      <c r="L63" s="1">
        <f t="shared" si="50"/>
        <v>0</v>
      </c>
      <c r="M63" s="1"/>
      <c r="N63" s="5">
        <f t="shared" si="51"/>
        <v>0</v>
      </c>
      <c r="O63" s="14"/>
      <c r="P63" s="1">
        <f>SUM(OSRRefP22_10x_0)</f>
        <v>200</v>
      </c>
      <c r="Q63" s="1"/>
      <c r="R63" s="5">
        <f t="shared" si="52"/>
        <v>0</v>
      </c>
      <c r="S63" s="1"/>
      <c r="T63" s="1">
        <f>SUM(OSRRefT22_10x_0)</f>
        <v>200</v>
      </c>
      <c r="U63" s="1"/>
      <c r="V63" s="5">
        <f t="shared" si="53"/>
        <v>0</v>
      </c>
      <c r="W63" s="1"/>
      <c r="X63" s="1">
        <f t="shared" si="54"/>
        <v>0</v>
      </c>
      <c r="Y63" s="1"/>
      <c r="Z63" s="5">
        <f t="shared" si="55"/>
        <v>0</v>
      </c>
    </row>
    <row r="64" spans="1:26" s="24" customFormat="1" hidden="1" outlineLevel="2" x14ac:dyDescent="0.3">
      <c r="A64" s="29"/>
      <c r="B64" s="11" t="str">
        <f>CONCATENATE("          ", "6274", " - ", "UTILITIES")</f>
        <v xml:space="preserve">          6274 - UTILITIES</v>
      </c>
      <c r="C64" s="11"/>
      <c r="D64" s="8">
        <v>200</v>
      </c>
      <c r="E64" s="3"/>
      <c r="F64" s="7">
        <f t="shared" si="48"/>
        <v>0</v>
      </c>
      <c r="G64" s="3"/>
      <c r="H64" s="8">
        <v>200</v>
      </c>
      <c r="I64" s="3"/>
      <c r="J64" s="7">
        <f t="shared" si="49"/>
        <v>0</v>
      </c>
      <c r="K64" s="3"/>
      <c r="L64" s="8">
        <f t="shared" si="50"/>
        <v>0</v>
      </c>
      <c r="M64" s="3"/>
      <c r="N64" s="7">
        <f t="shared" si="51"/>
        <v>0</v>
      </c>
      <c r="O64" s="11"/>
      <c r="P64" s="8">
        <v>200</v>
      </c>
      <c r="Q64" s="3"/>
      <c r="R64" s="7">
        <f t="shared" si="52"/>
        <v>0</v>
      </c>
      <c r="S64" s="3"/>
      <c r="T64" s="8">
        <v>200</v>
      </c>
      <c r="U64" s="3"/>
      <c r="V64" s="7">
        <f t="shared" si="53"/>
        <v>0</v>
      </c>
      <c r="W64" s="3"/>
      <c r="X64" s="8">
        <f t="shared" si="54"/>
        <v>0</v>
      </c>
      <c r="Y64" s="3"/>
      <c r="Z64" s="7">
        <f t="shared" si="55"/>
        <v>0</v>
      </c>
    </row>
    <row r="65" spans="1:26" s="62" customFormat="1" x14ac:dyDescent="0.3">
      <c r="A65" s="36"/>
      <c r="B65" s="36"/>
      <c r="C65" s="36"/>
      <c r="D65" s="1"/>
      <c r="E65" s="1"/>
      <c r="F65" s="5"/>
      <c r="G65" s="1"/>
      <c r="H65" s="1"/>
      <c r="I65" s="1"/>
      <c r="J65" s="5"/>
      <c r="K65" s="1"/>
      <c r="L65" s="1"/>
      <c r="M65" s="1"/>
      <c r="N65" s="5"/>
      <c r="O65" s="36"/>
      <c r="P65" s="1"/>
      <c r="Q65" s="1"/>
      <c r="R65" s="5"/>
      <c r="S65" s="1"/>
      <c r="T65" s="1"/>
      <c r="U65" s="1"/>
      <c r="V65" s="5"/>
      <c r="W65" s="1"/>
      <c r="X65" s="1"/>
      <c r="Y65" s="1"/>
      <c r="Z65" s="5"/>
    </row>
    <row r="66" spans="1:26" s="23" customFormat="1" x14ac:dyDescent="0.3">
      <c r="A66" s="10"/>
      <c r="B66" s="25" t="s">
        <v>293</v>
      </c>
      <c r="C66" s="10"/>
      <c r="D66" s="4">
        <f>SUM(0)</f>
        <v>0</v>
      </c>
      <c r="E66" s="4"/>
      <c r="F66" s="12">
        <f>IF(D$12=0,0,D66/D$12)</f>
        <v>0</v>
      </c>
      <c r="G66" s="4"/>
      <c r="H66" s="4">
        <f>SUM(0)</f>
        <v>0</v>
      </c>
      <c r="I66" s="4"/>
      <c r="J66" s="12">
        <f>IF(H$12=0,0,H66/H$12)</f>
        <v>0</v>
      </c>
      <c r="K66" s="4"/>
      <c r="L66" s="4">
        <f>+D66-H66</f>
        <v>0</v>
      </c>
      <c r="M66" s="4"/>
      <c r="N66" s="12">
        <f>IF(H66=0,0,L66/H66)</f>
        <v>0</v>
      </c>
      <c r="O66" s="10"/>
      <c r="P66" s="4">
        <f>SUM(0)</f>
        <v>0</v>
      </c>
      <c r="Q66" s="4"/>
      <c r="R66" s="12">
        <f>IF(P$12=0,0,P66/P$12)</f>
        <v>0</v>
      </c>
      <c r="S66" s="4"/>
      <c r="T66" s="4">
        <f>SUM(0)</f>
        <v>0</v>
      </c>
      <c r="U66" s="4"/>
      <c r="V66" s="12">
        <f>IF(T$12=0,0,T66/T$12)</f>
        <v>0</v>
      </c>
      <c r="W66" s="4"/>
      <c r="X66" s="4">
        <f>+P66-T66</f>
        <v>0</v>
      </c>
      <c r="Y66" s="4"/>
      <c r="Z66" s="12">
        <f>IF(T66=0,0,X66/T66)</f>
        <v>0</v>
      </c>
    </row>
    <row r="67" spans="1:26" x14ac:dyDescent="0.3">
      <c r="A67" s="9"/>
      <c r="B67" s="10"/>
      <c r="C67" s="10"/>
      <c r="D67" s="2"/>
      <c r="E67" s="2"/>
      <c r="F67" s="6"/>
      <c r="G67" s="2"/>
      <c r="H67" s="2"/>
      <c r="I67" s="2"/>
      <c r="J67" s="6"/>
      <c r="K67" s="2"/>
      <c r="L67" s="2"/>
      <c r="M67" s="2"/>
      <c r="N67" s="6"/>
      <c r="O67" s="10"/>
      <c r="P67" s="2"/>
      <c r="Q67" s="2"/>
      <c r="R67" s="6"/>
      <c r="S67" s="2"/>
      <c r="T67" s="2"/>
      <c r="U67" s="2"/>
      <c r="V67" s="6"/>
      <c r="W67" s="2"/>
      <c r="X67" s="2"/>
      <c r="Y67" s="2"/>
      <c r="Z67" s="6"/>
    </row>
    <row r="68" spans="1:26" s="23" customFormat="1" x14ac:dyDescent="0.3">
      <c r="A68" s="10"/>
      <c r="B68" s="26" t="s">
        <v>277</v>
      </c>
      <c r="C68" s="26"/>
      <c r="D68" s="21">
        <f>+D17-D19+D66</f>
        <v>-13284.030000000002</v>
      </c>
      <c r="E68" s="13"/>
      <c r="F68" s="22">
        <f>IF(D$12=0,0,D68/D$12)</f>
        <v>0</v>
      </c>
      <c r="G68" s="13"/>
      <c r="H68" s="21">
        <f>+H17-H19+H66</f>
        <v>-18170.02288461538</v>
      </c>
      <c r="I68" s="13"/>
      <c r="J68" s="22">
        <f>IF(H$12=0,0,H68/H$12)</f>
        <v>0</v>
      </c>
      <c r="K68" s="16"/>
      <c r="L68" s="21">
        <f>+D68-H68</f>
        <v>4885.992884615378</v>
      </c>
      <c r="M68" s="16"/>
      <c r="N68" s="22">
        <f>IF(H68=0,0,L68/H68)</f>
        <v>-0.26890405783431154</v>
      </c>
      <c r="O68" s="25"/>
      <c r="P68" s="21">
        <f>+P17-P19+P66</f>
        <v>-13284.030000000002</v>
      </c>
      <c r="Q68" s="13"/>
      <c r="R68" s="22">
        <f>IF(P$12=0,0,P68/P$12)</f>
        <v>0</v>
      </c>
      <c r="S68" s="13"/>
      <c r="T68" s="21">
        <f>+T17-T19+T66</f>
        <v>-18170.02288461538</v>
      </c>
      <c r="U68" s="13"/>
      <c r="V68" s="22">
        <f>IF(T$12=0,0,T68/T$12)</f>
        <v>0</v>
      </c>
      <c r="W68" s="16"/>
      <c r="X68" s="21">
        <f>+P68-T68</f>
        <v>4885.992884615378</v>
      </c>
      <c r="Y68" s="16"/>
      <c r="Z68" s="22">
        <f>IF(T68=0,0,X68/T68)</f>
        <v>-0.26890405783431154</v>
      </c>
    </row>
    <row r="69" spans="1:26" x14ac:dyDescent="0.3">
      <c r="A69" s="9"/>
      <c r="B69" s="10"/>
      <c r="C69" s="9"/>
      <c r="D69" s="2"/>
      <c r="E69" s="2"/>
      <c r="F69" s="6"/>
      <c r="G69" s="2"/>
      <c r="H69" s="2"/>
      <c r="I69" s="2"/>
      <c r="J69" s="6"/>
      <c r="K69" s="2"/>
      <c r="L69" s="2"/>
      <c r="M69" s="2"/>
      <c r="N69" s="6"/>
      <c r="P69" s="2"/>
      <c r="Q69" s="2"/>
      <c r="R69" s="6"/>
      <c r="S69" s="2"/>
      <c r="T69" s="2"/>
      <c r="U69" s="2"/>
      <c r="V69" s="6"/>
      <c r="W69" s="2"/>
      <c r="X69" s="2"/>
      <c r="Y69" s="2"/>
      <c r="Z69" s="6"/>
    </row>
    <row r="70" spans="1:26" s="23" customFormat="1" x14ac:dyDescent="0.3">
      <c r="A70" s="52"/>
      <c r="B70" s="10" t="s">
        <v>128</v>
      </c>
      <c r="C70" s="10"/>
      <c r="D70" s="4"/>
      <c r="E70" s="4"/>
      <c r="F70" s="12">
        <f>IF(D$12=0,0,D70/D$12)</f>
        <v>0</v>
      </c>
      <c r="G70" s="4"/>
      <c r="H70" s="4">
        <v>0</v>
      </c>
      <c r="I70" s="4"/>
      <c r="J70" s="12">
        <f>IF(H$12=0,0,H70/H$12)</f>
        <v>0</v>
      </c>
      <c r="K70" s="4"/>
      <c r="L70" s="4">
        <f>+D70-H70</f>
        <v>0</v>
      </c>
      <c r="M70" s="4"/>
      <c r="N70" s="12">
        <f>IF(H70=0,0,L70/H70)</f>
        <v>0</v>
      </c>
      <c r="O70" s="10"/>
      <c r="P70" s="4"/>
      <c r="Q70" s="4"/>
      <c r="R70" s="12">
        <f>IF(P$12=0,0,P70/P$12)</f>
        <v>0</v>
      </c>
      <c r="S70" s="4"/>
      <c r="T70" s="4">
        <v>0</v>
      </c>
      <c r="U70" s="4"/>
      <c r="V70" s="12">
        <f>IF(T$12=0,0,T70/T$12)</f>
        <v>0</v>
      </c>
      <c r="W70" s="4"/>
      <c r="X70" s="4">
        <f>+P70-T70</f>
        <v>0</v>
      </c>
      <c r="Y70" s="4"/>
      <c r="Z70" s="12">
        <f>IF(T70=0,0,X70/T70)</f>
        <v>0</v>
      </c>
    </row>
    <row r="71" spans="1:26" x14ac:dyDescent="0.3">
      <c r="A71" s="9"/>
      <c r="B71" s="10"/>
      <c r="C71" s="10"/>
      <c r="D71" s="2"/>
      <c r="E71" s="2"/>
      <c r="F71" s="6"/>
      <c r="G71" s="2"/>
      <c r="H71" s="2"/>
      <c r="I71" s="2"/>
      <c r="J71" s="6"/>
      <c r="K71" s="2"/>
      <c r="L71" s="2"/>
      <c r="M71" s="2"/>
      <c r="N71" s="6"/>
      <c r="O71" s="10"/>
      <c r="P71" s="2"/>
      <c r="Q71" s="2"/>
      <c r="R71" s="6"/>
      <c r="S71" s="2"/>
      <c r="T71" s="2"/>
      <c r="U71" s="2"/>
      <c r="V71" s="6"/>
      <c r="W71" s="2"/>
      <c r="X71" s="2"/>
      <c r="Y71" s="2"/>
      <c r="Z71" s="6"/>
    </row>
    <row r="72" spans="1:26" s="23" customFormat="1" ht="15" thickBot="1" x14ac:dyDescent="0.35">
      <c r="A72" s="10"/>
      <c r="B72" s="26" t="s">
        <v>126</v>
      </c>
      <c r="C72" s="26"/>
      <c r="D72" s="35">
        <f>+D68-D70</f>
        <v>-13284.030000000002</v>
      </c>
      <c r="E72" s="13"/>
      <c r="F72" s="30">
        <f>IF(D$12=0,0,D72/D$12)</f>
        <v>0</v>
      </c>
      <c r="G72" s="13"/>
      <c r="H72" s="35">
        <f>+H68-H70</f>
        <v>-18170.02288461538</v>
      </c>
      <c r="I72" s="13"/>
      <c r="J72" s="30">
        <f>IF(H$12=0,0,H72/H$12)</f>
        <v>0</v>
      </c>
      <c r="K72" s="16"/>
      <c r="L72" s="35">
        <f>D72-H72</f>
        <v>4885.992884615378</v>
      </c>
      <c r="M72" s="16"/>
      <c r="N72" s="30">
        <f>IF(H72=0,0,L72/H72)</f>
        <v>-0.26890405783431154</v>
      </c>
      <c r="O72" s="25"/>
      <c r="P72" s="35">
        <f>+P68-P70</f>
        <v>-13284.030000000002</v>
      </c>
      <c r="Q72" s="13"/>
      <c r="R72" s="30">
        <f>IF(P$12=0,0,P72/P$12)</f>
        <v>0</v>
      </c>
      <c r="S72" s="13"/>
      <c r="T72" s="35">
        <f>+T68-T70</f>
        <v>-18170.02288461538</v>
      </c>
      <c r="U72" s="13"/>
      <c r="V72" s="30">
        <f>IF(T$12=0,0,T72/T$12)</f>
        <v>0</v>
      </c>
      <c r="W72" s="16"/>
      <c r="X72" s="35">
        <f>P72-T72</f>
        <v>4885.992884615378</v>
      </c>
      <c r="Y72" s="16"/>
      <c r="Z72" s="30">
        <f>IF(T72=0,0,X72/T72)</f>
        <v>-0.26890405783431154</v>
      </c>
    </row>
    <row r="73" spans="1:26" ht="15" thickTop="1" x14ac:dyDescent="0.3">
      <c r="A73" s="9"/>
      <c r="B73" s="9"/>
      <c r="C73" s="9"/>
      <c r="D73" s="2"/>
      <c r="E73" s="2"/>
      <c r="F73" s="6"/>
      <c r="G73" s="2"/>
      <c r="H73" s="2"/>
      <c r="I73" s="2"/>
      <c r="J73" s="6"/>
      <c r="K73" s="2"/>
      <c r="L73" s="2"/>
      <c r="M73" s="2"/>
      <c r="N73" s="6"/>
      <c r="P73" s="2"/>
      <c r="Q73" s="2"/>
      <c r="R73" s="6"/>
      <c r="S73" s="2"/>
      <c r="T73" s="2"/>
      <c r="U73" s="2"/>
      <c r="V73" s="6"/>
      <c r="W73" s="2"/>
      <c r="X73" s="2"/>
      <c r="Y73" s="2"/>
      <c r="Z73" s="6"/>
    </row>
    <row r="74" spans="1:26" x14ac:dyDescent="0.3">
      <c r="A74" s="9"/>
      <c r="B74" s="9"/>
      <c r="C74" s="9"/>
      <c r="D74" s="2"/>
      <c r="E74" s="2"/>
      <c r="F74" s="6"/>
      <c r="G74" s="2"/>
      <c r="H74" s="2"/>
      <c r="I74" s="2"/>
      <c r="J74" s="6"/>
      <c r="K74" s="2"/>
      <c r="L74" s="2"/>
      <c r="M74" s="2"/>
      <c r="N74" s="6"/>
      <c r="P74" s="2"/>
      <c r="Q74" s="2"/>
      <c r="R74" s="6"/>
      <c r="S74" s="2"/>
      <c r="T74" s="2"/>
      <c r="U74" s="2"/>
      <c r="V74" s="6"/>
      <c r="W74" s="2"/>
      <c r="X74" s="2"/>
      <c r="Y74" s="2"/>
      <c r="Z74" s="6"/>
    </row>
    <row r="75" spans="1:26" s="23" customFormat="1" ht="15" thickBot="1" x14ac:dyDescent="0.35">
      <c r="A75" s="10"/>
      <c r="B75" s="26" t="s">
        <v>294</v>
      </c>
      <c r="C75" s="26"/>
      <c r="D75" s="33">
        <f>SUM(D72:D74)</f>
        <v>-13284.030000000002</v>
      </c>
      <c r="E75" s="13"/>
      <c r="F75" s="31">
        <f>IF(D$12=0,0,D75/D$12)</f>
        <v>0</v>
      </c>
      <c r="G75" s="13"/>
      <c r="H75" s="33">
        <f>SUM(H72:H74)</f>
        <v>-18170.02288461538</v>
      </c>
      <c r="I75" s="13"/>
      <c r="J75" s="31">
        <f>IF(H$12=0,0,H75/H$12)</f>
        <v>0</v>
      </c>
      <c r="K75" s="16"/>
      <c r="L75" s="33">
        <f>+D75-H75</f>
        <v>4885.992884615378</v>
      </c>
      <c r="M75" s="16"/>
      <c r="N75" s="31">
        <f>IF(H75=0,0,L75/H75)</f>
        <v>-0.26890405783431154</v>
      </c>
      <c r="O75" s="25"/>
      <c r="P75" s="33">
        <f>SUM(P72:P74)</f>
        <v>-13284.030000000002</v>
      </c>
      <c r="Q75" s="13"/>
      <c r="R75" s="31">
        <f>IF(P$12=0,0,P75/P$12)</f>
        <v>0</v>
      </c>
      <c r="S75" s="13"/>
      <c r="T75" s="33">
        <f>SUM(T72:T74)</f>
        <v>-18170.02288461538</v>
      </c>
      <c r="U75" s="13"/>
      <c r="V75" s="31">
        <f>IF(T$12=0,0,T75/T$12)</f>
        <v>0</v>
      </c>
      <c r="W75" s="16"/>
      <c r="X75" s="33">
        <f>+P75-T75</f>
        <v>4885.992884615378</v>
      </c>
      <c r="Y75" s="16"/>
      <c r="Z75" s="31">
        <f>IF(T75=0,0,X75/T75)</f>
        <v>-0.26890405783431154</v>
      </c>
    </row>
    <row r="76" spans="1:26" ht="15" thickTop="1" x14ac:dyDescent="0.3">
      <c r="A76" s="9"/>
      <c r="C76" s="9"/>
      <c r="D76" s="18"/>
      <c r="E76" s="18"/>
      <c r="G76" s="18"/>
      <c r="H76" s="18"/>
      <c r="I76" s="18"/>
      <c r="J76" s="43"/>
      <c r="K76" s="18"/>
      <c r="L76" s="18"/>
      <c r="M76" s="18"/>
      <c r="P76" s="18"/>
      <c r="Q76" s="18"/>
      <c r="R76" s="43"/>
      <c r="S76" s="18"/>
      <c r="T76" s="18"/>
      <c r="U76" s="18"/>
      <c r="V76" s="43"/>
      <c r="W76" s="18"/>
      <c r="X76" s="18"/>
    </row>
    <row r="77" spans="1:26" x14ac:dyDescent="0.3">
      <c r="A77" s="9"/>
      <c r="B77" s="54">
        <v>44462.64548684028</v>
      </c>
      <c r="D77" s="18"/>
      <c r="E77" s="18"/>
      <c r="G77" s="18"/>
      <c r="H77" s="18"/>
      <c r="I77" s="18"/>
      <c r="J77" s="43"/>
      <c r="K77" s="18"/>
      <c r="L77" s="18"/>
      <c r="M77" s="18"/>
      <c r="P77" s="18"/>
      <c r="Q77" s="18"/>
      <c r="R77" s="43"/>
      <c r="S77" s="18"/>
      <c r="T77" s="18"/>
      <c r="U77" s="18"/>
      <c r="V77" s="43"/>
      <c r="W77" s="18"/>
      <c r="X77" s="18"/>
    </row>
    <row r="78" spans="1:26" x14ac:dyDescent="0.3">
      <c r="A78" s="9"/>
      <c r="B78" s="59" t="s">
        <v>56</v>
      </c>
      <c r="D78" s="18"/>
      <c r="E78" s="18"/>
      <c r="G78" s="18"/>
      <c r="H78" s="18"/>
      <c r="I78" s="18"/>
      <c r="J78" s="43"/>
      <c r="K78" s="18"/>
      <c r="L78" s="18"/>
      <c r="M78" s="18"/>
      <c r="P78" s="18"/>
      <c r="Q78" s="18"/>
      <c r="R78" s="43"/>
      <c r="S78" s="18"/>
      <c r="T78" s="18"/>
      <c r="U78" s="18"/>
      <c r="V78" s="43"/>
      <c r="W78" s="18"/>
      <c r="X78" s="18"/>
    </row>
    <row r="79" spans="1:26" x14ac:dyDescent="0.3">
      <c r="A79" s="9"/>
      <c r="B79" s="55"/>
      <c r="D79" s="18"/>
      <c r="E79" s="18"/>
      <c r="G79" s="18"/>
      <c r="H79" s="18"/>
      <c r="I79" s="18"/>
      <c r="J79" s="43"/>
      <c r="K79" s="18"/>
      <c r="L79" s="18"/>
      <c r="M79" s="18"/>
      <c r="P79" s="18"/>
      <c r="Q79" s="18"/>
      <c r="R79" s="43"/>
      <c r="S79" s="18"/>
      <c r="T79" s="18"/>
      <c r="U79" s="18"/>
      <c r="V79" s="43"/>
      <c r="W79" s="18"/>
      <c r="X79" s="18"/>
    </row>
    <row r="80" spans="1:26" x14ac:dyDescent="0.3">
      <c r="D80" s="18"/>
      <c r="E80" s="18"/>
      <c r="G80" s="18"/>
      <c r="H80" s="18"/>
      <c r="I80" s="18"/>
      <c r="J80" s="43"/>
      <c r="K80" s="18"/>
      <c r="L80" s="18"/>
      <c r="M80" s="18"/>
      <c r="P80" s="18"/>
      <c r="Q80" s="18"/>
      <c r="R80" s="43"/>
      <c r="S80" s="18"/>
      <c r="T80" s="18"/>
      <c r="U80" s="18"/>
      <c r="V80" s="43"/>
      <c r="W80" s="18"/>
      <c r="X80" s="18"/>
    </row>
  </sheetData>
  <pageMargins left="0.25" right="0.25" top="0.75" bottom="0.75" header="0.3" footer="0.3"/>
  <pageSetup scale="55" fitToWidth="2" orientation="landscape"/>
  <drawing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>
    <tabColor rgb="FF92D050"/>
    <outlinePr summaryBelow="0" summaryRight="0"/>
  </sheetPr>
  <dimension ref="A2:Z8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50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7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50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7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7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7" customWidth="1" outlineLevel="1"/>
  </cols>
  <sheetData>
    <row r="2" spans="1:26" x14ac:dyDescent="0.3">
      <c r="D2" s="57" t="s">
        <v>23</v>
      </c>
    </row>
    <row r="3" spans="1:26" x14ac:dyDescent="0.3">
      <c r="D3" s="57" t="s">
        <v>237</v>
      </c>
      <c r="E3" s="17"/>
      <c r="F3" s="51"/>
      <c r="G3" s="17"/>
      <c r="H3" s="17"/>
      <c r="I3" s="17"/>
      <c r="J3" s="39"/>
      <c r="K3" s="17"/>
      <c r="L3" s="17"/>
      <c r="M3" s="17"/>
      <c r="N3" s="51"/>
      <c r="O3" s="61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3">
      <c r="D4" s="57" t="str">
        <f>CONCATENATE("Period ",RIGHT(202201,2),", ",2022)</f>
        <v>Period 01, 2022</v>
      </c>
      <c r="E4" s="17"/>
      <c r="F4" s="51"/>
      <c r="G4" s="17"/>
      <c r="H4" s="17"/>
      <c r="I4" s="17"/>
      <c r="J4" s="39"/>
      <c r="K4" s="17"/>
      <c r="L4" s="17"/>
      <c r="M4" s="17"/>
      <c r="N4" s="51"/>
      <c r="O4" s="61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3">
      <c r="A5" s="23"/>
      <c r="D5" s="64">
        <v>44408</v>
      </c>
      <c r="E5" s="17"/>
      <c r="F5" s="51"/>
      <c r="G5" s="17"/>
      <c r="H5" s="17"/>
      <c r="I5" s="17"/>
      <c r="J5" s="39"/>
      <c r="K5" s="17"/>
      <c r="L5" s="17"/>
      <c r="M5" s="17"/>
      <c r="N5" s="51"/>
      <c r="O5" s="61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3">
      <c r="A6" s="23"/>
      <c r="B6" s="47"/>
      <c r="C6" s="47"/>
      <c r="D6" s="23" t="str">
        <f>CONCATENATE("Department ","411", " - ", "University Dining")</f>
        <v>Department 411 - University Dining</v>
      </c>
      <c r="E6" s="17"/>
      <c r="F6" s="51"/>
      <c r="G6" s="17"/>
      <c r="H6" s="17"/>
      <c r="I6" s="17"/>
      <c r="J6" s="39"/>
      <c r="K6" s="17"/>
      <c r="L6" s="17"/>
      <c r="M6" s="17"/>
      <c r="N6" s="51"/>
      <c r="O6" s="60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3">
      <c r="B7" s="63"/>
    </row>
    <row r="8" spans="1:26" x14ac:dyDescent="0.3">
      <c r="B8" s="63"/>
    </row>
    <row r="9" spans="1:26" x14ac:dyDescent="0.3">
      <c r="B9" s="9"/>
      <c r="C9" s="9"/>
      <c r="D9" s="15" t="s">
        <v>292</v>
      </c>
      <c r="E9" s="15"/>
      <c r="F9" s="38"/>
      <c r="G9" s="15"/>
      <c r="H9" s="15"/>
      <c r="I9" s="15"/>
      <c r="J9" s="49"/>
      <c r="K9" s="15"/>
      <c r="L9" s="15"/>
      <c r="M9" s="15"/>
      <c r="N9" s="38"/>
      <c r="P9" s="15" t="s">
        <v>39</v>
      </c>
      <c r="Q9" s="15"/>
      <c r="R9" s="38"/>
      <c r="S9" s="15"/>
      <c r="T9" s="15"/>
      <c r="U9" s="15"/>
      <c r="V9" s="49"/>
      <c r="W9" s="15"/>
      <c r="X9" s="15"/>
      <c r="Y9" s="15"/>
      <c r="Z9" s="38"/>
    </row>
    <row r="10" spans="1:26" x14ac:dyDescent="0.3">
      <c r="A10" s="10"/>
      <c r="B10" s="53"/>
      <c r="C10" s="10"/>
      <c r="D10" s="42" t="s">
        <v>57</v>
      </c>
      <c r="E10" s="34"/>
      <c r="F10" s="40" t="s">
        <v>40</v>
      </c>
      <c r="G10" s="34"/>
      <c r="H10" s="45" t="s">
        <v>238</v>
      </c>
      <c r="I10" s="34"/>
      <c r="J10" s="48" t="s">
        <v>58</v>
      </c>
      <c r="K10" s="10"/>
      <c r="L10" s="42" t="s">
        <v>127</v>
      </c>
      <c r="M10" s="10"/>
      <c r="N10" s="40" t="s">
        <v>258</v>
      </c>
      <c r="O10" s="10"/>
      <c r="P10" s="56" t="s">
        <v>57</v>
      </c>
      <c r="Q10" s="34"/>
      <c r="R10" s="40" t="s">
        <v>40</v>
      </c>
      <c r="S10" s="34"/>
      <c r="T10" s="45" t="s">
        <v>238</v>
      </c>
      <c r="U10" s="34"/>
      <c r="V10" s="48" t="s">
        <v>58</v>
      </c>
      <c r="W10" s="10"/>
      <c r="X10" s="42" t="s">
        <v>127</v>
      </c>
      <c r="Y10" s="10"/>
      <c r="Z10" s="40" t="s">
        <v>258</v>
      </c>
    </row>
    <row r="11" spans="1:26" ht="15.6" x14ac:dyDescent="0.3">
      <c r="A11" s="9"/>
      <c r="B11" s="58"/>
      <c r="C11" s="9"/>
      <c r="D11" s="9"/>
      <c r="E11" s="9"/>
      <c r="F11" s="6"/>
      <c r="G11" s="9"/>
      <c r="H11" s="9"/>
      <c r="I11" s="9"/>
      <c r="J11" s="46"/>
      <c r="K11" s="9"/>
      <c r="L11" s="9"/>
      <c r="M11" s="9"/>
      <c r="N11" s="6"/>
      <c r="P11" s="9"/>
      <c r="Q11" s="9"/>
      <c r="R11" s="6"/>
      <c r="S11" s="9"/>
      <c r="T11" s="9"/>
      <c r="U11" s="9"/>
      <c r="V11" s="46"/>
      <c r="W11" s="9"/>
      <c r="X11" s="9"/>
      <c r="Y11" s="9"/>
      <c r="Z11" s="6"/>
    </row>
    <row r="12" spans="1:26" s="23" customFormat="1" x14ac:dyDescent="0.3">
      <c r="A12" s="10"/>
      <c r="B12" s="25" t="s">
        <v>140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3">
      <c r="A13" s="9"/>
      <c r="B13" s="10"/>
      <c r="C13" s="9"/>
      <c r="D13" s="2"/>
      <c r="E13" s="2"/>
      <c r="F13" s="6"/>
      <c r="G13" s="2"/>
      <c r="H13" s="2"/>
      <c r="I13" s="2"/>
      <c r="J13" s="6"/>
      <c r="K13" s="2"/>
      <c r="L13" s="2"/>
      <c r="M13" s="2"/>
      <c r="N13" s="6"/>
      <c r="P13" s="2"/>
      <c r="Q13" s="2"/>
      <c r="R13" s="6"/>
      <c r="S13" s="2"/>
      <c r="T13" s="2"/>
      <c r="U13" s="2"/>
      <c r="V13" s="6"/>
      <c r="W13" s="2"/>
      <c r="X13" s="2"/>
      <c r="Y13" s="2"/>
      <c r="Z13" s="6"/>
    </row>
    <row r="14" spans="1:26" s="23" customFormat="1" x14ac:dyDescent="0.3">
      <c r="A14" s="10"/>
      <c r="B14" s="25" t="s">
        <v>257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3">
      <c r="A15" s="9"/>
      <c r="B15" s="10"/>
      <c r="C15" s="10"/>
      <c r="D15" s="2"/>
      <c r="E15" s="2"/>
      <c r="F15" s="6"/>
      <c r="G15" s="2"/>
      <c r="H15" s="2"/>
      <c r="I15" s="2"/>
      <c r="J15" s="6"/>
      <c r="K15" s="2"/>
      <c r="L15" s="2"/>
      <c r="M15" s="2"/>
      <c r="N15" s="6"/>
      <c r="O15" s="10"/>
      <c r="P15" s="2"/>
      <c r="Q15" s="2"/>
      <c r="R15" s="6"/>
      <c r="S15" s="2"/>
      <c r="T15" s="2"/>
      <c r="U15" s="2"/>
      <c r="V15" s="6"/>
      <c r="W15" s="2"/>
      <c r="X15" s="2"/>
      <c r="Y15" s="2"/>
      <c r="Z15" s="6"/>
    </row>
    <row r="16" spans="1:26" s="23" customFormat="1" x14ac:dyDescent="0.3">
      <c r="A16" s="10"/>
      <c r="B16" s="26" t="s">
        <v>108</v>
      </c>
      <c r="C16" s="26"/>
      <c r="D16" s="21">
        <f>D12-D14</f>
        <v>0</v>
      </c>
      <c r="E16" s="13"/>
      <c r="F16" s="22">
        <f>IF(D$12=0,0,D16/D$12)</f>
        <v>0</v>
      </c>
      <c r="G16" s="13"/>
      <c r="H16" s="21">
        <f>H12-H14</f>
        <v>0</v>
      </c>
      <c r="I16" s="13"/>
      <c r="J16" s="22">
        <f>IF(H$12=0,0,H16/H$12)</f>
        <v>0</v>
      </c>
      <c r="K16" s="16"/>
      <c r="L16" s="21">
        <f>+D16-H16</f>
        <v>0</v>
      </c>
      <c r="M16" s="16"/>
      <c r="N16" s="22">
        <f>IF(H16=0,0,L16/H16)</f>
        <v>0</v>
      </c>
      <c r="O16" s="25"/>
      <c r="P16" s="21">
        <f>P12-P14</f>
        <v>0</v>
      </c>
      <c r="Q16" s="13"/>
      <c r="R16" s="22">
        <f>IF(P$12=0,0,P16/P$12)</f>
        <v>0</v>
      </c>
      <c r="S16" s="13"/>
      <c r="T16" s="21">
        <f>T12-T14</f>
        <v>0</v>
      </c>
      <c r="U16" s="13"/>
      <c r="V16" s="22">
        <f>IF(T$12=0,0,T16/T$12)</f>
        <v>0</v>
      </c>
      <c r="W16" s="16"/>
      <c r="X16" s="21">
        <f>+P16-T16</f>
        <v>0</v>
      </c>
      <c r="Y16" s="16"/>
      <c r="Z16" s="22">
        <f>IF(T16=0,0,X16/T16)</f>
        <v>0</v>
      </c>
    </row>
    <row r="17" spans="1:26" x14ac:dyDescent="0.3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3">
      <c r="A18" s="10"/>
      <c r="B18" s="25" t="s">
        <v>295</v>
      </c>
      <c r="C18" s="10"/>
      <c r="D18" s="20">
        <f>SUM(OSRRefD22x_0)</f>
        <v>48551.94</v>
      </c>
      <c r="E18" s="20"/>
      <c r="F18" s="32">
        <f t="shared" ref="F18:F28" si="0">IF(D$12=0,0,D18/D$12)</f>
        <v>0</v>
      </c>
      <c r="G18" s="20"/>
      <c r="H18" s="20">
        <f>SUM(OSRRefH22x_0)</f>
        <v>47782.665538461551</v>
      </c>
      <c r="I18" s="20"/>
      <c r="J18" s="32">
        <f t="shared" ref="J18:J28" si="1">IF(H$12=0,0,H18/H$12)</f>
        <v>0</v>
      </c>
      <c r="K18" s="4"/>
      <c r="L18" s="20">
        <f t="shared" ref="L18:L28" si="2">+D18-H18</f>
        <v>769.27446153845085</v>
      </c>
      <c r="M18" s="4"/>
      <c r="N18" s="32">
        <f t="shared" ref="N18:N28" si="3">IF(H18=0,0,L18/H18)</f>
        <v>1.6099446375992591E-2</v>
      </c>
      <c r="O18" s="10"/>
      <c r="P18" s="20">
        <f>SUM(OSRRefP22x_0)</f>
        <v>48551.94</v>
      </c>
      <c r="Q18" s="20"/>
      <c r="R18" s="32">
        <f t="shared" ref="R18:R28" si="4">IF(P$12=0,0,P18/P$12)</f>
        <v>0</v>
      </c>
      <c r="S18" s="20"/>
      <c r="T18" s="20">
        <f>SUM(OSRRefT22x_0)</f>
        <v>47782.665538461551</v>
      </c>
      <c r="U18" s="20"/>
      <c r="V18" s="32">
        <f t="shared" ref="V18:V28" si="5">IF(T$12=0,0,T18/T$12)</f>
        <v>0</v>
      </c>
      <c r="W18" s="4"/>
      <c r="X18" s="20">
        <f t="shared" ref="X18:X28" si="6">+P18-T18</f>
        <v>769.27446153845085</v>
      </c>
      <c r="Y18" s="4"/>
      <c r="Z18" s="32">
        <f t="shared" ref="Z18:Z28" si="7">IF(T18=0,0,X18/T18)</f>
        <v>1.6099446375992591E-2</v>
      </c>
    </row>
    <row r="19" spans="1:26" s="27" customFormat="1" outlineLevel="1" collapsed="1" x14ac:dyDescent="0.3">
      <c r="A19" s="28"/>
      <c r="B19" s="14" t="str">
        <f>CONCATENATE("     ","*Benefits                                         ")</f>
        <v xml:space="preserve">     *Benefits                                         </v>
      </c>
      <c r="C19" s="14"/>
      <c r="D19" s="1">
        <f>SUM(OSRRefD22_0x_0)</f>
        <v>8985.31</v>
      </c>
      <c r="E19" s="1"/>
      <c r="F19" s="5">
        <f t="shared" si="0"/>
        <v>0</v>
      </c>
      <c r="G19" s="1"/>
      <c r="H19" s="1">
        <f>SUM(OSRRefH22_0x_0)</f>
        <v>9825.5116923077076</v>
      </c>
      <c r="I19" s="1"/>
      <c r="J19" s="5">
        <f t="shared" si="1"/>
        <v>0</v>
      </c>
      <c r="K19" s="1"/>
      <c r="L19" s="1">
        <f t="shared" si="2"/>
        <v>-840.20169230770807</v>
      </c>
      <c r="M19" s="1"/>
      <c r="N19" s="5">
        <f t="shared" si="3"/>
        <v>-8.5512258151958981E-2</v>
      </c>
      <c r="O19" s="14"/>
      <c r="P19" s="1">
        <f>SUM(OSRRefP22_0x_0)</f>
        <v>8985.31</v>
      </c>
      <c r="Q19" s="1"/>
      <c r="R19" s="5">
        <f t="shared" si="4"/>
        <v>0</v>
      </c>
      <c r="S19" s="1"/>
      <c r="T19" s="1">
        <f>SUM(OSRRefT22_0x_0)</f>
        <v>9825.5116923077076</v>
      </c>
      <c r="U19" s="1"/>
      <c r="V19" s="5">
        <f t="shared" si="5"/>
        <v>0</v>
      </c>
      <c r="W19" s="1"/>
      <c r="X19" s="1">
        <f t="shared" si="6"/>
        <v>-840.20169230770807</v>
      </c>
      <c r="Y19" s="1"/>
      <c r="Z19" s="5">
        <f t="shared" si="7"/>
        <v>-8.5512258151958981E-2</v>
      </c>
    </row>
    <row r="20" spans="1:26" s="24" customFormat="1" hidden="1" outlineLevel="2" x14ac:dyDescent="0.3">
      <c r="A20" s="29"/>
      <c r="B20" s="11" t="str">
        <f>CONCATENATE("          ", "6111", " - ", "F.I.C.A.")</f>
        <v xml:space="preserve">          6111 - F.I.C.A.</v>
      </c>
      <c r="C20" s="11"/>
      <c r="D20" s="8">
        <v>1317.1</v>
      </c>
      <c r="E20" s="3"/>
      <c r="F20" s="7">
        <f t="shared" si="0"/>
        <v>0</v>
      </c>
      <c r="G20" s="3"/>
      <c r="H20" s="8">
        <v>1697.78861538462</v>
      </c>
      <c r="I20" s="3"/>
      <c r="J20" s="7">
        <f t="shared" si="1"/>
        <v>0</v>
      </c>
      <c r="K20" s="3"/>
      <c r="L20" s="8">
        <f t="shared" si="2"/>
        <v>-380.68861538462011</v>
      </c>
      <c r="M20" s="3"/>
      <c r="N20" s="7">
        <f t="shared" si="3"/>
        <v>-0.22422615626879924</v>
      </c>
      <c r="O20" s="11"/>
      <c r="P20" s="8">
        <v>1317.1</v>
      </c>
      <c r="Q20" s="3"/>
      <c r="R20" s="7">
        <f t="shared" si="4"/>
        <v>0</v>
      </c>
      <c r="S20" s="3"/>
      <c r="T20" s="8">
        <v>1697.78861538462</v>
      </c>
      <c r="U20" s="3"/>
      <c r="V20" s="7">
        <f t="shared" si="5"/>
        <v>0</v>
      </c>
      <c r="W20" s="3"/>
      <c r="X20" s="8">
        <f t="shared" si="6"/>
        <v>-380.68861538462011</v>
      </c>
      <c r="Y20" s="3"/>
      <c r="Z20" s="7">
        <f t="shared" si="7"/>
        <v>-0.22422615626879924</v>
      </c>
    </row>
    <row r="21" spans="1:26" s="24" customFormat="1" hidden="1" outlineLevel="2" x14ac:dyDescent="0.3">
      <c r="A21" s="29"/>
      <c r="B21" s="11" t="str">
        <f>CONCATENATE("          ", "6112", " - ", "COMPENSATION INSURANCE")</f>
        <v xml:space="preserve">          6112 - COMPENSATION INSURANCE</v>
      </c>
      <c r="C21" s="11"/>
      <c r="D21" s="8">
        <v>222.1</v>
      </c>
      <c r="E21" s="3"/>
      <c r="F21" s="7">
        <f t="shared" si="0"/>
        <v>0</v>
      </c>
      <c r="G21" s="3"/>
      <c r="H21" s="8">
        <v>840.79692307692505</v>
      </c>
      <c r="I21" s="3"/>
      <c r="J21" s="7">
        <f t="shared" si="1"/>
        <v>0</v>
      </c>
      <c r="K21" s="3"/>
      <c r="L21" s="8">
        <f t="shared" si="2"/>
        <v>-618.69692307692503</v>
      </c>
      <c r="M21" s="3"/>
      <c r="N21" s="7">
        <f t="shared" si="3"/>
        <v>-0.73584584588247837</v>
      </c>
      <c r="O21" s="11"/>
      <c r="P21" s="8">
        <v>222.1</v>
      </c>
      <c r="Q21" s="3"/>
      <c r="R21" s="7">
        <f t="shared" si="4"/>
        <v>0</v>
      </c>
      <c r="S21" s="3"/>
      <c r="T21" s="8">
        <v>840.79692307692505</v>
      </c>
      <c r="U21" s="3"/>
      <c r="V21" s="7">
        <f t="shared" si="5"/>
        <v>0</v>
      </c>
      <c r="W21" s="3"/>
      <c r="X21" s="8">
        <f t="shared" si="6"/>
        <v>-618.69692307692503</v>
      </c>
      <c r="Y21" s="3"/>
      <c r="Z21" s="7">
        <f t="shared" si="7"/>
        <v>-0.73584584588247837</v>
      </c>
    </row>
    <row r="22" spans="1:26" s="24" customFormat="1" hidden="1" outlineLevel="2" x14ac:dyDescent="0.3">
      <c r="A22" s="29"/>
      <c r="B22" s="11" t="str">
        <f>CONCATENATE("          ", "6113", " - ", "GROUP INSURANCE")</f>
        <v xml:space="preserve">          6113 - GROUP INSURANCE</v>
      </c>
      <c r="C22" s="11"/>
      <c r="D22" s="8">
        <v>3318.36</v>
      </c>
      <c r="E22" s="3"/>
      <c r="F22" s="7">
        <f t="shared" si="0"/>
        <v>0</v>
      </c>
      <c r="G22" s="3"/>
      <c r="H22" s="8">
        <v>2764</v>
      </c>
      <c r="I22" s="3"/>
      <c r="J22" s="7">
        <f t="shared" si="1"/>
        <v>0</v>
      </c>
      <c r="K22" s="3"/>
      <c r="L22" s="8">
        <f t="shared" si="2"/>
        <v>554.36000000000013</v>
      </c>
      <c r="M22" s="3"/>
      <c r="N22" s="7">
        <f t="shared" si="3"/>
        <v>0.20056439942112886</v>
      </c>
      <c r="O22" s="11"/>
      <c r="P22" s="8">
        <v>3318.36</v>
      </c>
      <c r="Q22" s="3"/>
      <c r="R22" s="7">
        <f t="shared" si="4"/>
        <v>0</v>
      </c>
      <c r="S22" s="3"/>
      <c r="T22" s="8">
        <v>2764</v>
      </c>
      <c r="U22" s="3"/>
      <c r="V22" s="7">
        <f t="shared" si="5"/>
        <v>0</v>
      </c>
      <c r="W22" s="3"/>
      <c r="X22" s="8">
        <f t="shared" si="6"/>
        <v>554.36000000000013</v>
      </c>
      <c r="Y22" s="3"/>
      <c r="Z22" s="7">
        <f t="shared" si="7"/>
        <v>0.20056439942112886</v>
      </c>
    </row>
    <row r="23" spans="1:26" s="24" customFormat="1" hidden="1" outlineLevel="2" x14ac:dyDescent="0.3">
      <c r="A23" s="29"/>
      <c r="B23" s="11" t="str">
        <f>CONCATENATE("          ", "6114", " - ", "STATE UNEMPLOYMENT INSURANCE")</f>
        <v xml:space="preserve">          6114 - STATE UNEMPLOYMENT INSURANCE</v>
      </c>
      <c r="C23" s="11"/>
      <c r="D23" s="8">
        <v>44.76</v>
      </c>
      <c r="E23" s="3"/>
      <c r="F23" s="7">
        <f t="shared" si="0"/>
        <v>0</v>
      </c>
      <c r="G23" s="3"/>
      <c r="H23" s="8">
        <v>46.5876923076924</v>
      </c>
      <c r="I23" s="3"/>
      <c r="J23" s="7">
        <f t="shared" si="1"/>
        <v>0</v>
      </c>
      <c r="K23" s="3"/>
      <c r="L23" s="8">
        <f t="shared" si="2"/>
        <v>-1.8276923076924021</v>
      </c>
      <c r="M23" s="3"/>
      <c r="N23" s="7">
        <f t="shared" si="3"/>
        <v>-3.9231226471172942E-2</v>
      </c>
      <c r="O23" s="11"/>
      <c r="P23" s="8">
        <v>44.76</v>
      </c>
      <c r="Q23" s="3"/>
      <c r="R23" s="7">
        <f t="shared" si="4"/>
        <v>0</v>
      </c>
      <c r="S23" s="3"/>
      <c r="T23" s="8">
        <v>46.5876923076924</v>
      </c>
      <c r="U23" s="3"/>
      <c r="V23" s="7">
        <f t="shared" si="5"/>
        <v>0</v>
      </c>
      <c r="W23" s="3"/>
      <c r="X23" s="8">
        <f t="shared" si="6"/>
        <v>-1.8276923076924021</v>
      </c>
      <c r="Y23" s="3"/>
      <c r="Z23" s="7">
        <f t="shared" si="7"/>
        <v>-3.9231226471172942E-2</v>
      </c>
    </row>
    <row r="24" spans="1:26" s="24" customFormat="1" hidden="1" outlineLevel="2" x14ac:dyDescent="0.3">
      <c r="A24" s="29"/>
      <c r="B24" s="11" t="str">
        <f>CONCATENATE("          ", "6115", " - ", "P.E.R.S.")</f>
        <v xml:space="preserve">          6115 - P.E.R.S.</v>
      </c>
      <c r="C24" s="11"/>
      <c r="D24" s="8">
        <v>1873.21</v>
      </c>
      <c r="E24" s="3"/>
      <c r="F24" s="7">
        <f t="shared" si="0"/>
        <v>0</v>
      </c>
      <c r="G24" s="3"/>
      <c r="H24" s="8">
        <v>1907.8769230769301</v>
      </c>
      <c r="I24" s="3"/>
      <c r="J24" s="7">
        <f t="shared" si="1"/>
        <v>0</v>
      </c>
      <c r="K24" s="3"/>
      <c r="L24" s="8">
        <f t="shared" si="2"/>
        <v>-34.666923076930061</v>
      </c>
      <c r="M24" s="3"/>
      <c r="N24" s="7">
        <f t="shared" si="3"/>
        <v>-1.8170418991714073E-2</v>
      </c>
      <c r="O24" s="11"/>
      <c r="P24" s="8">
        <v>1873.21</v>
      </c>
      <c r="Q24" s="3"/>
      <c r="R24" s="7">
        <f t="shared" si="4"/>
        <v>0</v>
      </c>
      <c r="S24" s="3"/>
      <c r="T24" s="8">
        <v>1907.8769230769301</v>
      </c>
      <c r="U24" s="3"/>
      <c r="V24" s="7">
        <f t="shared" si="5"/>
        <v>0</v>
      </c>
      <c r="W24" s="3"/>
      <c r="X24" s="8">
        <f t="shared" si="6"/>
        <v>-34.666923076930061</v>
      </c>
      <c r="Y24" s="3"/>
      <c r="Z24" s="7">
        <f t="shared" si="7"/>
        <v>-1.8170418991714073E-2</v>
      </c>
    </row>
    <row r="25" spans="1:26" s="24" customFormat="1" hidden="1" outlineLevel="2" x14ac:dyDescent="0.3">
      <c r="A25" s="29"/>
      <c r="B25" s="11" t="str">
        <f>CONCATENATE("          ", "6116", " - ", "EDUCATIONAL BENEFITS")</f>
        <v xml:space="preserve">          6116 - EDUCATIONAL BENEFITS</v>
      </c>
      <c r="C25" s="11"/>
      <c r="D25" s="8"/>
      <c r="E25" s="3"/>
      <c r="F25" s="7">
        <f t="shared" si="0"/>
        <v>0</v>
      </c>
      <c r="G25" s="3"/>
      <c r="H25" s="8">
        <v>0</v>
      </c>
      <c r="I25" s="3"/>
      <c r="J25" s="7">
        <f t="shared" si="1"/>
        <v>0</v>
      </c>
      <c r="K25" s="3"/>
      <c r="L25" s="8">
        <f t="shared" si="2"/>
        <v>0</v>
      </c>
      <c r="M25" s="3"/>
      <c r="N25" s="7">
        <f t="shared" si="3"/>
        <v>0</v>
      </c>
      <c r="O25" s="11"/>
      <c r="P25" s="8"/>
      <c r="Q25" s="3"/>
      <c r="R25" s="7">
        <f t="shared" si="4"/>
        <v>0</v>
      </c>
      <c r="S25" s="3"/>
      <c r="T25" s="8">
        <v>0</v>
      </c>
      <c r="U25" s="3"/>
      <c r="V25" s="7">
        <f t="shared" si="5"/>
        <v>0</v>
      </c>
      <c r="W25" s="3"/>
      <c r="X25" s="8">
        <f t="shared" si="6"/>
        <v>0</v>
      </c>
      <c r="Y25" s="3"/>
      <c r="Z25" s="7">
        <f t="shared" si="7"/>
        <v>0</v>
      </c>
    </row>
    <row r="26" spans="1:26" s="24" customFormat="1" hidden="1" outlineLevel="2" x14ac:dyDescent="0.3">
      <c r="A26" s="29"/>
      <c r="B26" s="11" t="str">
        <f>CONCATENATE("          ", "6118", " - ", "VACATION")</f>
        <v xml:space="preserve">          6118 - VACATION</v>
      </c>
      <c r="C26" s="11"/>
      <c r="D26" s="8">
        <v>1518.94</v>
      </c>
      <c r="E26" s="3"/>
      <c r="F26" s="7">
        <f t="shared" si="0"/>
        <v>0</v>
      </c>
      <c r="G26" s="3"/>
      <c r="H26" s="8">
        <v>2060</v>
      </c>
      <c r="I26" s="3"/>
      <c r="J26" s="7">
        <f t="shared" si="1"/>
        <v>0</v>
      </c>
      <c r="K26" s="3"/>
      <c r="L26" s="8">
        <f t="shared" si="2"/>
        <v>-541.05999999999995</v>
      </c>
      <c r="M26" s="3"/>
      <c r="N26" s="7">
        <f t="shared" si="3"/>
        <v>-0.26265048543689318</v>
      </c>
      <c r="O26" s="11"/>
      <c r="P26" s="8">
        <v>1518.94</v>
      </c>
      <c r="Q26" s="3"/>
      <c r="R26" s="7">
        <f t="shared" si="4"/>
        <v>0</v>
      </c>
      <c r="S26" s="3"/>
      <c r="T26" s="8">
        <v>2060</v>
      </c>
      <c r="U26" s="3"/>
      <c r="V26" s="7">
        <f t="shared" si="5"/>
        <v>0</v>
      </c>
      <c r="W26" s="3"/>
      <c r="X26" s="8">
        <f t="shared" si="6"/>
        <v>-541.05999999999995</v>
      </c>
      <c r="Y26" s="3"/>
      <c r="Z26" s="7">
        <f t="shared" si="7"/>
        <v>-0.26265048543689318</v>
      </c>
    </row>
    <row r="27" spans="1:26" s="24" customFormat="1" hidden="1" outlineLevel="2" x14ac:dyDescent="0.3">
      <c r="A27" s="29"/>
      <c r="B27" s="11" t="str">
        <f>CONCATENATE("          ", "6119", " - ", "SICK LEAVE")</f>
        <v xml:space="preserve">          6119 - SICK LEAVE</v>
      </c>
      <c r="C27" s="11"/>
      <c r="D27" s="8">
        <v>510.58</v>
      </c>
      <c r="E27" s="3"/>
      <c r="F27" s="7">
        <f t="shared" si="0"/>
        <v>0</v>
      </c>
      <c r="G27" s="3"/>
      <c r="H27" s="8">
        <v>158.46153846153899</v>
      </c>
      <c r="I27" s="3"/>
      <c r="J27" s="7">
        <f t="shared" si="1"/>
        <v>0</v>
      </c>
      <c r="K27" s="3"/>
      <c r="L27" s="8">
        <f t="shared" si="2"/>
        <v>352.11846153846102</v>
      </c>
      <c r="M27" s="3"/>
      <c r="N27" s="7">
        <f t="shared" si="3"/>
        <v>2.2221067961164942</v>
      </c>
      <c r="O27" s="11"/>
      <c r="P27" s="8">
        <v>510.58</v>
      </c>
      <c r="Q27" s="3"/>
      <c r="R27" s="7">
        <f t="shared" si="4"/>
        <v>0</v>
      </c>
      <c r="S27" s="3"/>
      <c r="T27" s="8">
        <v>158.46153846153899</v>
      </c>
      <c r="U27" s="3"/>
      <c r="V27" s="7">
        <f t="shared" si="5"/>
        <v>0</v>
      </c>
      <c r="W27" s="3"/>
      <c r="X27" s="8">
        <f t="shared" si="6"/>
        <v>352.11846153846102</v>
      </c>
      <c r="Y27" s="3"/>
      <c r="Z27" s="7">
        <f t="shared" si="7"/>
        <v>2.2221067961164942</v>
      </c>
    </row>
    <row r="28" spans="1:26" s="24" customFormat="1" hidden="1" outlineLevel="2" x14ac:dyDescent="0.3">
      <c r="A28" s="29"/>
      <c r="B28" s="11" t="str">
        <f>CONCATENATE("          ", "6156", " - ", "EMPLOYEE MEALS")</f>
        <v xml:space="preserve">          6156 - EMPLOYEE MEALS</v>
      </c>
      <c r="C28" s="11"/>
      <c r="D28" s="8">
        <v>180.26</v>
      </c>
      <c r="E28" s="3"/>
      <c r="F28" s="7">
        <f t="shared" si="0"/>
        <v>0</v>
      </c>
      <c r="G28" s="3"/>
      <c r="H28" s="8">
        <v>350</v>
      </c>
      <c r="I28" s="3"/>
      <c r="J28" s="7">
        <f t="shared" si="1"/>
        <v>0</v>
      </c>
      <c r="K28" s="3"/>
      <c r="L28" s="8">
        <f t="shared" si="2"/>
        <v>-169.74</v>
      </c>
      <c r="M28" s="3"/>
      <c r="N28" s="7">
        <f t="shared" si="3"/>
        <v>-0.48497142857142861</v>
      </c>
      <c r="O28" s="11"/>
      <c r="P28" s="8">
        <v>180.26</v>
      </c>
      <c r="Q28" s="3"/>
      <c r="R28" s="7">
        <f t="shared" si="4"/>
        <v>0</v>
      </c>
      <c r="S28" s="3"/>
      <c r="T28" s="8">
        <v>350</v>
      </c>
      <c r="U28" s="3"/>
      <c r="V28" s="7">
        <f t="shared" si="5"/>
        <v>0</v>
      </c>
      <c r="W28" s="3"/>
      <c r="X28" s="8">
        <f t="shared" si="6"/>
        <v>-169.74</v>
      </c>
      <c r="Y28" s="3"/>
      <c r="Z28" s="7">
        <f t="shared" si="7"/>
        <v>-0.48497142857142861</v>
      </c>
    </row>
    <row r="29" spans="1:26" s="27" customFormat="1" outlineLevel="1" collapsed="1" x14ac:dyDescent="0.3">
      <c r="A29" s="28"/>
      <c r="B29" s="14" t="str">
        <f>CONCATENATE("     ","*Payroll                                          ")</f>
        <v xml:space="preserve">     *Payroll                                          </v>
      </c>
      <c r="C29" s="14"/>
      <c r="D29" s="1">
        <f>SUM(OSRRefD22_1x_0)</f>
        <v>21520.959999999999</v>
      </c>
      <c r="E29" s="1"/>
      <c r="F29" s="5">
        <f t="shared" ref="F29:F39" si="8">IF(D$12=0,0,D29/D$12)</f>
        <v>0</v>
      </c>
      <c r="G29" s="1"/>
      <c r="H29" s="1">
        <f>SUM(OSRRefH22_1x_0)</f>
        <v>19966.15384615384</v>
      </c>
      <c r="I29" s="1"/>
      <c r="J29" s="5">
        <f t="shared" ref="J29:J39" si="9">IF(H$12=0,0,H29/H$12)</f>
        <v>0</v>
      </c>
      <c r="K29" s="1"/>
      <c r="L29" s="1">
        <f t="shared" ref="L29:L39" si="10">+D29-H29</f>
        <v>1554.8061538461588</v>
      </c>
      <c r="M29" s="1"/>
      <c r="N29" s="5">
        <f t="shared" ref="N29:N39" si="11">IF(H29=0,0,L29/H29)</f>
        <v>7.7872091231314805E-2</v>
      </c>
      <c r="O29" s="14"/>
      <c r="P29" s="1">
        <f>SUM(OSRRefP22_1x_0)</f>
        <v>21520.959999999999</v>
      </c>
      <c r="Q29" s="1"/>
      <c r="R29" s="5">
        <f t="shared" ref="R29:R39" si="12">IF(P$12=0,0,P29/P$12)</f>
        <v>0</v>
      </c>
      <c r="S29" s="1"/>
      <c r="T29" s="1">
        <f>SUM(OSRRefT22_1x_0)</f>
        <v>19966.15384615384</v>
      </c>
      <c r="U29" s="1"/>
      <c r="V29" s="5">
        <f t="shared" ref="V29:V39" si="13">IF(T$12=0,0,T29/T$12)</f>
        <v>0</v>
      </c>
      <c r="W29" s="1"/>
      <c r="X29" s="1">
        <f t="shared" ref="X29:X39" si="14">+P29-T29</f>
        <v>1554.8061538461588</v>
      </c>
      <c r="Y29" s="1"/>
      <c r="Z29" s="5">
        <f t="shared" ref="Z29:Z39" si="15">IF(T29=0,0,X29/T29)</f>
        <v>7.7872091231314805E-2</v>
      </c>
    </row>
    <row r="30" spans="1:26" s="24" customFormat="1" hidden="1" outlineLevel="2" x14ac:dyDescent="0.3">
      <c r="A30" s="29"/>
      <c r="B30" s="11" t="str">
        <f>CONCATENATE("          ", "6001", " - ", "ADMINISTRATIVE SALARIES")</f>
        <v xml:space="preserve">          6001 - ADMINISTRATIVE SALARIES</v>
      </c>
      <c r="C30" s="11"/>
      <c r="D30" s="8">
        <v>13836.28</v>
      </c>
      <c r="E30" s="3"/>
      <c r="F30" s="7">
        <f t="shared" si="8"/>
        <v>0</v>
      </c>
      <c r="G30" s="3"/>
      <c r="H30" s="8">
        <v>12835.384615384601</v>
      </c>
      <c r="I30" s="3"/>
      <c r="J30" s="7">
        <f t="shared" si="9"/>
        <v>0</v>
      </c>
      <c r="K30" s="3"/>
      <c r="L30" s="8">
        <f t="shared" si="10"/>
        <v>1000.8953846154</v>
      </c>
      <c r="M30" s="3"/>
      <c r="N30" s="7">
        <f t="shared" si="11"/>
        <v>7.7979383914660277E-2</v>
      </c>
      <c r="O30" s="11"/>
      <c r="P30" s="8">
        <v>13836.28</v>
      </c>
      <c r="Q30" s="3"/>
      <c r="R30" s="7">
        <f t="shared" si="12"/>
        <v>0</v>
      </c>
      <c r="S30" s="3"/>
      <c r="T30" s="8">
        <v>12835.384615384601</v>
      </c>
      <c r="U30" s="3"/>
      <c r="V30" s="7">
        <f t="shared" si="13"/>
        <v>0</v>
      </c>
      <c r="W30" s="3"/>
      <c r="X30" s="8">
        <f t="shared" si="14"/>
        <v>1000.8953846154</v>
      </c>
      <c r="Y30" s="3"/>
      <c r="Z30" s="7">
        <f t="shared" si="15"/>
        <v>7.7979383914660277E-2</v>
      </c>
    </row>
    <row r="31" spans="1:26" s="24" customFormat="1" hidden="1" outlineLevel="2" x14ac:dyDescent="0.3">
      <c r="A31" s="29"/>
      <c r="B31" s="11" t="str">
        <f>CONCATENATE("          ", "6002", " - ", "STAFF SALARIES")</f>
        <v xml:space="preserve">          6002 - STAFF SALARIES</v>
      </c>
      <c r="C31" s="11"/>
      <c r="D31" s="8">
        <v>7684.68</v>
      </c>
      <c r="E31" s="3"/>
      <c r="F31" s="7">
        <f t="shared" si="8"/>
        <v>0</v>
      </c>
      <c r="G31" s="3"/>
      <c r="H31" s="8">
        <v>7130.7692307692396</v>
      </c>
      <c r="I31" s="3"/>
      <c r="J31" s="7">
        <f t="shared" si="9"/>
        <v>0</v>
      </c>
      <c r="K31" s="3"/>
      <c r="L31" s="8">
        <f t="shared" si="10"/>
        <v>553.91076923076071</v>
      </c>
      <c r="M31" s="3"/>
      <c r="N31" s="7">
        <f t="shared" si="11"/>
        <v>7.767896440129321E-2</v>
      </c>
      <c r="O31" s="11"/>
      <c r="P31" s="8">
        <v>7684.68</v>
      </c>
      <c r="Q31" s="3"/>
      <c r="R31" s="7">
        <f t="shared" si="12"/>
        <v>0</v>
      </c>
      <c r="S31" s="3"/>
      <c r="T31" s="8">
        <v>7130.7692307692396</v>
      </c>
      <c r="U31" s="3"/>
      <c r="V31" s="7">
        <f t="shared" si="13"/>
        <v>0</v>
      </c>
      <c r="W31" s="3"/>
      <c r="X31" s="8">
        <f t="shared" si="14"/>
        <v>553.91076923076071</v>
      </c>
      <c r="Y31" s="3"/>
      <c r="Z31" s="7">
        <f t="shared" si="15"/>
        <v>7.767896440129321E-2</v>
      </c>
    </row>
    <row r="32" spans="1:26" s="24" customFormat="1" hidden="1" outlineLevel="2" x14ac:dyDescent="0.3">
      <c r="A32" s="29"/>
      <c r="B32" s="11" t="str">
        <f>CONCATENATE("          ", "6003", " - ", "STAFF HOURLY-9 MONTH")</f>
        <v xml:space="preserve">          6003 - STAFF HOURLY-9 MONTH</v>
      </c>
      <c r="C32" s="11"/>
      <c r="D32" s="8"/>
      <c r="E32" s="3"/>
      <c r="F32" s="7">
        <f t="shared" si="8"/>
        <v>0</v>
      </c>
      <c r="G32" s="3"/>
      <c r="H32" s="8">
        <v>0</v>
      </c>
      <c r="I32" s="3"/>
      <c r="J32" s="7">
        <f t="shared" si="9"/>
        <v>0</v>
      </c>
      <c r="K32" s="3"/>
      <c r="L32" s="8">
        <f t="shared" si="10"/>
        <v>0</v>
      </c>
      <c r="M32" s="3"/>
      <c r="N32" s="7">
        <f t="shared" si="11"/>
        <v>0</v>
      </c>
      <c r="O32" s="11"/>
      <c r="P32" s="8"/>
      <c r="Q32" s="3"/>
      <c r="R32" s="7">
        <f t="shared" si="12"/>
        <v>0</v>
      </c>
      <c r="S32" s="3"/>
      <c r="T32" s="8">
        <v>0</v>
      </c>
      <c r="U32" s="3"/>
      <c r="V32" s="7">
        <f t="shared" si="13"/>
        <v>0</v>
      </c>
      <c r="W32" s="3"/>
      <c r="X32" s="8">
        <f t="shared" si="14"/>
        <v>0</v>
      </c>
      <c r="Y32" s="3"/>
      <c r="Z32" s="7">
        <f t="shared" si="15"/>
        <v>0</v>
      </c>
    </row>
    <row r="33" spans="1:26" s="24" customFormat="1" hidden="1" outlineLevel="2" x14ac:dyDescent="0.3">
      <c r="A33" s="29"/>
      <c r="B33" s="11" t="str">
        <f>CONCATENATE("          ", "6004", " - ", "STAFF HOURLY")</f>
        <v xml:space="preserve">          6004 - STAFF HOURLY</v>
      </c>
      <c r="C33" s="11"/>
      <c r="D33" s="8"/>
      <c r="E33" s="3"/>
      <c r="F33" s="7">
        <f t="shared" si="8"/>
        <v>0</v>
      </c>
      <c r="G33" s="3"/>
      <c r="H33" s="8">
        <v>0</v>
      </c>
      <c r="I33" s="3"/>
      <c r="J33" s="7">
        <f t="shared" si="9"/>
        <v>0</v>
      </c>
      <c r="K33" s="3"/>
      <c r="L33" s="8">
        <f t="shared" si="10"/>
        <v>0</v>
      </c>
      <c r="M33" s="3"/>
      <c r="N33" s="7">
        <f t="shared" si="11"/>
        <v>0</v>
      </c>
      <c r="O33" s="11"/>
      <c r="P33" s="8"/>
      <c r="Q33" s="3"/>
      <c r="R33" s="7">
        <f t="shared" si="12"/>
        <v>0</v>
      </c>
      <c r="S33" s="3"/>
      <c r="T33" s="8">
        <v>0</v>
      </c>
      <c r="U33" s="3"/>
      <c r="V33" s="7">
        <f t="shared" si="13"/>
        <v>0</v>
      </c>
      <c r="W33" s="3"/>
      <c r="X33" s="8">
        <f t="shared" si="14"/>
        <v>0</v>
      </c>
      <c r="Y33" s="3"/>
      <c r="Z33" s="7">
        <f t="shared" si="15"/>
        <v>0</v>
      </c>
    </row>
    <row r="34" spans="1:26" s="24" customFormat="1" hidden="1" outlineLevel="2" x14ac:dyDescent="0.3">
      <c r="A34" s="29"/>
      <c r="B34" s="11" t="str">
        <f>CONCATENATE("          ", "6005", " - ", "TEMPORARY WAGES-HOURLY")</f>
        <v xml:space="preserve">          6005 - TEMPORARY WAGES-HOURLY</v>
      </c>
      <c r="C34" s="11"/>
      <c r="D34" s="8"/>
      <c r="E34" s="3"/>
      <c r="F34" s="7">
        <f t="shared" si="8"/>
        <v>0</v>
      </c>
      <c r="G34" s="3"/>
      <c r="H34" s="8">
        <v>0</v>
      </c>
      <c r="I34" s="3"/>
      <c r="J34" s="7">
        <f t="shared" si="9"/>
        <v>0</v>
      </c>
      <c r="K34" s="3"/>
      <c r="L34" s="8">
        <f t="shared" si="10"/>
        <v>0</v>
      </c>
      <c r="M34" s="3"/>
      <c r="N34" s="7">
        <f t="shared" si="11"/>
        <v>0</v>
      </c>
      <c r="O34" s="11"/>
      <c r="P34" s="8"/>
      <c r="Q34" s="3"/>
      <c r="R34" s="7">
        <f t="shared" si="12"/>
        <v>0</v>
      </c>
      <c r="S34" s="3"/>
      <c r="T34" s="8">
        <v>0</v>
      </c>
      <c r="U34" s="3"/>
      <c r="V34" s="7">
        <f t="shared" si="13"/>
        <v>0</v>
      </c>
      <c r="W34" s="3"/>
      <c r="X34" s="8">
        <f t="shared" si="14"/>
        <v>0</v>
      </c>
      <c r="Y34" s="3"/>
      <c r="Z34" s="7">
        <f t="shared" si="15"/>
        <v>0</v>
      </c>
    </row>
    <row r="35" spans="1:26" s="24" customFormat="1" hidden="1" outlineLevel="2" x14ac:dyDescent="0.3">
      <c r="A35" s="29"/>
      <c r="B35" s="11" t="str">
        <f>CONCATENATE("          ", "6006", " - ", "TEMPORARY PART TIME")</f>
        <v xml:space="preserve">          6006 - TEMPORARY PART TIME</v>
      </c>
      <c r="C35" s="11"/>
      <c r="D35" s="8"/>
      <c r="E35" s="3"/>
      <c r="F35" s="7">
        <f t="shared" si="8"/>
        <v>0</v>
      </c>
      <c r="G35" s="3"/>
      <c r="H35" s="8">
        <v>0</v>
      </c>
      <c r="I35" s="3"/>
      <c r="J35" s="7">
        <f t="shared" si="9"/>
        <v>0</v>
      </c>
      <c r="K35" s="3"/>
      <c r="L35" s="8">
        <f t="shared" si="10"/>
        <v>0</v>
      </c>
      <c r="M35" s="3"/>
      <c r="N35" s="7">
        <f t="shared" si="11"/>
        <v>0</v>
      </c>
      <c r="O35" s="11"/>
      <c r="P35" s="8"/>
      <c r="Q35" s="3"/>
      <c r="R35" s="7">
        <f t="shared" si="12"/>
        <v>0</v>
      </c>
      <c r="S35" s="3"/>
      <c r="T35" s="8">
        <v>0</v>
      </c>
      <c r="U35" s="3"/>
      <c r="V35" s="7">
        <f t="shared" si="13"/>
        <v>0</v>
      </c>
      <c r="W35" s="3"/>
      <c r="X35" s="8">
        <f t="shared" si="14"/>
        <v>0</v>
      </c>
      <c r="Y35" s="3"/>
      <c r="Z35" s="7">
        <f t="shared" si="15"/>
        <v>0</v>
      </c>
    </row>
    <row r="36" spans="1:26" s="24" customFormat="1" hidden="1" outlineLevel="2" x14ac:dyDescent="0.3">
      <c r="A36" s="29"/>
      <c r="B36" s="11" t="str">
        <f>CONCATENATE("          ", "6007", " - ", "STUDENT HOURLY")</f>
        <v xml:space="preserve">          6007 - STUDENT HOURLY</v>
      </c>
      <c r="C36" s="11"/>
      <c r="D36" s="8"/>
      <c r="E36" s="3"/>
      <c r="F36" s="7">
        <f t="shared" si="8"/>
        <v>0</v>
      </c>
      <c r="G36" s="3"/>
      <c r="H36" s="8">
        <v>0</v>
      </c>
      <c r="I36" s="3"/>
      <c r="J36" s="7">
        <f t="shared" si="9"/>
        <v>0</v>
      </c>
      <c r="K36" s="3"/>
      <c r="L36" s="8">
        <f t="shared" si="10"/>
        <v>0</v>
      </c>
      <c r="M36" s="3"/>
      <c r="N36" s="7">
        <f t="shared" si="11"/>
        <v>0</v>
      </c>
      <c r="O36" s="11"/>
      <c r="P36" s="8"/>
      <c r="Q36" s="3"/>
      <c r="R36" s="7">
        <f t="shared" si="12"/>
        <v>0</v>
      </c>
      <c r="S36" s="3"/>
      <c r="T36" s="8">
        <v>0</v>
      </c>
      <c r="U36" s="3"/>
      <c r="V36" s="7">
        <f t="shared" si="13"/>
        <v>0</v>
      </c>
      <c r="W36" s="3"/>
      <c r="X36" s="8">
        <f t="shared" si="14"/>
        <v>0</v>
      </c>
      <c r="Y36" s="3"/>
      <c r="Z36" s="7">
        <f t="shared" si="15"/>
        <v>0</v>
      </c>
    </row>
    <row r="37" spans="1:26" s="24" customFormat="1" hidden="1" outlineLevel="2" x14ac:dyDescent="0.3">
      <c r="A37" s="29"/>
      <c r="B37" s="11" t="str">
        <f>CONCATENATE("          ", "6008", " - ", "STUDENT HOURLY-FICA EXEMPT")</f>
        <v xml:space="preserve">          6008 - STUDENT HOURLY-FICA EXEMPT</v>
      </c>
      <c r="C37" s="11"/>
      <c r="D37" s="8"/>
      <c r="E37" s="3"/>
      <c r="F37" s="7">
        <f t="shared" si="8"/>
        <v>0</v>
      </c>
      <c r="G37" s="3"/>
      <c r="H37" s="8">
        <v>0</v>
      </c>
      <c r="I37" s="3"/>
      <c r="J37" s="7">
        <f t="shared" si="9"/>
        <v>0</v>
      </c>
      <c r="K37" s="3"/>
      <c r="L37" s="8">
        <f t="shared" si="10"/>
        <v>0</v>
      </c>
      <c r="M37" s="3"/>
      <c r="N37" s="7">
        <f t="shared" si="11"/>
        <v>0</v>
      </c>
      <c r="O37" s="11"/>
      <c r="P37" s="8"/>
      <c r="Q37" s="3"/>
      <c r="R37" s="7">
        <f t="shared" si="12"/>
        <v>0</v>
      </c>
      <c r="S37" s="3"/>
      <c r="T37" s="8">
        <v>0</v>
      </c>
      <c r="U37" s="3"/>
      <c r="V37" s="7">
        <f t="shared" si="13"/>
        <v>0</v>
      </c>
      <c r="W37" s="3"/>
      <c r="X37" s="8">
        <f t="shared" si="14"/>
        <v>0</v>
      </c>
      <c r="Y37" s="3"/>
      <c r="Z37" s="7">
        <f t="shared" si="15"/>
        <v>0</v>
      </c>
    </row>
    <row r="38" spans="1:26" s="24" customFormat="1" hidden="1" outlineLevel="2" x14ac:dyDescent="0.3">
      <c r="A38" s="29"/>
      <c r="B38" s="11" t="str">
        <f>CONCATENATE("          ", "6009", " - ", "TEMPORARY-SEASONAL")</f>
        <v xml:space="preserve">          6009 - TEMPORARY-SEASONAL</v>
      </c>
      <c r="C38" s="11"/>
      <c r="D38" s="8"/>
      <c r="E38" s="3"/>
      <c r="F38" s="7">
        <f t="shared" si="8"/>
        <v>0</v>
      </c>
      <c r="G38" s="3"/>
      <c r="H38" s="8">
        <v>0</v>
      </c>
      <c r="I38" s="3"/>
      <c r="J38" s="7">
        <f t="shared" si="9"/>
        <v>0</v>
      </c>
      <c r="K38" s="3"/>
      <c r="L38" s="8">
        <f t="shared" si="10"/>
        <v>0</v>
      </c>
      <c r="M38" s="3"/>
      <c r="N38" s="7">
        <f t="shared" si="11"/>
        <v>0</v>
      </c>
      <c r="O38" s="11"/>
      <c r="P38" s="8"/>
      <c r="Q38" s="3"/>
      <c r="R38" s="7">
        <f t="shared" si="12"/>
        <v>0</v>
      </c>
      <c r="S38" s="3"/>
      <c r="T38" s="8">
        <v>0</v>
      </c>
      <c r="U38" s="3"/>
      <c r="V38" s="7">
        <f t="shared" si="13"/>
        <v>0</v>
      </c>
      <c r="W38" s="3"/>
      <c r="X38" s="8">
        <f t="shared" si="14"/>
        <v>0</v>
      </c>
      <c r="Y38" s="3"/>
      <c r="Z38" s="7">
        <f t="shared" si="15"/>
        <v>0</v>
      </c>
    </row>
    <row r="39" spans="1:26" s="24" customFormat="1" hidden="1" outlineLevel="2" x14ac:dyDescent="0.3">
      <c r="A39" s="29"/>
      <c r="B39" s="11" t="str">
        <f>CONCATENATE("          ", "6010", " - ", "GRATUITY")</f>
        <v xml:space="preserve">          6010 - GRATUITY</v>
      </c>
      <c r="C39" s="11"/>
      <c r="D39" s="8"/>
      <c r="E39" s="3"/>
      <c r="F39" s="7">
        <f t="shared" si="8"/>
        <v>0</v>
      </c>
      <c r="G39" s="3"/>
      <c r="H39" s="8">
        <v>0</v>
      </c>
      <c r="I39" s="3"/>
      <c r="J39" s="7">
        <f t="shared" si="9"/>
        <v>0</v>
      </c>
      <c r="K39" s="3"/>
      <c r="L39" s="8">
        <f t="shared" si="10"/>
        <v>0</v>
      </c>
      <c r="M39" s="3"/>
      <c r="N39" s="7">
        <f t="shared" si="11"/>
        <v>0</v>
      </c>
      <c r="O39" s="11"/>
      <c r="P39" s="8"/>
      <c r="Q39" s="3"/>
      <c r="R39" s="7">
        <f t="shared" si="12"/>
        <v>0</v>
      </c>
      <c r="S39" s="3"/>
      <c r="T39" s="8">
        <v>0</v>
      </c>
      <c r="U39" s="3"/>
      <c r="V39" s="7">
        <f t="shared" si="13"/>
        <v>0</v>
      </c>
      <c r="W39" s="3"/>
      <c r="X39" s="8">
        <f t="shared" si="14"/>
        <v>0</v>
      </c>
      <c r="Y39" s="3"/>
      <c r="Z39" s="7">
        <f t="shared" si="15"/>
        <v>0</v>
      </c>
    </row>
    <row r="40" spans="1:26" s="27" customFormat="1" outlineLevel="1" collapsed="1" x14ac:dyDescent="0.3">
      <c r="A40" s="28"/>
      <c r="B40" s="14" t="str">
        <f>CONCATENATE("     ","Bank/card Fees                                    ")</f>
        <v xml:space="preserve">     Bank/card Fees                                    </v>
      </c>
      <c r="C40" s="14"/>
      <c r="D40" s="1">
        <f>SUM(OSRRefD22_2x_0)</f>
        <v>242.91</v>
      </c>
      <c r="E40" s="1"/>
      <c r="F40" s="5">
        <f t="shared" ref="F40:F44" si="16">IF(D$12=0,0,D40/D$12)</f>
        <v>0</v>
      </c>
      <c r="G40" s="1"/>
      <c r="H40" s="1">
        <f>SUM(OSRRefH22_2x_0)</f>
        <v>839</v>
      </c>
      <c r="I40" s="1"/>
      <c r="J40" s="5">
        <f t="shared" ref="J40:J44" si="17">IF(H$12=0,0,H40/H$12)</f>
        <v>0</v>
      </c>
      <c r="K40" s="1"/>
      <c r="L40" s="1">
        <f t="shared" ref="L40:L44" si="18">+D40-H40</f>
        <v>-596.09</v>
      </c>
      <c r="M40" s="1"/>
      <c r="N40" s="5">
        <f t="shared" ref="N40:N44" si="19">IF(H40=0,0,L40/H40)</f>
        <v>-0.71047675804529209</v>
      </c>
      <c r="O40" s="14"/>
      <c r="P40" s="1">
        <f>SUM(OSRRefP22_2x_0)</f>
        <v>242.91</v>
      </c>
      <c r="Q40" s="1"/>
      <c r="R40" s="5">
        <f t="shared" ref="R40:R44" si="20">IF(P$12=0,0,P40/P$12)</f>
        <v>0</v>
      </c>
      <c r="S40" s="1"/>
      <c r="T40" s="1">
        <f>SUM(OSRRefT22_2x_0)</f>
        <v>839</v>
      </c>
      <c r="U40" s="1"/>
      <c r="V40" s="5">
        <f t="shared" ref="V40:V44" si="21">IF(T$12=0,0,T40/T$12)</f>
        <v>0</v>
      </c>
      <c r="W40" s="1"/>
      <c r="X40" s="1">
        <f t="shared" ref="X40:X44" si="22">+P40-T40</f>
        <v>-596.09</v>
      </c>
      <c r="Y40" s="1"/>
      <c r="Z40" s="5">
        <f t="shared" ref="Z40:Z44" si="23">IF(T40=0,0,X40/T40)</f>
        <v>-0.71047675804529209</v>
      </c>
    </row>
    <row r="41" spans="1:26" s="24" customFormat="1" hidden="1" outlineLevel="2" x14ac:dyDescent="0.3">
      <c r="A41" s="29"/>
      <c r="B41" s="11" t="str">
        <f>CONCATENATE("          ", "6381", " - ", "BANK/CREDIT CARD FEES")</f>
        <v xml:space="preserve">          6381 - BANK/CREDIT CARD FEES</v>
      </c>
      <c r="C41" s="11"/>
      <c r="D41" s="8">
        <v>242.91</v>
      </c>
      <c r="E41" s="3"/>
      <c r="F41" s="7">
        <f t="shared" si="16"/>
        <v>0</v>
      </c>
      <c r="G41" s="3"/>
      <c r="H41" s="8">
        <v>839</v>
      </c>
      <c r="I41" s="3"/>
      <c r="J41" s="7">
        <f t="shared" si="17"/>
        <v>0</v>
      </c>
      <c r="K41" s="3"/>
      <c r="L41" s="8">
        <f t="shared" si="18"/>
        <v>-596.09</v>
      </c>
      <c r="M41" s="3"/>
      <c r="N41" s="7">
        <f t="shared" si="19"/>
        <v>-0.71047675804529209</v>
      </c>
      <c r="O41" s="11"/>
      <c r="P41" s="8">
        <v>242.91</v>
      </c>
      <c r="Q41" s="3"/>
      <c r="R41" s="7">
        <f t="shared" si="20"/>
        <v>0</v>
      </c>
      <c r="S41" s="3"/>
      <c r="T41" s="8">
        <v>839</v>
      </c>
      <c r="U41" s="3"/>
      <c r="V41" s="7">
        <f t="shared" si="21"/>
        <v>0</v>
      </c>
      <c r="W41" s="3"/>
      <c r="X41" s="8">
        <f t="shared" si="22"/>
        <v>-596.09</v>
      </c>
      <c r="Y41" s="3"/>
      <c r="Z41" s="7">
        <f t="shared" si="23"/>
        <v>-0.71047675804529209</v>
      </c>
    </row>
    <row r="42" spans="1:26" s="27" customFormat="1" outlineLevel="1" collapsed="1" x14ac:dyDescent="0.3">
      <c r="A42" s="28"/>
      <c r="B42" s="14" t="str">
        <f>CONCATENATE("     ","Depreciation                                      ")</f>
        <v xml:space="preserve">     Depreciation                                      </v>
      </c>
      <c r="C42" s="14"/>
      <c r="D42" s="1">
        <f>SUM(OSRRefD22_3x_0)</f>
        <v>5331.53</v>
      </c>
      <c r="E42" s="1"/>
      <c r="F42" s="5">
        <f t="shared" si="16"/>
        <v>0</v>
      </c>
      <c r="G42" s="1"/>
      <c r="H42" s="1">
        <f>SUM(OSRRefH22_3x_0)</f>
        <v>5332</v>
      </c>
      <c r="I42" s="1"/>
      <c r="J42" s="5">
        <f t="shared" si="17"/>
        <v>0</v>
      </c>
      <c r="K42" s="1"/>
      <c r="L42" s="1">
        <f t="shared" si="18"/>
        <v>-0.47000000000025466</v>
      </c>
      <c r="M42" s="1"/>
      <c r="N42" s="5">
        <f t="shared" si="19"/>
        <v>-8.8147036759237562E-5</v>
      </c>
      <c r="O42" s="14"/>
      <c r="P42" s="1">
        <f>SUM(OSRRefP22_3x_0)</f>
        <v>5331.53</v>
      </c>
      <c r="Q42" s="1"/>
      <c r="R42" s="5">
        <f t="shared" si="20"/>
        <v>0</v>
      </c>
      <c r="S42" s="1"/>
      <c r="T42" s="1">
        <f>SUM(OSRRefT22_3x_0)</f>
        <v>5332</v>
      </c>
      <c r="U42" s="1"/>
      <c r="V42" s="5">
        <f t="shared" si="21"/>
        <v>0</v>
      </c>
      <c r="W42" s="1"/>
      <c r="X42" s="1">
        <f t="shared" si="22"/>
        <v>-0.47000000000025466</v>
      </c>
      <c r="Y42" s="1"/>
      <c r="Z42" s="5">
        <f t="shared" si="23"/>
        <v>-8.8147036759237562E-5</v>
      </c>
    </row>
    <row r="43" spans="1:26" s="24" customFormat="1" hidden="1" outlineLevel="2" x14ac:dyDescent="0.3">
      <c r="A43" s="29"/>
      <c r="B43" s="11" t="str">
        <f>CONCATENATE("          ", "6321", " - ", "BUILDING DEPRECIATION")</f>
        <v xml:space="preserve">          6321 - BUILDING DEPRECIATION</v>
      </c>
      <c r="C43" s="11"/>
      <c r="D43" s="8">
        <v>1822.68</v>
      </c>
      <c r="E43" s="3"/>
      <c r="F43" s="7">
        <f t="shared" si="16"/>
        <v>0</v>
      </c>
      <c r="G43" s="3"/>
      <c r="H43" s="8"/>
      <c r="I43" s="3"/>
      <c r="J43" s="7">
        <f t="shared" si="17"/>
        <v>0</v>
      </c>
      <c r="K43" s="3"/>
      <c r="L43" s="8">
        <f t="shared" si="18"/>
        <v>1822.68</v>
      </c>
      <c r="M43" s="3"/>
      <c r="N43" s="7">
        <f t="shared" si="19"/>
        <v>0</v>
      </c>
      <c r="O43" s="11"/>
      <c r="P43" s="8">
        <v>1822.68</v>
      </c>
      <c r="Q43" s="3"/>
      <c r="R43" s="7">
        <f t="shared" si="20"/>
        <v>0</v>
      </c>
      <c r="S43" s="3"/>
      <c r="T43" s="8"/>
      <c r="U43" s="3"/>
      <c r="V43" s="7">
        <f t="shared" si="21"/>
        <v>0</v>
      </c>
      <c r="W43" s="3"/>
      <c r="X43" s="8">
        <f t="shared" si="22"/>
        <v>1822.68</v>
      </c>
      <c r="Y43" s="3"/>
      <c r="Z43" s="7">
        <f t="shared" si="23"/>
        <v>0</v>
      </c>
    </row>
    <row r="44" spans="1:26" s="24" customFormat="1" hidden="1" outlineLevel="2" x14ac:dyDescent="0.3">
      <c r="A44" s="29"/>
      <c r="B44" s="11" t="str">
        <f>CONCATENATE("          ", "6322", " - ", "EQUIPMENT DEPRECIATION EXPENSE")</f>
        <v xml:space="preserve">          6322 - EQUIPMENT DEPRECIATION EXPENSE</v>
      </c>
      <c r="C44" s="11"/>
      <c r="D44" s="8">
        <v>3508.85</v>
      </c>
      <c r="E44" s="3"/>
      <c r="F44" s="7">
        <f t="shared" si="16"/>
        <v>0</v>
      </c>
      <c r="G44" s="3"/>
      <c r="H44" s="8">
        <v>5332</v>
      </c>
      <c r="I44" s="3"/>
      <c r="J44" s="7">
        <f t="shared" si="17"/>
        <v>0</v>
      </c>
      <c r="K44" s="3"/>
      <c r="L44" s="8">
        <f t="shared" si="18"/>
        <v>-1823.15</v>
      </c>
      <c r="M44" s="3"/>
      <c r="N44" s="7">
        <f t="shared" si="19"/>
        <v>-0.34192610652663169</v>
      </c>
      <c r="O44" s="11"/>
      <c r="P44" s="8">
        <v>3508.85</v>
      </c>
      <c r="Q44" s="3"/>
      <c r="R44" s="7">
        <f t="shared" si="20"/>
        <v>0</v>
      </c>
      <c r="S44" s="3"/>
      <c r="T44" s="8">
        <v>5332</v>
      </c>
      <c r="U44" s="3"/>
      <c r="V44" s="7">
        <f t="shared" si="21"/>
        <v>0</v>
      </c>
      <c r="W44" s="3"/>
      <c r="X44" s="8">
        <f t="shared" si="22"/>
        <v>-1823.15</v>
      </c>
      <c r="Y44" s="3"/>
      <c r="Z44" s="7">
        <f t="shared" si="23"/>
        <v>-0.34192610652663169</v>
      </c>
    </row>
    <row r="45" spans="1:26" s="27" customFormat="1" outlineLevel="1" collapsed="1" x14ac:dyDescent="0.3">
      <c r="A45" s="28"/>
      <c r="B45" s="14" t="str">
        <f>CONCATENATE("     ","Equipment Rental                                  ")</f>
        <v xml:space="preserve">     Equipment Rental                                  </v>
      </c>
      <c r="C45" s="14"/>
      <c r="D45" s="1">
        <f>SUM(OSRRefD22_4x_0)</f>
        <v>91.26</v>
      </c>
      <c r="E45" s="1"/>
      <c r="F45" s="5">
        <f t="shared" ref="F45:F53" si="24">IF(D$12=0,0,D45/D$12)</f>
        <v>0</v>
      </c>
      <c r="G45" s="1"/>
      <c r="H45" s="1">
        <f>SUM(OSRRefH22_4x_0)</f>
        <v>300</v>
      </c>
      <c r="I45" s="1"/>
      <c r="J45" s="5">
        <f t="shared" ref="J45:J53" si="25">IF(H$12=0,0,H45/H$12)</f>
        <v>0</v>
      </c>
      <c r="K45" s="1"/>
      <c r="L45" s="1">
        <f t="shared" ref="L45:L53" si="26">+D45-H45</f>
        <v>-208.74</v>
      </c>
      <c r="M45" s="1"/>
      <c r="N45" s="5">
        <f t="shared" ref="N45:N53" si="27">IF(H45=0,0,L45/H45)</f>
        <v>-0.69580000000000009</v>
      </c>
      <c r="O45" s="14"/>
      <c r="P45" s="1">
        <f>SUM(OSRRefP22_4x_0)</f>
        <v>91.26</v>
      </c>
      <c r="Q45" s="1"/>
      <c r="R45" s="5">
        <f t="shared" ref="R45:R53" si="28">IF(P$12=0,0,P45/P$12)</f>
        <v>0</v>
      </c>
      <c r="S45" s="1"/>
      <c r="T45" s="1">
        <f>SUM(OSRRefT22_4x_0)</f>
        <v>300</v>
      </c>
      <c r="U45" s="1"/>
      <c r="V45" s="5">
        <f t="shared" ref="V45:V53" si="29">IF(T$12=0,0,T45/T$12)</f>
        <v>0</v>
      </c>
      <c r="W45" s="1"/>
      <c r="X45" s="1">
        <f t="shared" ref="X45:X53" si="30">+P45-T45</f>
        <v>-208.74</v>
      </c>
      <c r="Y45" s="1"/>
      <c r="Z45" s="5">
        <f t="shared" ref="Z45:Z53" si="31">IF(T45=0,0,X45/T45)</f>
        <v>-0.69580000000000009</v>
      </c>
    </row>
    <row r="46" spans="1:26" s="24" customFormat="1" hidden="1" outlineLevel="2" x14ac:dyDescent="0.3">
      <c r="A46" s="29"/>
      <c r="B46" s="11" t="str">
        <f>CONCATENATE("          ", "6351", " - ", "EQUIPMENT RENTAL")</f>
        <v xml:space="preserve">          6351 - EQUIPMENT RENTAL</v>
      </c>
      <c r="C46" s="11"/>
      <c r="D46" s="8">
        <v>91.26</v>
      </c>
      <c r="E46" s="3"/>
      <c r="F46" s="7">
        <f t="shared" si="24"/>
        <v>0</v>
      </c>
      <c r="G46" s="3"/>
      <c r="H46" s="8">
        <v>300</v>
      </c>
      <c r="I46" s="3"/>
      <c r="J46" s="7">
        <f t="shared" si="25"/>
        <v>0</v>
      </c>
      <c r="K46" s="3"/>
      <c r="L46" s="8">
        <f t="shared" si="26"/>
        <v>-208.74</v>
      </c>
      <c r="M46" s="3"/>
      <c r="N46" s="7">
        <f t="shared" si="27"/>
        <v>-0.69580000000000009</v>
      </c>
      <c r="O46" s="11"/>
      <c r="P46" s="8">
        <v>91.26</v>
      </c>
      <c r="Q46" s="3"/>
      <c r="R46" s="7">
        <f t="shared" si="28"/>
        <v>0</v>
      </c>
      <c r="S46" s="3"/>
      <c r="T46" s="8">
        <v>300</v>
      </c>
      <c r="U46" s="3"/>
      <c r="V46" s="7">
        <f t="shared" si="29"/>
        <v>0</v>
      </c>
      <c r="W46" s="3"/>
      <c r="X46" s="8">
        <f t="shared" si="30"/>
        <v>-208.74</v>
      </c>
      <c r="Y46" s="3"/>
      <c r="Z46" s="7">
        <f t="shared" si="31"/>
        <v>-0.69580000000000009</v>
      </c>
    </row>
    <row r="47" spans="1:26" s="27" customFormat="1" outlineLevel="1" collapsed="1" x14ac:dyDescent="0.3">
      <c r="A47" s="28"/>
      <c r="B47" s="14" t="str">
        <f>CONCATENATE("     ","General                                           ")</f>
        <v xml:space="preserve">     General                                           </v>
      </c>
      <c r="C47" s="14"/>
      <c r="D47" s="1">
        <f>SUM(OSRRefD22_5x_0)</f>
        <v>122.51</v>
      </c>
      <c r="E47" s="1"/>
      <c r="F47" s="5">
        <f t="shared" si="24"/>
        <v>0</v>
      </c>
      <c r="G47" s="1"/>
      <c r="H47" s="1">
        <f>SUM(OSRRefH22_5x_0)</f>
        <v>500</v>
      </c>
      <c r="I47" s="1"/>
      <c r="J47" s="5">
        <f t="shared" si="25"/>
        <v>0</v>
      </c>
      <c r="K47" s="1"/>
      <c r="L47" s="1">
        <f t="shared" si="26"/>
        <v>-377.49</v>
      </c>
      <c r="M47" s="1"/>
      <c r="N47" s="5">
        <f t="shared" si="27"/>
        <v>-0.75497999999999998</v>
      </c>
      <c r="O47" s="14"/>
      <c r="P47" s="1">
        <f>SUM(OSRRefP22_5x_0)</f>
        <v>122.51</v>
      </c>
      <c r="Q47" s="1"/>
      <c r="R47" s="5">
        <f t="shared" si="28"/>
        <v>0</v>
      </c>
      <c r="S47" s="1"/>
      <c r="T47" s="1">
        <f>SUM(OSRRefT22_5x_0)</f>
        <v>500</v>
      </c>
      <c r="U47" s="1"/>
      <c r="V47" s="5">
        <f t="shared" si="29"/>
        <v>0</v>
      </c>
      <c r="W47" s="1"/>
      <c r="X47" s="1">
        <f t="shared" si="30"/>
        <v>-377.49</v>
      </c>
      <c r="Y47" s="1"/>
      <c r="Z47" s="5">
        <f t="shared" si="31"/>
        <v>-0.75497999999999998</v>
      </c>
    </row>
    <row r="48" spans="1:26" s="24" customFormat="1" hidden="1" outlineLevel="2" x14ac:dyDescent="0.3">
      <c r="A48" s="29"/>
      <c r="B48" s="11" t="str">
        <f>CONCATENATE("          ", "6279", " - ", "GENERAL EXPENSE")</f>
        <v xml:space="preserve">          6279 - GENERAL EXPENSE</v>
      </c>
      <c r="C48" s="11"/>
      <c r="D48" s="8">
        <v>122.51</v>
      </c>
      <c r="E48" s="3"/>
      <c r="F48" s="7">
        <f t="shared" si="24"/>
        <v>0</v>
      </c>
      <c r="G48" s="3"/>
      <c r="H48" s="8">
        <v>500</v>
      </c>
      <c r="I48" s="3"/>
      <c r="J48" s="7">
        <f t="shared" si="25"/>
        <v>0</v>
      </c>
      <c r="K48" s="3"/>
      <c r="L48" s="8">
        <f t="shared" si="26"/>
        <v>-377.49</v>
      </c>
      <c r="M48" s="3"/>
      <c r="N48" s="7">
        <f t="shared" si="27"/>
        <v>-0.75497999999999998</v>
      </c>
      <c r="O48" s="11"/>
      <c r="P48" s="8">
        <v>122.51</v>
      </c>
      <c r="Q48" s="3"/>
      <c r="R48" s="7">
        <f t="shared" si="28"/>
        <v>0</v>
      </c>
      <c r="S48" s="3"/>
      <c r="T48" s="8">
        <v>500</v>
      </c>
      <c r="U48" s="3"/>
      <c r="V48" s="7">
        <f t="shared" si="29"/>
        <v>0</v>
      </c>
      <c r="W48" s="3"/>
      <c r="X48" s="8">
        <f t="shared" si="30"/>
        <v>-377.49</v>
      </c>
      <c r="Y48" s="3"/>
      <c r="Z48" s="7">
        <f t="shared" si="31"/>
        <v>-0.75497999999999998</v>
      </c>
    </row>
    <row r="49" spans="1:26" s="27" customFormat="1" outlineLevel="1" collapsed="1" x14ac:dyDescent="0.3">
      <c r="A49" s="28"/>
      <c r="B49" s="14" t="str">
        <f>CONCATENATE("     ","Insurance                                         ")</f>
        <v xml:space="preserve">     Insurance                                         </v>
      </c>
      <c r="C49" s="14"/>
      <c r="D49" s="1">
        <f>SUM(OSRRefD22_6x_0)</f>
        <v>4884.6000000000004</v>
      </c>
      <c r="E49" s="1"/>
      <c r="F49" s="5">
        <f t="shared" si="24"/>
        <v>0</v>
      </c>
      <c r="G49" s="1"/>
      <c r="H49" s="1">
        <f>SUM(OSRRefH22_6x_0)</f>
        <v>4820</v>
      </c>
      <c r="I49" s="1"/>
      <c r="J49" s="5">
        <f t="shared" si="25"/>
        <v>0</v>
      </c>
      <c r="K49" s="1"/>
      <c r="L49" s="1">
        <f t="shared" si="26"/>
        <v>64.600000000000364</v>
      </c>
      <c r="M49" s="1"/>
      <c r="N49" s="5">
        <f t="shared" si="27"/>
        <v>1.3402489626556092E-2</v>
      </c>
      <c r="O49" s="14"/>
      <c r="P49" s="1">
        <f>SUM(OSRRefP22_6x_0)</f>
        <v>4884.6000000000004</v>
      </c>
      <c r="Q49" s="1"/>
      <c r="R49" s="5">
        <f t="shared" si="28"/>
        <v>0</v>
      </c>
      <c r="S49" s="1"/>
      <c r="T49" s="1">
        <f>SUM(OSRRefT22_6x_0)</f>
        <v>4820</v>
      </c>
      <c r="U49" s="1"/>
      <c r="V49" s="5">
        <f t="shared" si="29"/>
        <v>0</v>
      </c>
      <c r="W49" s="1"/>
      <c r="X49" s="1">
        <f t="shared" si="30"/>
        <v>64.600000000000364</v>
      </c>
      <c r="Y49" s="1"/>
      <c r="Z49" s="5">
        <f t="shared" si="31"/>
        <v>1.3402489626556092E-2</v>
      </c>
    </row>
    <row r="50" spans="1:26" s="24" customFormat="1" hidden="1" outlineLevel="2" x14ac:dyDescent="0.3">
      <c r="A50" s="29"/>
      <c r="B50" s="11" t="str">
        <f>CONCATENATE("          ", "6314", " - ", "LIABILITY INSURANCE")</f>
        <v xml:space="preserve">          6314 - LIABILITY INSURANCE</v>
      </c>
      <c r="C50" s="11"/>
      <c r="D50" s="8">
        <v>4884.6000000000004</v>
      </c>
      <c r="E50" s="3"/>
      <c r="F50" s="7">
        <f t="shared" si="24"/>
        <v>0</v>
      </c>
      <c r="G50" s="3"/>
      <c r="H50" s="8">
        <v>4820</v>
      </c>
      <c r="I50" s="3"/>
      <c r="J50" s="7">
        <f t="shared" si="25"/>
        <v>0</v>
      </c>
      <c r="K50" s="3"/>
      <c r="L50" s="8">
        <f t="shared" si="26"/>
        <v>64.600000000000364</v>
      </c>
      <c r="M50" s="3"/>
      <c r="N50" s="7">
        <f t="shared" si="27"/>
        <v>1.3402489626556092E-2</v>
      </c>
      <c r="O50" s="11"/>
      <c r="P50" s="8">
        <v>4884.6000000000004</v>
      </c>
      <c r="Q50" s="3"/>
      <c r="R50" s="7">
        <f t="shared" si="28"/>
        <v>0</v>
      </c>
      <c r="S50" s="3"/>
      <c r="T50" s="8">
        <v>4820</v>
      </c>
      <c r="U50" s="3"/>
      <c r="V50" s="7">
        <f t="shared" si="29"/>
        <v>0</v>
      </c>
      <c r="W50" s="3"/>
      <c r="X50" s="8">
        <f t="shared" si="30"/>
        <v>64.600000000000364</v>
      </c>
      <c r="Y50" s="3"/>
      <c r="Z50" s="7">
        <f t="shared" si="31"/>
        <v>1.3402489626556092E-2</v>
      </c>
    </row>
    <row r="51" spans="1:26" s="27" customFormat="1" outlineLevel="1" collapsed="1" x14ac:dyDescent="0.3">
      <c r="A51" s="28"/>
      <c r="B51" s="14" t="str">
        <f>CONCATENATE("     ","Repair and Maintenance                            ")</f>
        <v xml:space="preserve">     Repair and Maintenance                            </v>
      </c>
      <c r="C51" s="14"/>
      <c r="D51" s="1">
        <f>SUM(OSRRefD22_7x_0)</f>
        <v>877.46</v>
      </c>
      <c r="E51" s="1"/>
      <c r="F51" s="5">
        <f t="shared" si="24"/>
        <v>0</v>
      </c>
      <c r="G51" s="1"/>
      <c r="H51" s="1">
        <f>SUM(OSRRefH22_7x_0)</f>
        <v>0</v>
      </c>
      <c r="I51" s="1"/>
      <c r="J51" s="5">
        <f t="shared" si="25"/>
        <v>0</v>
      </c>
      <c r="K51" s="1"/>
      <c r="L51" s="1">
        <f t="shared" si="26"/>
        <v>877.46</v>
      </c>
      <c r="M51" s="1"/>
      <c r="N51" s="5">
        <f t="shared" si="27"/>
        <v>0</v>
      </c>
      <c r="O51" s="14"/>
      <c r="P51" s="1">
        <f>SUM(OSRRefP22_7x_0)</f>
        <v>877.46</v>
      </c>
      <c r="Q51" s="1"/>
      <c r="R51" s="5">
        <f t="shared" si="28"/>
        <v>0</v>
      </c>
      <c r="S51" s="1"/>
      <c r="T51" s="1">
        <f>SUM(OSRRefT22_7x_0)</f>
        <v>0</v>
      </c>
      <c r="U51" s="1"/>
      <c r="V51" s="5">
        <f t="shared" si="29"/>
        <v>0</v>
      </c>
      <c r="W51" s="1"/>
      <c r="X51" s="1">
        <f t="shared" si="30"/>
        <v>877.46</v>
      </c>
      <c r="Y51" s="1"/>
      <c r="Z51" s="5">
        <f t="shared" si="31"/>
        <v>0</v>
      </c>
    </row>
    <row r="52" spans="1:26" s="24" customFormat="1" hidden="1" outlineLevel="2" x14ac:dyDescent="0.3">
      <c r="A52" s="29"/>
      <c r="B52" s="11" t="str">
        <f>CONCATENATE("          ", "6373", " - ", "MAINTENANCE CONTRACTS")</f>
        <v xml:space="preserve">          6373 - MAINTENANCE CONTRACTS</v>
      </c>
      <c r="C52" s="11"/>
      <c r="D52" s="8">
        <v>0.87</v>
      </c>
      <c r="E52" s="3"/>
      <c r="F52" s="7">
        <f t="shared" si="24"/>
        <v>0</v>
      </c>
      <c r="G52" s="3"/>
      <c r="H52" s="8"/>
      <c r="I52" s="3"/>
      <c r="J52" s="7">
        <f t="shared" si="25"/>
        <v>0</v>
      </c>
      <c r="K52" s="3"/>
      <c r="L52" s="8">
        <f t="shared" si="26"/>
        <v>0.87</v>
      </c>
      <c r="M52" s="3"/>
      <c r="N52" s="7">
        <f t="shared" si="27"/>
        <v>0</v>
      </c>
      <c r="O52" s="11"/>
      <c r="P52" s="8">
        <v>0.87</v>
      </c>
      <c r="Q52" s="3"/>
      <c r="R52" s="7">
        <f t="shared" si="28"/>
        <v>0</v>
      </c>
      <c r="S52" s="3"/>
      <c r="T52" s="8"/>
      <c r="U52" s="3"/>
      <c r="V52" s="7">
        <f t="shared" si="29"/>
        <v>0</v>
      </c>
      <c r="W52" s="3"/>
      <c r="X52" s="8">
        <f t="shared" si="30"/>
        <v>0.87</v>
      </c>
      <c r="Y52" s="3"/>
      <c r="Z52" s="7">
        <f t="shared" si="31"/>
        <v>0</v>
      </c>
    </row>
    <row r="53" spans="1:26" s="24" customFormat="1" hidden="1" outlineLevel="2" x14ac:dyDescent="0.3">
      <c r="A53" s="29"/>
      <c r="B53" s="11" t="str">
        <f>CONCATENATE("          ", "6375", " - ", "OUTSIDE REPAIRS &amp; MAINTENANCE")</f>
        <v xml:space="preserve">          6375 - OUTSIDE REPAIRS &amp; MAINTENANCE</v>
      </c>
      <c r="C53" s="11"/>
      <c r="D53" s="8">
        <v>876.59</v>
      </c>
      <c r="E53" s="3"/>
      <c r="F53" s="7">
        <f t="shared" si="24"/>
        <v>0</v>
      </c>
      <c r="G53" s="3"/>
      <c r="H53" s="8"/>
      <c r="I53" s="3"/>
      <c r="J53" s="7">
        <f t="shared" si="25"/>
        <v>0</v>
      </c>
      <c r="K53" s="3"/>
      <c r="L53" s="8">
        <f t="shared" si="26"/>
        <v>876.59</v>
      </c>
      <c r="M53" s="3"/>
      <c r="N53" s="7">
        <f t="shared" si="27"/>
        <v>0</v>
      </c>
      <c r="O53" s="11"/>
      <c r="P53" s="8">
        <v>876.59</v>
      </c>
      <c r="Q53" s="3"/>
      <c r="R53" s="7">
        <f t="shared" si="28"/>
        <v>0</v>
      </c>
      <c r="S53" s="3"/>
      <c r="T53" s="8"/>
      <c r="U53" s="3"/>
      <c r="V53" s="7">
        <f t="shared" si="29"/>
        <v>0</v>
      </c>
      <c r="W53" s="3"/>
      <c r="X53" s="8">
        <f t="shared" si="30"/>
        <v>876.59</v>
      </c>
      <c r="Y53" s="3"/>
      <c r="Z53" s="7">
        <f t="shared" si="31"/>
        <v>0</v>
      </c>
    </row>
    <row r="54" spans="1:26" s="27" customFormat="1" outlineLevel="1" collapsed="1" x14ac:dyDescent="0.3">
      <c r="A54" s="28"/>
      <c r="B54" s="14" t="str">
        <f>CONCATENATE("     ","Services                                          ")</f>
        <v xml:space="preserve">     Services                                          </v>
      </c>
      <c r="C54" s="14"/>
      <c r="D54" s="1">
        <f>SUM(OSRRefD22_8x_0)</f>
        <v>670.1</v>
      </c>
      <c r="E54" s="1"/>
      <c r="F54" s="5">
        <f t="shared" ref="F54:F56" si="32">IF(D$12=0,0,D54/D$12)</f>
        <v>0</v>
      </c>
      <c r="G54" s="1"/>
      <c r="H54" s="1">
        <f>SUM(OSRRefH22_8x_0)</f>
        <v>650</v>
      </c>
      <c r="I54" s="1"/>
      <c r="J54" s="5">
        <f t="shared" ref="J54:J56" si="33">IF(H$12=0,0,H54/H$12)</f>
        <v>0</v>
      </c>
      <c r="K54" s="1"/>
      <c r="L54" s="1">
        <f t="shared" ref="L54:L56" si="34">+D54-H54</f>
        <v>20.100000000000023</v>
      </c>
      <c r="M54" s="1"/>
      <c r="N54" s="5">
        <f t="shared" ref="N54:N56" si="35">IF(H54=0,0,L54/H54)</f>
        <v>3.0923076923076959E-2</v>
      </c>
      <c r="O54" s="14"/>
      <c r="P54" s="1">
        <f>SUM(OSRRefP22_8x_0)</f>
        <v>670.1</v>
      </c>
      <c r="Q54" s="1"/>
      <c r="R54" s="5">
        <f t="shared" ref="R54:R56" si="36">IF(P$12=0,0,P54/P$12)</f>
        <v>0</v>
      </c>
      <c r="S54" s="1"/>
      <c r="T54" s="1">
        <f>SUM(OSRRefT22_8x_0)</f>
        <v>650</v>
      </c>
      <c r="U54" s="1"/>
      <c r="V54" s="5">
        <f t="shared" ref="V54:V56" si="37">IF(T$12=0,0,T54/T$12)</f>
        <v>0</v>
      </c>
      <c r="W54" s="1"/>
      <c r="X54" s="1">
        <f t="shared" ref="X54:X56" si="38">+P54-T54</f>
        <v>20.100000000000023</v>
      </c>
      <c r="Y54" s="1"/>
      <c r="Z54" s="5">
        <f t="shared" ref="Z54:Z56" si="39">IF(T54=0,0,X54/T54)</f>
        <v>3.0923076923076959E-2</v>
      </c>
    </row>
    <row r="55" spans="1:26" s="24" customFormat="1" hidden="1" outlineLevel="2" x14ac:dyDescent="0.3">
      <c r="A55" s="29"/>
      <c r="B55" s="11" t="str">
        <f>CONCATENATE("          ", "6282", " - ", "JANITORIAL/EXTERMINATOR EXPENS")</f>
        <v xml:space="preserve">          6282 - JANITORIAL/EXTERMINATOR EXPENS</v>
      </c>
      <c r="C55" s="11"/>
      <c r="D55" s="8">
        <v>670.1</v>
      </c>
      <c r="E55" s="3"/>
      <c r="F55" s="7">
        <f t="shared" si="32"/>
        <v>0</v>
      </c>
      <c r="G55" s="3"/>
      <c r="H55" s="8">
        <v>650</v>
      </c>
      <c r="I55" s="3"/>
      <c r="J55" s="7">
        <f t="shared" si="33"/>
        <v>0</v>
      </c>
      <c r="K55" s="3"/>
      <c r="L55" s="8">
        <f t="shared" si="34"/>
        <v>20.100000000000023</v>
      </c>
      <c r="M55" s="3"/>
      <c r="N55" s="7">
        <f t="shared" si="35"/>
        <v>3.0923076923076959E-2</v>
      </c>
      <c r="O55" s="11"/>
      <c r="P55" s="8">
        <v>670.1</v>
      </c>
      <c r="Q55" s="3"/>
      <c r="R55" s="7">
        <f t="shared" si="36"/>
        <v>0</v>
      </c>
      <c r="S55" s="3"/>
      <c r="T55" s="8">
        <v>650</v>
      </c>
      <c r="U55" s="3"/>
      <c r="V55" s="7">
        <f t="shared" si="37"/>
        <v>0</v>
      </c>
      <c r="W55" s="3"/>
      <c r="X55" s="8">
        <f t="shared" si="38"/>
        <v>20.100000000000023</v>
      </c>
      <c r="Y55" s="3"/>
      <c r="Z55" s="7">
        <f t="shared" si="39"/>
        <v>3.0923076923076959E-2</v>
      </c>
    </row>
    <row r="56" spans="1:26" s="24" customFormat="1" hidden="1" outlineLevel="2" x14ac:dyDescent="0.3">
      <c r="A56" s="29"/>
      <c r="B56" s="11" t="str">
        <f>CONCATENATE("          ", "6284", " - ", "TRASH REMOVAL EXPENSE")</f>
        <v xml:space="preserve">          6284 - TRASH REMOVAL EXPENSE</v>
      </c>
      <c r="C56" s="11"/>
      <c r="D56" s="8"/>
      <c r="E56" s="3"/>
      <c r="F56" s="7">
        <f t="shared" si="32"/>
        <v>0</v>
      </c>
      <c r="G56" s="3"/>
      <c r="H56" s="8">
        <v>0</v>
      </c>
      <c r="I56" s="3"/>
      <c r="J56" s="7">
        <f t="shared" si="33"/>
        <v>0</v>
      </c>
      <c r="K56" s="3"/>
      <c r="L56" s="8">
        <f t="shared" si="34"/>
        <v>0</v>
      </c>
      <c r="M56" s="3"/>
      <c r="N56" s="7">
        <f t="shared" si="35"/>
        <v>0</v>
      </c>
      <c r="O56" s="11"/>
      <c r="P56" s="8"/>
      <c r="Q56" s="3"/>
      <c r="R56" s="7">
        <f t="shared" si="36"/>
        <v>0</v>
      </c>
      <c r="S56" s="3"/>
      <c r="T56" s="8">
        <v>0</v>
      </c>
      <c r="U56" s="3"/>
      <c r="V56" s="7">
        <f t="shared" si="37"/>
        <v>0</v>
      </c>
      <c r="W56" s="3"/>
      <c r="X56" s="8">
        <f t="shared" si="38"/>
        <v>0</v>
      </c>
      <c r="Y56" s="3"/>
      <c r="Z56" s="7">
        <f t="shared" si="39"/>
        <v>0</v>
      </c>
    </row>
    <row r="57" spans="1:26" s="27" customFormat="1" outlineLevel="1" collapsed="1" x14ac:dyDescent="0.3">
      <c r="A57" s="28"/>
      <c r="B57" s="14" t="str">
        <f>CONCATENATE("     ","Supplies                                          ")</f>
        <v xml:space="preserve">     Supplies                                          </v>
      </c>
      <c r="C57" s="14"/>
      <c r="D57" s="1">
        <f>SUM(OSRRefD22_9x_0)</f>
        <v>155.75</v>
      </c>
      <c r="E57" s="1"/>
      <c r="F57" s="5">
        <f t="shared" ref="F57:F64" si="40">IF(D$12=0,0,D57/D$12)</f>
        <v>0</v>
      </c>
      <c r="G57" s="1"/>
      <c r="H57" s="1">
        <f>SUM(OSRRefH22_9x_0)</f>
        <v>0</v>
      </c>
      <c r="I57" s="1"/>
      <c r="J57" s="5">
        <f t="shared" ref="J57:J64" si="41">IF(H$12=0,0,H57/H$12)</f>
        <v>0</v>
      </c>
      <c r="K57" s="1"/>
      <c r="L57" s="1">
        <f t="shared" ref="L57:L64" si="42">+D57-H57</f>
        <v>155.75</v>
      </c>
      <c r="M57" s="1"/>
      <c r="N57" s="5">
        <f t="shared" ref="N57:N64" si="43">IF(H57=0,0,L57/H57)</f>
        <v>0</v>
      </c>
      <c r="O57" s="14"/>
      <c r="P57" s="1">
        <f>SUM(OSRRefP22_9x_0)</f>
        <v>155.75</v>
      </c>
      <c r="Q57" s="1"/>
      <c r="R57" s="5">
        <f t="shared" ref="R57:R64" si="44">IF(P$12=0,0,P57/P$12)</f>
        <v>0</v>
      </c>
      <c r="S57" s="1"/>
      <c r="T57" s="1">
        <f>SUM(OSRRefT22_9x_0)</f>
        <v>0</v>
      </c>
      <c r="U57" s="1"/>
      <c r="V57" s="5">
        <f t="shared" ref="V57:V64" si="45">IF(T$12=0,0,T57/T$12)</f>
        <v>0</v>
      </c>
      <c r="W57" s="1"/>
      <c r="X57" s="1">
        <f t="shared" ref="X57:X64" si="46">+P57-T57</f>
        <v>155.75</v>
      </c>
      <c r="Y57" s="1"/>
      <c r="Z57" s="5">
        <f t="shared" ref="Z57:Z64" si="47">IF(T57=0,0,X57/T57)</f>
        <v>0</v>
      </c>
    </row>
    <row r="58" spans="1:26" s="24" customFormat="1" hidden="1" outlineLevel="2" x14ac:dyDescent="0.3">
      <c r="A58" s="29"/>
      <c r="B58" s="11" t="str">
        <f>CONCATENATE("          ", "6241", " - ", "OFFICE EXPENSE")</f>
        <v xml:space="preserve">          6241 - OFFICE EXPENSE</v>
      </c>
      <c r="C58" s="11"/>
      <c r="D58" s="8">
        <v>155.75</v>
      </c>
      <c r="E58" s="3"/>
      <c r="F58" s="7">
        <f t="shared" si="40"/>
        <v>0</v>
      </c>
      <c r="G58" s="3"/>
      <c r="H58" s="8"/>
      <c r="I58" s="3"/>
      <c r="J58" s="7">
        <f t="shared" si="41"/>
        <v>0</v>
      </c>
      <c r="K58" s="3"/>
      <c r="L58" s="8">
        <f t="shared" si="42"/>
        <v>155.75</v>
      </c>
      <c r="M58" s="3"/>
      <c r="N58" s="7">
        <f t="shared" si="43"/>
        <v>0</v>
      </c>
      <c r="O58" s="11"/>
      <c r="P58" s="8">
        <v>155.75</v>
      </c>
      <c r="Q58" s="3"/>
      <c r="R58" s="7">
        <f t="shared" si="44"/>
        <v>0</v>
      </c>
      <c r="S58" s="3"/>
      <c r="T58" s="8"/>
      <c r="U58" s="3"/>
      <c r="V58" s="7">
        <f t="shared" si="45"/>
        <v>0</v>
      </c>
      <c r="W58" s="3"/>
      <c r="X58" s="8">
        <f t="shared" si="46"/>
        <v>155.75</v>
      </c>
      <c r="Y58" s="3"/>
      <c r="Z58" s="7">
        <f t="shared" si="47"/>
        <v>0</v>
      </c>
    </row>
    <row r="59" spans="1:26" s="27" customFormat="1" outlineLevel="1" collapsed="1" x14ac:dyDescent="0.3">
      <c r="A59" s="28"/>
      <c r="B59" s="14" t="str">
        <f>CONCATENATE("     ","Telephone/Data Lines                              ")</f>
        <v xml:space="preserve">     Telephone/Data Lines                              </v>
      </c>
      <c r="C59" s="14"/>
      <c r="D59" s="1">
        <f>SUM(OSRRefD22_10x_0)</f>
        <v>119.55</v>
      </c>
      <c r="E59" s="1"/>
      <c r="F59" s="5">
        <f t="shared" si="40"/>
        <v>0</v>
      </c>
      <c r="G59" s="1"/>
      <c r="H59" s="1">
        <f>SUM(OSRRefH22_10x_0)</f>
        <v>0</v>
      </c>
      <c r="I59" s="1"/>
      <c r="J59" s="5">
        <f t="shared" si="41"/>
        <v>0</v>
      </c>
      <c r="K59" s="1"/>
      <c r="L59" s="1">
        <f t="shared" si="42"/>
        <v>119.55</v>
      </c>
      <c r="M59" s="1"/>
      <c r="N59" s="5">
        <f t="shared" si="43"/>
        <v>0</v>
      </c>
      <c r="O59" s="14"/>
      <c r="P59" s="1">
        <f>SUM(OSRRefP22_10x_0)</f>
        <v>119.55</v>
      </c>
      <c r="Q59" s="1"/>
      <c r="R59" s="5">
        <f t="shared" si="44"/>
        <v>0</v>
      </c>
      <c r="S59" s="1"/>
      <c r="T59" s="1">
        <f>SUM(OSRRefT22_10x_0)</f>
        <v>0</v>
      </c>
      <c r="U59" s="1"/>
      <c r="V59" s="5">
        <f t="shared" si="45"/>
        <v>0</v>
      </c>
      <c r="W59" s="1"/>
      <c r="X59" s="1">
        <f t="shared" si="46"/>
        <v>119.55</v>
      </c>
      <c r="Y59" s="1"/>
      <c r="Z59" s="5">
        <f t="shared" si="47"/>
        <v>0</v>
      </c>
    </row>
    <row r="60" spans="1:26" s="24" customFormat="1" hidden="1" outlineLevel="2" x14ac:dyDescent="0.3">
      <c r="A60" s="29"/>
      <c r="B60" s="11" t="str">
        <f>CONCATENATE("          ", "6309", " - ", "TELEPHONE")</f>
        <v xml:space="preserve">          6309 - TELEPHONE</v>
      </c>
      <c r="C60" s="11"/>
      <c r="D60" s="8">
        <v>119.55</v>
      </c>
      <c r="E60" s="3"/>
      <c r="F60" s="7">
        <f t="shared" si="40"/>
        <v>0</v>
      </c>
      <c r="G60" s="3"/>
      <c r="H60" s="8"/>
      <c r="I60" s="3"/>
      <c r="J60" s="7">
        <f t="shared" si="41"/>
        <v>0</v>
      </c>
      <c r="K60" s="3"/>
      <c r="L60" s="8">
        <f t="shared" si="42"/>
        <v>119.55</v>
      </c>
      <c r="M60" s="3"/>
      <c r="N60" s="7">
        <f t="shared" si="43"/>
        <v>0</v>
      </c>
      <c r="O60" s="11"/>
      <c r="P60" s="8">
        <v>119.55</v>
      </c>
      <c r="Q60" s="3"/>
      <c r="R60" s="7">
        <f t="shared" si="44"/>
        <v>0</v>
      </c>
      <c r="S60" s="3"/>
      <c r="T60" s="8"/>
      <c r="U60" s="3"/>
      <c r="V60" s="7">
        <f t="shared" si="45"/>
        <v>0</v>
      </c>
      <c r="W60" s="3"/>
      <c r="X60" s="8">
        <f t="shared" si="46"/>
        <v>119.55</v>
      </c>
      <c r="Y60" s="3"/>
      <c r="Z60" s="7">
        <f t="shared" si="47"/>
        <v>0</v>
      </c>
    </row>
    <row r="61" spans="1:26" s="27" customFormat="1" outlineLevel="1" collapsed="1" x14ac:dyDescent="0.3">
      <c r="A61" s="28"/>
      <c r="B61" s="14" t="str">
        <f>CONCATENATE("     ","Training                                          ")</f>
        <v xml:space="preserve">     Training                                          </v>
      </c>
      <c r="C61" s="14"/>
      <c r="D61" s="1">
        <f>SUM(OSRRefD22_11x_0)</f>
        <v>0</v>
      </c>
      <c r="E61" s="1"/>
      <c r="F61" s="5">
        <f t="shared" si="40"/>
        <v>0</v>
      </c>
      <c r="G61" s="1"/>
      <c r="H61" s="1">
        <f>SUM(OSRRefH22_11x_0)</f>
        <v>0</v>
      </c>
      <c r="I61" s="1"/>
      <c r="J61" s="5">
        <f t="shared" si="41"/>
        <v>0</v>
      </c>
      <c r="K61" s="1"/>
      <c r="L61" s="1">
        <f t="shared" si="42"/>
        <v>0</v>
      </c>
      <c r="M61" s="1"/>
      <c r="N61" s="5">
        <f t="shared" si="43"/>
        <v>0</v>
      </c>
      <c r="O61" s="14"/>
      <c r="P61" s="1">
        <f>SUM(OSRRefP22_11x_0)</f>
        <v>0</v>
      </c>
      <c r="Q61" s="1"/>
      <c r="R61" s="5">
        <f t="shared" si="44"/>
        <v>0</v>
      </c>
      <c r="S61" s="1"/>
      <c r="T61" s="1">
        <f>SUM(OSRRefT22_11x_0)</f>
        <v>0</v>
      </c>
      <c r="U61" s="1"/>
      <c r="V61" s="5">
        <f t="shared" si="45"/>
        <v>0</v>
      </c>
      <c r="W61" s="1"/>
      <c r="X61" s="1">
        <f t="shared" si="46"/>
        <v>0</v>
      </c>
      <c r="Y61" s="1"/>
      <c r="Z61" s="5">
        <f t="shared" si="47"/>
        <v>0</v>
      </c>
    </row>
    <row r="62" spans="1:26" s="24" customFormat="1" hidden="1" outlineLevel="2" x14ac:dyDescent="0.3">
      <c r="A62" s="29"/>
      <c r="B62" s="11" t="str">
        <f>CONCATENATE("          ", "6376", " - ", "TRAINING")</f>
        <v xml:space="preserve">          6376 - TRAINING</v>
      </c>
      <c r="C62" s="11"/>
      <c r="D62" s="8"/>
      <c r="E62" s="3"/>
      <c r="F62" s="7">
        <f t="shared" si="40"/>
        <v>0</v>
      </c>
      <c r="G62" s="3"/>
      <c r="H62" s="8">
        <v>0</v>
      </c>
      <c r="I62" s="3"/>
      <c r="J62" s="7">
        <f t="shared" si="41"/>
        <v>0</v>
      </c>
      <c r="K62" s="3"/>
      <c r="L62" s="8">
        <f t="shared" si="42"/>
        <v>0</v>
      </c>
      <c r="M62" s="3"/>
      <c r="N62" s="7">
        <f t="shared" si="43"/>
        <v>0</v>
      </c>
      <c r="O62" s="11"/>
      <c r="P62" s="8"/>
      <c r="Q62" s="3"/>
      <c r="R62" s="7">
        <f t="shared" si="44"/>
        <v>0</v>
      </c>
      <c r="S62" s="3"/>
      <c r="T62" s="8">
        <v>0</v>
      </c>
      <c r="U62" s="3"/>
      <c r="V62" s="7">
        <f t="shared" si="45"/>
        <v>0</v>
      </c>
      <c r="W62" s="3"/>
      <c r="X62" s="8">
        <f t="shared" si="46"/>
        <v>0</v>
      </c>
      <c r="Y62" s="3"/>
      <c r="Z62" s="7">
        <f t="shared" si="47"/>
        <v>0</v>
      </c>
    </row>
    <row r="63" spans="1:26" s="27" customFormat="1" outlineLevel="1" collapsed="1" x14ac:dyDescent="0.3">
      <c r="A63" s="28"/>
      <c r="B63" s="14" t="str">
        <f>CONCATENATE("     ","Utilities                                         ")</f>
        <v xml:space="preserve">     Utilities                                         </v>
      </c>
      <c r="C63" s="14"/>
      <c r="D63" s="1">
        <f>SUM(OSRRefD22_12x_0)</f>
        <v>5550</v>
      </c>
      <c r="E63" s="1"/>
      <c r="F63" s="5">
        <f t="shared" si="40"/>
        <v>0</v>
      </c>
      <c r="G63" s="1"/>
      <c r="H63" s="1">
        <f>SUM(OSRRefH22_12x_0)</f>
        <v>5550</v>
      </c>
      <c r="I63" s="1"/>
      <c r="J63" s="5">
        <f t="shared" si="41"/>
        <v>0</v>
      </c>
      <c r="K63" s="1"/>
      <c r="L63" s="1">
        <f t="shared" si="42"/>
        <v>0</v>
      </c>
      <c r="M63" s="1"/>
      <c r="N63" s="5">
        <f t="shared" si="43"/>
        <v>0</v>
      </c>
      <c r="O63" s="14"/>
      <c r="P63" s="1">
        <f>SUM(OSRRefP22_12x_0)</f>
        <v>5550</v>
      </c>
      <c r="Q63" s="1"/>
      <c r="R63" s="5">
        <f t="shared" si="44"/>
        <v>0</v>
      </c>
      <c r="S63" s="1"/>
      <c r="T63" s="1">
        <f>SUM(OSRRefT22_12x_0)</f>
        <v>5550</v>
      </c>
      <c r="U63" s="1"/>
      <c r="V63" s="5">
        <f t="shared" si="45"/>
        <v>0</v>
      </c>
      <c r="W63" s="1"/>
      <c r="X63" s="1">
        <f t="shared" si="46"/>
        <v>0</v>
      </c>
      <c r="Y63" s="1"/>
      <c r="Z63" s="5">
        <f t="shared" si="47"/>
        <v>0</v>
      </c>
    </row>
    <row r="64" spans="1:26" s="24" customFormat="1" hidden="1" outlineLevel="2" x14ac:dyDescent="0.3">
      <c r="A64" s="29"/>
      <c r="B64" s="11" t="str">
        <f>CONCATENATE("          ", "6274", " - ", "UTILITIES")</f>
        <v xml:space="preserve">          6274 - UTILITIES</v>
      </c>
      <c r="C64" s="11"/>
      <c r="D64" s="8">
        <v>5550</v>
      </c>
      <c r="E64" s="3"/>
      <c r="F64" s="7">
        <f t="shared" si="40"/>
        <v>0</v>
      </c>
      <c r="G64" s="3"/>
      <c r="H64" s="8">
        <v>5550</v>
      </c>
      <c r="I64" s="3"/>
      <c r="J64" s="7">
        <f t="shared" si="41"/>
        <v>0</v>
      </c>
      <c r="K64" s="3"/>
      <c r="L64" s="8">
        <f t="shared" si="42"/>
        <v>0</v>
      </c>
      <c r="M64" s="3"/>
      <c r="N64" s="7">
        <f t="shared" si="43"/>
        <v>0</v>
      </c>
      <c r="O64" s="11"/>
      <c r="P64" s="8">
        <v>5550</v>
      </c>
      <c r="Q64" s="3"/>
      <c r="R64" s="7">
        <f t="shared" si="44"/>
        <v>0</v>
      </c>
      <c r="S64" s="3"/>
      <c r="T64" s="8">
        <v>5550</v>
      </c>
      <c r="U64" s="3"/>
      <c r="V64" s="7">
        <f t="shared" si="45"/>
        <v>0</v>
      </c>
      <c r="W64" s="3"/>
      <c r="X64" s="8">
        <f t="shared" si="46"/>
        <v>0</v>
      </c>
      <c r="Y64" s="3"/>
      <c r="Z64" s="7">
        <f t="shared" si="47"/>
        <v>0</v>
      </c>
    </row>
    <row r="65" spans="1:26" s="62" customFormat="1" x14ac:dyDescent="0.3">
      <c r="A65" s="36"/>
      <c r="B65" s="36"/>
      <c r="C65" s="36"/>
      <c r="D65" s="1"/>
      <c r="E65" s="1"/>
      <c r="F65" s="5"/>
      <c r="G65" s="1"/>
      <c r="H65" s="1"/>
      <c r="I65" s="1"/>
      <c r="J65" s="5"/>
      <c r="K65" s="1"/>
      <c r="L65" s="1"/>
      <c r="M65" s="1"/>
      <c r="N65" s="5"/>
      <c r="O65" s="36"/>
      <c r="P65" s="1"/>
      <c r="Q65" s="1"/>
      <c r="R65" s="5"/>
      <c r="S65" s="1"/>
      <c r="T65" s="1"/>
      <c r="U65" s="1"/>
      <c r="V65" s="5"/>
      <c r="W65" s="1"/>
      <c r="X65" s="1"/>
      <c r="Y65" s="1"/>
      <c r="Z65" s="5"/>
    </row>
    <row r="66" spans="1:26" s="23" customFormat="1" collapsed="1" x14ac:dyDescent="0.3">
      <c r="A66" s="10"/>
      <c r="B66" s="25" t="s">
        <v>293</v>
      </c>
      <c r="C66" s="10"/>
      <c r="D66" s="4">
        <f>SUM(OSRRefD25x_0)</f>
        <v>1414.97</v>
      </c>
      <c r="E66" s="4"/>
      <c r="F66" s="12">
        <f t="shared" ref="F66:F67" si="48">IF(D$12=0,0,D66/D$12)</f>
        <v>0</v>
      </c>
      <c r="G66" s="4"/>
      <c r="H66" s="4">
        <f>SUM(OSRRefH25x_0)</f>
        <v>0</v>
      </c>
      <c r="I66" s="4"/>
      <c r="J66" s="12">
        <f t="shared" ref="J66:J67" si="49">IF(H$12=0,0,H66/H$12)</f>
        <v>0</v>
      </c>
      <c r="K66" s="4"/>
      <c r="L66" s="4">
        <f t="shared" ref="L66:L67" si="50">+D66-H66</f>
        <v>1414.97</v>
      </c>
      <c r="M66" s="4"/>
      <c r="N66" s="12">
        <f t="shared" ref="N66:N67" si="51">IF(H66=0,0,L66/H66)</f>
        <v>0</v>
      </c>
      <c r="O66" s="10"/>
      <c r="P66" s="4">
        <f>SUM(OSRRefP25x_0)</f>
        <v>1414.97</v>
      </c>
      <c r="Q66" s="4"/>
      <c r="R66" s="12">
        <f t="shared" ref="R66:R67" si="52">IF(P$12=0,0,P66/P$12)</f>
        <v>0</v>
      </c>
      <c r="S66" s="4"/>
      <c r="T66" s="4">
        <f>SUM(OSRRefT25x_0)</f>
        <v>0</v>
      </c>
      <c r="U66" s="4"/>
      <c r="V66" s="12">
        <f t="shared" ref="V66:V67" si="53">IF(T$12=0,0,T66/T$12)</f>
        <v>0</v>
      </c>
      <c r="W66" s="4"/>
      <c r="X66" s="4">
        <f t="shared" ref="X66:X67" si="54">+P66-T66</f>
        <v>1414.97</v>
      </c>
      <c r="Y66" s="4"/>
      <c r="Z66" s="12">
        <f t="shared" ref="Z66:Z67" si="55">IF(T66=0,0,X66/T66)</f>
        <v>0</v>
      </c>
    </row>
    <row r="67" spans="1:26" s="24" customFormat="1" hidden="1" outlineLevel="1" x14ac:dyDescent="0.3">
      <c r="A67" s="44"/>
      <c r="B67" s="11" t="str">
        <f>CONCATENATE("          ", "9150", " - ", "MISC. INCOME")</f>
        <v xml:space="preserve">          9150 - MISC. INCOME</v>
      </c>
      <c r="C67" s="11"/>
      <c r="D67" s="3">
        <f>--1414.97</f>
        <v>1414.97</v>
      </c>
      <c r="E67" s="3"/>
      <c r="F67" s="19">
        <f t="shared" si="48"/>
        <v>0</v>
      </c>
      <c r="G67" s="3"/>
      <c r="H67" s="3"/>
      <c r="I67" s="3"/>
      <c r="J67" s="19">
        <f t="shared" si="49"/>
        <v>0</v>
      </c>
      <c r="K67" s="3"/>
      <c r="L67" s="3">
        <f t="shared" si="50"/>
        <v>1414.97</v>
      </c>
      <c r="M67" s="3"/>
      <c r="N67" s="19">
        <f t="shared" si="51"/>
        <v>0</v>
      </c>
      <c r="O67" s="11"/>
      <c r="P67" s="3">
        <f>--1414.97</f>
        <v>1414.97</v>
      </c>
      <c r="Q67" s="3"/>
      <c r="R67" s="19">
        <f t="shared" si="52"/>
        <v>0</v>
      </c>
      <c r="S67" s="3"/>
      <c r="T67" s="3"/>
      <c r="U67" s="3"/>
      <c r="V67" s="19">
        <f t="shared" si="53"/>
        <v>0</v>
      </c>
      <c r="W67" s="3"/>
      <c r="X67" s="3">
        <f t="shared" si="54"/>
        <v>1414.97</v>
      </c>
      <c r="Y67" s="3"/>
      <c r="Z67" s="19">
        <f t="shared" si="55"/>
        <v>0</v>
      </c>
    </row>
    <row r="68" spans="1:26" x14ac:dyDescent="0.3">
      <c r="A68" s="9"/>
      <c r="B68" s="10"/>
      <c r="C68" s="10"/>
      <c r="D68" s="2"/>
      <c r="E68" s="2"/>
      <c r="F68" s="6"/>
      <c r="G68" s="2"/>
      <c r="H68" s="2"/>
      <c r="I68" s="2"/>
      <c r="J68" s="6"/>
      <c r="K68" s="2"/>
      <c r="L68" s="2"/>
      <c r="M68" s="2"/>
      <c r="N68" s="6"/>
      <c r="O68" s="10"/>
      <c r="P68" s="2"/>
      <c r="Q68" s="2"/>
      <c r="R68" s="6"/>
      <c r="S68" s="2"/>
      <c r="T68" s="2"/>
      <c r="U68" s="2"/>
      <c r="V68" s="6"/>
      <c r="W68" s="2"/>
      <c r="X68" s="2"/>
      <c r="Y68" s="2"/>
      <c r="Z68" s="6"/>
    </row>
    <row r="69" spans="1:26" s="23" customFormat="1" x14ac:dyDescent="0.3">
      <c r="A69" s="10"/>
      <c r="B69" s="26" t="s">
        <v>277</v>
      </c>
      <c r="C69" s="26"/>
      <c r="D69" s="21">
        <f>+D16-D18+D66</f>
        <v>-47136.97</v>
      </c>
      <c r="E69" s="13"/>
      <c r="F69" s="22">
        <f>IF(D$12=0,0,D69/D$12)</f>
        <v>0</v>
      </c>
      <c r="G69" s="13"/>
      <c r="H69" s="21">
        <f>+H16-H18+H66</f>
        <v>-47782.665538461551</v>
      </c>
      <c r="I69" s="13"/>
      <c r="J69" s="22">
        <f>IF(H$12=0,0,H69/H$12)</f>
        <v>0</v>
      </c>
      <c r="K69" s="16"/>
      <c r="L69" s="21">
        <f>+D69-H69</f>
        <v>645.69553846155031</v>
      </c>
      <c r="M69" s="16"/>
      <c r="N69" s="22">
        <f>IF(H69=0,0,L69/H69)</f>
        <v>-1.3513175357323099E-2</v>
      </c>
      <c r="O69" s="25"/>
      <c r="P69" s="21">
        <f>+P16-P18+P66</f>
        <v>-47136.97</v>
      </c>
      <c r="Q69" s="13"/>
      <c r="R69" s="22">
        <f>IF(P$12=0,0,P69/P$12)</f>
        <v>0</v>
      </c>
      <c r="S69" s="13"/>
      <c r="T69" s="21">
        <f>+T16-T18+T66</f>
        <v>-47782.665538461551</v>
      </c>
      <c r="U69" s="13"/>
      <c r="V69" s="22">
        <f>IF(T$12=0,0,T69/T$12)</f>
        <v>0</v>
      </c>
      <c r="W69" s="16"/>
      <c r="X69" s="21">
        <f>+P69-T69</f>
        <v>645.69553846155031</v>
      </c>
      <c r="Y69" s="16"/>
      <c r="Z69" s="22">
        <f>IF(T69=0,0,X69/T69)</f>
        <v>-1.3513175357323099E-2</v>
      </c>
    </row>
    <row r="70" spans="1:26" x14ac:dyDescent="0.3">
      <c r="A70" s="9"/>
      <c r="B70" s="10"/>
      <c r="C70" s="9"/>
      <c r="D70" s="2"/>
      <c r="E70" s="2"/>
      <c r="F70" s="6"/>
      <c r="G70" s="2"/>
      <c r="H70" s="2"/>
      <c r="I70" s="2"/>
      <c r="J70" s="6"/>
      <c r="K70" s="2"/>
      <c r="L70" s="2"/>
      <c r="M70" s="2"/>
      <c r="N70" s="6"/>
      <c r="P70" s="2"/>
      <c r="Q70" s="2"/>
      <c r="R70" s="6"/>
      <c r="S70" s="2"/>
      <c r="T70" s="2"/>
      <c r="U70" s="2"/>
      <c r="V70" s="6"/>
      <c r="W70" s="2"/>
      <c r="X70" s="2"/>
      <c r="Y70" s="2"/>
      <c r="Z70" s="6"/>
    </row>
    <row r="71" spans="1:26" s="23" customFormat="1" x14ac:dyDescent="0.3">
      <c r="A71" s="52"/>
      <c r="B71" s="10" t="s">
        <v>128</v>
      </c>
      <c r="C71" s="10"/>
      <c r="D71" s="4"/>
      <c r="E71" s="4"/>
      <c r="F71" s="12">
        <f>IF(D$12=0,0,D71/D$12)</f>
        <v>0</v>
      </c>
      <c r="G71" s="4"/>
      <c r="H71" s="4"/>
      <c r="I71" s="4"/>
      <c r="J71" s="12">
        <f>IF(H$12=0,0,H71/H$12)</f>
        <v>0</v>
      </c>
      <c r="K71" s="4"/>
      <c r="L71" s="4">
        <f>+D71-H71</f>
        <v>0</v>
      </c>
      <c r="M71" s="4"/>
      <c r="N71" s="12">
        <f>IF(H71=0,0,L71/H71)</f>
        <v>0</v>
      </c>
      <c r="O71" s="10"/>
      <c r="P71" s="4"/>
      <c r="Q71" s="4"/>
      <c r="R71" s="12">
        <f>IF(P$12=0,0,P71/P$12)</f>
        <v>0</v>
      </c>
      <c r="S71" s="4"/>
      <c r="T71" s="4"/>
      <c r="U71" s="4"/>
      <c r="V71" s="12">
        <f>IF(T$12=0,0,T71/T$12)</f>
        <v>0</v>
      </c>
      <c r="W71" s="4"/>
      <c r="X71" s="4">
        <f>+P71-T71</f>
        <v>0</v>
      </c>
      <c r="Y71" s="4"/>
      <c r="Z71" s="12">
        <f>IF(T71=0,0,X71/T71)</f>
        <v>0</v>
      </c>
    </row>
    <row r="72" spans="1:26" x14ac:dyDescent="0.3">
      <c r="A72" s="9"/>
      <c r="B72" s="10"/>
      <c r="C72" s="10"/>
      <c r="D72" s="2"/>
      <c r="E72" s="2"/>
      <c r="F72" s="6"/>
      <c r="G72" s="2"/>
      <c r="H72" s="2"/>
      <c r="I72" s="2"/>
      <c r="J72" s="6"/>
      <c r="K72" s="2"/>
      <c r="L72" s="2"/>
      <c r="M72" s="2"/>
      <c r="N72" s="6"/>
      <c r="O72" s="10"/>
      <c r="P72" s="2"/>
      <c r="Q72" s="2"/>
      <c r="R72" s="6"/>
      <c r="S72" s="2"/>
      <c r="T72" s="2"/>
      <c r="U72" s="2"/>
      <c r="V72" s="6"/>
      <c r="W72" s="2"/>
      <c r="X72" s="2"/>
      <c r="Y72" s="2"/>
      <c r="Z72" s="6"/>
    </row>
    <row r="73" spans="1:26" s="23" customFormat="1" ht="15" thickBot="1" x14ac:dyDescent="0.35">
      <c r="A73" s="10"/>
      <c r="B73" s="26" t="s">
        <v>126</v>
      </c>
      <c r="C73" s="26"/>
      <c r="D73" s="35">
        <f>+D69-D71</f>
        <v>-47136.97</v>
      </c>
      <c r="E73" s="13"/>
      <c r="F73" s="30">
        <f>IF(D$12=0,0,D73/D$12)</f>
        <v>0</v>
      </c>
      <c r="G73" s="13"/>
      <c r="H73" s="35">
        <f>+H69-H71</f>
        <v>-47782.665538461551</v>
      </c>
      <c r="I73" s="13"/>
      <c r="J73" s="30">
        <f>IF(H$12=0,0,H73/H$12)</f>
        <v>0</v>
      </c>
      <c r="K73" s="16"/>
      <c r="L73" s="35">
        <f>D73-H73</f>
        <v>645.69553846155031</v>
      </c>
      <c r="M73" s="16"/>
      <c r="N73" s="30">
        <f>IF(H73=0,0,L73/H73)</f>
        <v>-1.3513175357323099E-2</v>
      </c>
      <c r="O73" s="25"/>
      <c r="P73" s="35">
        <f>+P69-P71</f>
        <v>-47136.97</v>
      </c>
      <c r="Q73" s="13"/>
      <c r="R73" s="30">
        <f>IF(P$12=0,0,P73/P$12)</f>
        <v>0</v>
      </c>
      <c r="S73" s="13"/>
      <c r="T73" s="35">
        <f>+T69-T71</f>
        <v>-47782.665538461551</v>
      </c>
      <c r="U73" s="13"/>
      <c r="V73" s="30">
        <f>IF(T$12=0,0,T73/T$12)</f>
        <v>0</v>
      </c>
      <c r="W73" s="16"/>
      <c r="X73" s="35">
        <f>P73-T73</f>
        <v>645.69553846155031</v>
      </c>
      <c r="Y73" s="16"/>
      <c r="Z73" s="30">
        <f>IF(T73=0,0,X73/T73)</f>
        <v>-1.3513175357323099E-2</v>
      </c>
    </row>
    <row r="74" spans="1:26" ht="15" thickTop="1" x14ac:dyDescent="0.3">
      <c r="A74" s="9"/>
      <c r="B74" s="9"/>
      <c r="C74" s="9"/>
      <c r="D74" s="2"/>
      <c r="E74" s="2"/>
      <c r="F74" s="6"/>
      <c r="G74" s="2"/>
      <c r="H74" s="2"/>
      <c r="I74" s="2"/>
      <c r="J74" s="6"/>
      <c r="K74" s="2"/>
      <c r="L74" s="2"/>
      <c r="M74" s="2"/>
      <c r="N74" s="6"/>
      <c r="P74" s="2"/>
      <c r="Q74" s="2"/>
      <c r="R74" s="6"/>
      <c r="S74" s="2"/>
      <c r="T74" s="2"/>
      <c r="U74" s="2"/>
      <c r="V74" s="6"/>
      <c r="W74" s="2"/>
      <c r="X74" s="2"/>
      <c r="Y74" s="2"/>
      <c r="Z74" s="6"/>
    </row>
    <row r="75" spans="1:26" x14ac:dyDescent="0.3">
      <c r="A75" s="9"/>
      <c r="B75" s="9"/>
      <c r="C75" s="9"/>
      <c r="D75" s="2"/>
      <c r="E75" s="2"/>
      <c r="F75" s="6"/>
      <c r="G75" s="2"/>
      <c r="H75" s="2"/>
      <c r="I75" s="2"/>
      <c r="J75" s="6"/>
      <c r="K75" s="2"/>
      <c r="L75" s="2"/>
      <c r="M75" s="2"/>
      <c r="N75" s="6"/>
      <c r="P75" s="2"/>
      <c r="Q75" s="2"/>
      <c r="R75" s="6"/>
      <c r="S75" s="2"/>
      <c r="T75" s="2"/>
      <c r="U75" s="2"/>
      <c r="V75" s="6"/>
      <c r="W75" s="2"/>
      <c r="X75" s="2"/>
      <c r="Y75" s="2"/>
      <c r="Z75" s="6"/>
    </row>
    <row r="76" spans="1:26" s="23" customFormat="1" ht="15" thickBot="1" x14ac:dyDescent="0.35">
      <c r="A76" s="10"/>
      <c r="B76" s="26" t="s">
        <v>294</v>
      </c>
      <c r="C76" s="26"/>
      <c r="D76" s="33">
        <f>SUM(D73:D75)</f>
        <v>-47136.97</v>
      </c>
      <c r="E76" s="13"/>
      <c r="F76" s="31">
        <f>IF(D$12=0,0,D76/D$12)</f>
        <v>0</v>
      </c>
      <c r="G76" s="13"/>
      <c r="H76" s="33">
        <f>SUM(H73:H75)</f>
        <v>-47782.665538461551</v>
      </c>
      <c r="I76" s="13"/>
      <c r="J76" s="31">
        <f>IF(H$12=0,0,H76/H$12)</f>
        <v>0</v>
      </c>
      <c r="K76" s="16"/>
      <c r="L76" s="33">
        <f>+D76-H76</f>
        <v>645.69553846155031</v>
      </c>
      <c r="M76" s="16"/>
      <c r="N76" s="31">
        <f>IF(H76=0,0,L76/H76)</f>
        <v>-1.3513175357323099E-2</v>
      </c>
      <c r="O76" s="25"/>
      <c r="P76" s="33">
        <f>SUM(P73:P75)</f>
        <v>-47136.97</v>
      </c>
      <c r="Q76" s="13"/>
      <c r="R76" s="31">
        <f>IF(P$12=0,0,P76/P$12)</f>
        <v>0</v>
      </c>
      <c r="S76" s="13"/>
      <c r="T76" s="33">
        <f>SUM(T73:T75)</f>
        <v>-47782.665538461551</v>
      </c>
      <c r="U76" s="13"/>
      <c r="V76" s="31">
        <f>IF(T$12=0,0,T76/T$12)</f>
        <v>0</v>
      </c>
      <c r="W76" s="16"/>
      <c r="X76" s="33">
        <f>+P76-T76</f>
        <v>645.69553846155031</v>
      </c>
      <c r="Y76" s="16"/>
      <c r="Z76" s="31">
        <f>IF(T76=0,0,X76/T76)</f>
        <v>-1.3513175357323099E-2</v>
      </c>
    </row>
    <row r="77" spans="1:26" ht="15" thickTop="1" x14ac:dyDescent="0.3">
      <c r="A77" s="9"/>
      <c r="C77" s="9"/>
      <c r="D77" s="18"/>
      <c r="E77" s="18"/>
      <c r="G77" s="18"/>
      <c r="H77" s="18"/>
      <c r="I77" s="18"/>
      <c r="J77" s="43"/>
      <c r="K77" s="18"/>
      <c r="L77" s="18"/>
      <c r="M77" s="18"/>
      <c r="P77" s="18"/>
      <c r="Q77" s="18"/>
      <c r="R77" s="43"/>
      <c r="S77" s="18"/>
      <c r="T77" s="18"/>
      <c r="U77" s="18"/>
      <c r="V77" s="43"/>
      <c r="W77" s="18"/>
      <c r="X77" s="18"/>
    </row>
    <row r="78" spans="1:26" x14ac:dyDescent="0.3">
      <c r="A78" s="9"/>
      <c r="B78" s="54">
        <v>44462.64548684028</v>
      </c>
      <c r="D78" s="18"/>
      <c r="E78" s="18"/>
      <c r="G78" s="18"/>
      <c r="H78" s="18"/>
      <c r="I78" s="18"/>
      <c r="J78" s="43"/>
      <c r="K78" s="18"/>
      <c r="L78" s="18"/>
      <c r="M78" s="18"/>
      <c r="P78" s="18"/>
      <c r="Q78" s="18"/>
      <c r="R78" s="43"/>
      <c r="S78" s="18"/>
      <c r="T78" s="18"/>
      <c r="U78" s="18"/>
      <c r="V78" s="43"/>
      <c r="W78" s="18"/>
      <c r="X78" s="18"/>
    </row>
    <row r="79" spans="1:26" x14ac:dyDescent="0.3">
      <c r="A79" s="9"/>
      <c r="B79" s="59" t="s">
        <v>56</v>
      </c>
      <c r="D79" s="18"/>
      <c r="E79" s="18"/>
      <c r="G79" s="18"/>
      <c r="H79" s="18"/>
      <c r="I79" s="18"/>
      <c r="J79" s="43"/>
      <c r="K79" s="18"/>
      <c r="L79" s="18"/>
      <c r="M79" s="18"/>
      <c r="P79" s="18"/>
      <c r="Q79" s="18"/>
      <c r="R79" s="43"/>
      <c r="S79" s="18"/>
      <c r="T79" s="18"/>
      <c r="U79" s="18"/>
      <c r="V79" s="43"/>
      <c r="W79" s="18"/>
      <c r="X79" s="18"/>
    </row>
    <row r="80" spans="1:26" x14ac:dyDescent="0.3">
      <c r="A80" s="9"/>
      <c r="B80" s="55"/>
      <c r="D80" s="18"/>
      <c r="E80" s="18"/>
      <c r="G80" s="18"/>
      <c r="H80" s="18"/>
      <c r="I80" s="18"/>
      <c r="J80" s="43"/>
      <c r="K80" s="18"/>
      <c r="L80" s="18"/>
      <c r="M80" s="18"/>
      <c r="P80" s="18"/>
      <c r="Q80" s="18"/>
      <c r="R80" s="43"/>
      <c r="S80" s="18"/>
      <c r="T80" s="18"/>
      <c r="U80" s="18"/>
      <c r="V80" s="43"/>
      <c r="W80" s="18"/>
      <c r="X80" s="18"/>
    </row>
    <row r="81" spans="4:24" x14ac:dyDescent="0.3">
      <c r="D81" s="18"/>
      <c r="E81" s="18"/>
      <c r="G81" s="18"/>
      <c r="H81" s="18"/>
      <c r="I81" s="18"/>
      <c r="J81" s="43"/>
      <c r="K81" s="18"/>
      <c r="L81" s="18"/>
      <c r="M81" s="18"/>
      <c r="P81" s="18"/>
      <c r="Q81" s="18"/>
      <c r="R81" s="43"/>
      <c r="S81" s="18"/>
      <c r="T81" s="18"/>
      <c r="U81" s="18"/>
      <c r="V81" s="43"/>
      <c r="W81" s="18"/>
      <c r="X81" s="18"/>
    </row>
  </sheetData>
  <pageMargins left="0.25" right="0.25" top="0.75" bottom="0.75" header="0.3" footer="0.3"/>
  <pageSetup scale="55" fitToWidth="2" orientation="landscape"/>
  <drawing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>
    <tabColor rgb="FF92D050"/>
    <outlinePr summaryBelow="0" summaryRight="0"/>
  </sheetPr>
  <dimension ref="A2:Z40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50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7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50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7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7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7" customWidth="1" outlineLevel="1"/>
  </cols>
  <sheetData>
    <row r="2" spans="1:26" x14ac:dyDescent="0.3">
      <c r="D2" s="57" t="s">
        <v>23</v>
      </c>
    </row>
    <row r="3" spans="1:26" x14ac:dyDescent="0.3">
      <c r="D3" s="57" t="s">
        <v>237</v>
      </c>
      <c r="E3" s="17"/>
      <c r="F3" s="51"/>
      <c r="G3" s="17"/>
      <c r="H3" s="17"/>
      <c r="I3" s="17"/>
      <c r="J3" s="39"/>
      <c r="K3" s="17"/>
      <c r="L3" s="17"/>
      <c r="M3" s="17"/>
      <c r="N3" s="51"/>
      <c r="O3" s="61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3">
      <c r="D4" s="57" t="str">
        <f>CONCATENATE("Period ",RIGHT(202201,2),", ",2022)</f>
        <v>Period 01, 2022</v>
      </c>
      <c r="E4" s="17"/>
      <c r="F4" s="51"/>
      <c r="G4" s="17"/>
      <c r="H4" s="17"/>
      <c r="I4" s="17"/>
      <c r="J4" s="39"/>
      <c r="K4" s="17"/>
      <c r="L4" s="17"/>
      <c r="M4" s="17"/>
      <c r="N4" s="51"/>
      <c r="O4" s="61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3">
      <c r="A5" s="23"/>
      <c r="D5" s="64">
        <v>44408</v>
      </c>
      <c r="E5" s="17"/>
      <c r="F5" s="51"/>
      <c r="G5" s="17"/>
      <c r="H5" s="17"/>
      <c r="I5" s="17"/>
      <c r="J5" s="39"/>
      <c r="K5" s="17"/>
      <c r="L5" s="17"/>
      <c r="M5" s="17"/>
      <c r="N5" s="51"/>
      <c r="O5" s="61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3">
      <c r="A6" s="23"/>
      <c r="B6" s="47"/>
      <c r="C6" s="47"/>
      <c r="D6" s="23" t="str">
        <f>CONCATENATE("Department ","412", " - ", "Chartroom")</f>
        <v>Department 412 - Chartroom</v>
      </c>
      <c r="E6" s="17"/>
      <c r="F6" s="51"/>
      <c r="G6" s="17"/>
      <c r="H6" s="17"/>
      <c r="I6" s="17"/>
      <c r="J6" s="39"/>
      <c r="K6" s="17"/>
      <c r="L6" s="17"/>
      <c r="M6" s="17"/>
      <c r="N6" s="51"/>
      <c r="O6" s="60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3">
      <c r="B7" s="63"/>
    </row>
    <row r="8" spans="1:26" x14ac:dyDescent="0.3">
      <c r="B8" s="63"/>
    </row>
    <row r="9" spans="1:26" x14ac:dyDescent="0.3">
      <c r="B9" s="9"/>
      <c r="C9" s="9"/>
      <c r="D9" s="15" t="s">
        <v>292</v>
      </c>
      <c r="E9" s="15"/>
      <c r="F9" s="38"/>
      <c r="G9" s="15"/>
      <c r="H9" s="15"/>
      <c r="I9" s="15"/>
      <c r="J9" s="49"/>
      <c r="K9" s="15"/>
      <c r="L9" s="15"/>
      <c r="M9" s="15"/>
      <c r="N9" s="38"/>
      <c r="P9" s="15" t="s">
        <v>39</v>
      </c>
      <c r="Q9" s="15"/>
      <c r="R9" s="38"/>
      <c r="S9" s="15"/>
      <c r="T9" s="15"/>
      <c r="U9" s="15"/>
      <c r="V9" s="49"/>
      <c r="W9" s="15"/>
      <c r="X9" s="15"/>
      <c r="Y9" s="15"/>
      <c r="Z9" s="38"/>
    </row>
    <row r="10" spans="1:26" x14ac:dyDescent="0.3">
      <c r="A10" s="10"/>
      <c r="B10" s="53"/>
      <c r="C10" s="10"/>
      <c r="D10" s="42" t="s">
        <v>57</v>
      </c>
      <c r="E10" s="34"/>
      <c r="F10" s="40" t="s">
        <v>40</v>
      </c>
      <c r="G10" s="34"/>
      <c r="H10" s="45" t="s">
        <v>238</v>
      </c>
      <c r="I10" s="34"/>
      <c r="J10" s="48" t="s">
        <v>58</v>
      </c>
      <c r="K10" s="10"/>
      <c r="L10" s="42" t="s">
        <v>127</v>
      </c>
      <c r="M10" s="10"/>
      <c r="N10" s="40" t="s">
        <v>258</v>
      </c>
      <c r="O10" s="10"/>
      <c r="P10" s="56" t="s">
        <v>57</v>
      </c>
      <c r="Q10" s="34"/>
      <c r="R10" s="40" t="s">
        <v>40</v>
      </c>
      <c r="S10" s="34"/>
      <c r="T10" s="45" t="s">
        <v>238</v>
      </c>
      <c r="U10" s="34"/>
      <c r="V10" s="48" t="s">
        <v>58</v>
      </c>
      <c r="W10" s="10"/>
      <c r="X10" s="42" t="s">
        <v>127</v>
      </c>
      <c r="Y10" s="10"/>
      <c r="Z10" s="40" t="s">
        <v>258</v>
      </c>
    </row>
    <row r="11" spans="1:26" ht="15.6" x14ac:dyDescent="0.3">
      <c r="A11" s="9"/>
      <c r="B11" s="58"/>
      <c r="C11" s="9"/>
      <c r="D11" s="9"/>
      <c r="E11" s="9"/>
      <c r="F11" s="6"/>
      <c r="G11" s="9"/>
      <c r="H11" s="9"/>
      <c r="I11" s="9"/>
      <c r="J11" s="46"/>
      <c r="K11" s="9"/>
      <c r="L11" s="9"/>
      <c r="M11" s="9"/>
      <c r="N11" s="6"/>
      <c r="P11" s="9"/>
      <c r="Q11" s="9"/>
      <c r="R11" s="6"/>
      <c r="S11" s="9"/>
      <c r="T11" s="9"/>
      <c r="U11" s="9"/>
      <c r="V11" s="46"/>
      <c r="W11" s="9"/>
      <c r="X11" s="9"/>
      <c r="Y11" s="9"/>
      <c r="Z11" s="6"/>
    </row>
    <row r="12" spans="1:26" s="23" customFormat="1" x14ac:dyDescent="0.3">
      <c r="A12" s="10"/>
      <c r="B12" s="25" t="s">
        <v>140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3">
      <c r="A13" s="9"/>
      <c r="B13" s="10"/>
      <c r="C13" s="9"/>
      <c r="D13" s="2"/>
      <c r="E13" s="2"/>
      <c r="F13" s="6"/>
      <c r="G13" s="2"/>
      <c r="H13" s="2"/>
      <c r="I13" s="2"/>
      <c r="J13" s="6"/>
      <c r="K13" s="2"/>
      <c r="L13" s="2"/>
      <c r="M13" s="2"/>
      <c r="N13" s="6"/>
      <c r="P13" s="2"/>
      <c r="Q13" s="2"/>
      <c r="R13" s="6"/>
      <c r="S13" s="2"/>
      <c r="T13" s="2"/>
      <c r="U13" s="2"/>
      <c r="V13" s="6"/>
      <c r="W13" s="2"/>
      <c r="X13" s="2"/>
      <c r="Y13" s="2"/>
      <c r="Z13" s="6"/>
    </row>
    <row r="14" spans="1:26" s="23" customFormat="1" x14ac:dyDescent="0.3">
      <c r="A14" s="10"/>
      <c r="B14" s="25" t="s">
        <v>257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3">
      <c r="A15" s="9"/>
      <c r="B15" s="10"/>
      <c r="C15" s="10"/>
      <c r="D15" s="2"/>
      <c r="E15" s="2"/>
      <c r="F15" s="6"/>
      <c r="G15" s="2"/>
      <c r="H15" s="2"/>
      <c r="I15" s="2"/>
      <c r="J15" s="6"/>
      <c r="K15" s="2"/>
      <c r="L15" s="2"/>
      <c r="M15" s="2"/>
      <c r="N15" s="6"/>
      <c r="O15" s="10"/>
      <c r="P15" s="2"/>
      <c r="Q15" s="2"/>
      <c r="R15" s="6"/>
      <c r="S15" s="2"/>
      <c r="T15" s="2"/>
      <c r="U15" s="2"/>
      <c r="V15" s="6"/>
      <c r="W15" s="2"/>
      <c r="X15" s="2"/>
      <c r="Y15" s="2"/>
      <c r="Z15" s="6"/>
    </row>
    <row r="16" spans="1:26" s="23" customFormat="1" x14ac:dyDescent="0.3">
      <c r="A16" s="10"/>
      <c r="B16" s="26" t="s">
        <v>108</v>
      </c>
      <c r="C16" s="26"/>
      <c r="D16" s="21">
        <f>D12-D14</f>
        <v>0</v>
      </c>
      <c r="E16" s="13"/>
      <c r="F16" s="22">
        <f>IF(D$12=0,0,D16/D$12)</f>
        <v>0</v>
      </c>
      <c r="G16" s="13"/>
      <c r="H16" s="21">
        <f>H12-H14</f>
        <v>0</v>
      </c>
      <c r="I16" s="13"/>
      <c r="J16" s="22">
        <f>IF(H$12=0,0,H16/H$12)</f>
        <v>0</v>
      </c>
      <c r="K16" s="16"/>
      <c r="L16" s="21">
        <f>+D16-H16</f>
        <v>0</v>
      </c>
      <c r="M16" s="16"/>
      <c r="N16" s="22">
        <f>IF(H16=0,0,L16/H16)</f>
        <v>0</v>
      </c>
      <c r="O16" s="25"/>
      <c r="P16" s="21">
        <f>P12-P14</f>
        <v>0</v>
      </c>
      <c r="Q16" s="13"/>
      <c r="R16" s="22">
        <f>IF(P$12=0,0,P16/P$12)</f>
        <v>0</v>
      </c>
      <c r="S16" s="13"/>
      <c r="T16" s="21">
        <f>T12-T14</f>
        <v>0</v>
      </c>
      <c r="U16" s="13"/>
      <c r="V16" s="22">
        <f>IF(T$12=0,0,T16/T$12)</f>
        <v>0</v>
      </c>
      <c r="W16" s="16"/>
      <c r="X16" s="21">
        <f>+P16-T16</f>
        <v>0</v>
      </c>
      <c r="Y16" s="16"/>
      <c r="Z16" s="22">
        <f>IF(T16=0,0,X16/T16)</f>
        <v>0</v>
      </c>
    </row>
    <row r="17" spans="1:26" x14ac:dyDescent="0.3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3">
      <c r="A18" s="10"/>
      <c r="B18" s="25" t="s">
        <v>295</v>
      </c>
      <c r="C18" s="10"/>
      <c r="D18" s="20">
        <f>SUM(OSRRefD22x_0)</f>
        <v>613.36</v>
      </c>
      <c r="E18" s="20"/>
      <c r="F18" s="32">
        <f t="shared" ref="F18:F24" si="0">IF(D$12=0,0,D18/D$12)</f>
        <v>0</v>
      </c>
      <c r="G18" s="20"/>
      <c r="H18" s="20">
        <f>SUM(OSRRefH22x_0)</f>
        <v>577</v>
      </c>
      <c r="I18" s="20"/>
      <c r="J18" s="32">
        <f t="shared" ref="J18:J24" si="1">IF(H$12=0,0,H18/H$12)</f>
        <v>0</v>
      </c>
      <c r="K18" s="4"/>
      <c r="L18" s="20">
        <f t="shared" ref="L18:L24" si="2">+D18-H18</f>
        <v>36.360000000000014</v>
      </c>
      <c r="M18" s="4"/>
      <c r="N18" s="32">
        <f t="shared" ref="N18:N24" si="3">IF(H18=0,0,L18/H18)</f>
        <v>6.3015597920277319E-2</v>
      </c>
      <c r="O18" s="10"/>
      <c r="P18" s="20">
        <f>SUM(OSRRefP22x_0)</f>
        <v>613.36</v>
      </c>
      <c r="Q18" s="20"/>
      <c r="R18" s="32">
        <f t="shared" ref="R18:R24" si="4">IF(P$12=0,0,P18/P$12)</f>
        <v>0</v>
      </c>
      <c r="S18" s="20"/>
      <c r="T18" s="20">
        <f>SUM(OSRRefT22x_0)</f>
        <v>577</v>
      </c>
      <c r="U18" s="20"/>
      <c r="V18" s="32">
        <f t="shared" ref="V18:V24" si="5">IF(T$12=0,0,T18/T$12)</f>
        <v>0</v>
      </c>
      <c r="W18" s="4"/>
      <c r="X18" s="20">
        <f t="shared" ref="X18:X24" si="6">+P18-T18</f>
        <v>36.360000000000014</v>
      </c>
      <c r="Y18" s="4"/>
      <c r="Z18" s="32">
        <f t="shared" ref="Z18:Z24" si="7">IF(T18=0,0,X18/T18)</f>
        <v>6.3015597920277319E-2</v>
      </c>
    </row>
    <row r="19" spans="1:26" s="27" customFormat="1" outlineLevel="1" collapsed="1" x14ac:dyDescent="0.3">
      <c r="A19" s="28"/>
      <c r="B19" s="14" t="str">
        <f>CONCATENATE("     ","Depreciation                                      ")</f>
        <v xml:space="preserve">     Depreciation                                      </v>
      </c>
      <c r="C19" s="14"/>
      <c r="D19" s="1">
        <f>SUM(OSRRefD22_0x_0)</f>
        <v>577.36</v>
      </c>
      <c r="E19" s="1"/>
      <c r="F19" s="5">
        <f t="shared" si="0"/>
        <v>0</v>
      </c>
      <c r="G19" s="1"/>
      <c r="H19" s="1">
        <f>SUM(OSRRefH22_0x_0)</f>
        <v>577</v>
      </c>
      <c r="I19" s="1"/>
      <c r="J19" s="5">
        <f t="shared" si="1"/>
        <v>0</v>
      </c>
      <c r="K19" s="1"/>
      <c r="L19" s="1">
        <f t="shared" si="2"/>
        <v>0.36000000000001364</v>
      </c>
      <c r="M19" s="1"/>
      <c r="N19" s="5">
        <f t="shared" si="3"/>
        <v>6.2391681109187809E-4</v>
      </c>
      <c r="O19" s="14"/>
      <c r="P19" s="1">
        <f>SUM(OSRRefP22_0x_0)</f>
        <v>577.36</v>
      </c>
      <c r="Q19" s="1"/>
      <c r="R19" s="5">
        <f t="shared" si="4"/>
        <v>0</v>
      </c>
      <c r="S19" s="1"/>
      <c r="T19" s="1">
        <f>SUM(OSRRefT22_0x_0)</f>
        <v>577</v>
      </c>
      <c r="U19" s="1"/>
      <c r="V19" s="5">
        <f t="shared" si="5"/>
        <v>0</v>
      </c>
      <c r="W19" s="1"/>
      <c r="X19" s="1">
        <f t="shared" si="6"/>
        <v>0.36000000000001364</v>
      </c>
      <c r="Y19" s="1"/>
      <c r="Z19" s="5">
        <f t="shared" si="7"/>
        <v>6.2391681109187809E-4</v>
      </c>
    </row>
    <row r="20" spans="1:26" s="24" customFormat="1" hidden="1" outlineLevel="2" x14ac:dyDescent="0.3">
      <c r="A20" s="29"/>
      <c r="B20" s="11" t="str">
        <f>CONCATENATE("          ", "6322", " - ", "EQUIPMENT DEPRECIATION EXPENSE")</f>
        <v xml:space="preserve">          6322 - EQUIPMENT DEPRECIATION EXPENSE</v>
      </c>
      <c r="C20" s="11"/>
      <c r="D20" s="8">
        <v>577.36</v>
      </c>
      <c r="E20" s="3"/>
      <c r="F20" s="7">
        <f t="shared" si="0"/>
        <v>0</v>
      </c>
      <c r="G20" s="3"/>
      <c r="H20" s="8">
        <v>577</v>
      </c>
      <c r="I20" s="3"/>
      <c r="J20" s="7">
        <f t="shared" si="1"/>
        <v>0</v>
      </c>
      <c r="K20" s="3"/>
      <c r="L20" s="8">
        <f t="shared" si="2"/>
        <v>0.36000000000001364</v>
      </c>
      <c r="M20" s="3"/>
      <c r="N20" s="7">
        <f t="shared" si="3"/>
        <v>6.2391681109187809E-4</v>
      </c>
      <c r="O20" s="11"/>
      <c r="P20" s="8">
        <v>577.36</v>
      </c>
      <c r="Q20" s="3"/>
      <c r="R20" s="7">
        <f t="shared" si="4"/>
        <v>0</v>
      </c>
      <c r="S20" s="3"/>
      <c r="T20" s="8">
        <v>577</v>
      </c>
      <c r="U20" s="3"/>
      <c r="V20" s="7">
        <f t="shared" si="5"/>
        <v>0</v>
      </c>
      <c r="W20" s="3"/>
      <c r="X20" s="8">
        <f t="shared" si="6"/>
        <v>0.36000000000001364</v>
      </c>
      <c r="Y20" s="3"/>
      <c r="Z20" s="7">
        <f t="shared" si="7"/>
        <v>6.2391681109187809E-4</v>
      </c>
    </row>
    <row r="21" spans="1:26" s="27" customFormat="1" outlineLevel="1" collapsed="1" x14ac:dyDescent="0.3">
      <c r="A21" s="28"/>
      <c r="B21" s="14" t="str">
        <f>CONCATENATE("     ","Services                                          ")</f>
        <v xml:space="preserve">     Services                                          </v>
      </c>
      <c r="C21" s="14"/>
      <c r="D21" s="1">
        <f>SUM(OSRRefD22_1x_0)</f>
        <v>0</v>
      </c>
      <c r="E21" s="1"/>
      <c r="F21" s="5">
        <f t="shared" si="0"/>
        <v>0</v>
      </c>
      <c r="G21" s="1"/>
      <c r="H21" s="1">
        <f>SUM(OSRRefH22_1x_0)</f>
        <v>0</v>
      </c>
      <c r="I21" s="1"/>
      <c r="J21" s="5">
        <f t="shared" si="1"/>
        <v>0</v>
      </c>
      <c r="K21" s="1"/>
      <c r="L21" s="1">
        <f t="shared" si="2"/>
        <v>0</v>
      </c>
      <c r="M21" s="1"/>
      <c r="N21" s="5">
        <f t="shared" si="3"/>
        <v>0</v>
      </c>
      <c r="O21" s="14"/>
      <c r="P21" s="1">
        <f>SUM(OSRRefP22_1x_0)</f>
        <v>0</v>
      </c>
      <c r="Q21" s="1"/>
      <c r="R21" s="5">
        <f t="shared" si="4"/>
        <v>0</v>
      </c>
      <c r="S21" s="1"/>
      <c r="T21" s="1">
        <f>SUM(OSRRefT22_1x_0)</f>
        <v>0</v>
      </c>
      <c r="U21" s="1"/>
      <c r="V21" s="5">
        <f t="shared" si="5"/>
        <v>0</v>
      </c>
      <c r="W21" s="1"/>
      <c r="X21" s="1">
        <f t="shared" si="6"/>
        <v>0</v>
      </c>
      <c r="Y21" s="1"/>
      <c r="Z21" s="5">
        <f t="shared" si="7"/>
        <v>0</v>
      </c>
    </row>
    <row r="22" spans="1:26" s="24" customFormat="1" hidden="1" outlineLevel="2" x14ac:dyDescent="0.3">
      <c r="A22" s="29"/>
      <c r="B22" s="11" t="str">
        <f>CONCATENATE("          ", "6284", " - ", "TRASH REMOVAL EXPENSE")</f>
        <v xml:space="preserve">          6284 - TRASH REMOVAL EXPENSE</v>
      </c>
      <c r="C22" s="11"/>
      <c r="D22" s="8"/>
      <c r="E22" s="3"/>
      <c r="F22" s="7">
        <f t="shared" si="0"/>
        <v>0</v>
      </c>
      <c r="G22" s="3"/>
      <c r="H22" s="8">
        <v>0</v>
      </c>
      <c r="I22" s="3"/>
      <c r="J22" s="7">
        <f t="shared" si="1"/>
        <v>0</v>
      </c>
      <c r="K22" s="3"/>
      <c r="L22" s="8">
        <f t="shared" si="2"/>
        <v>0</v>
      </c>
      <c r="M22" s="3"/>
      <c r="N22" s="7">
        <f t="shared" si="3"/>
        <v>0</v>
      </c>
      <c r="O22" s="11"/>
      <c r="P22" s="8"/>
      <c r="Q22" s="3"/>
      <c r="R22" s="7">
        <f t="shared" si="4"/>
        <v>0</v>
      </c>
      <c r="S22" s="3"/>
      <c r="T22" s="8">
        <v>0</v>
      </c>
      <c r="U22" s="3"/>
      <c r="V22" s="7">
        <f t="shared" si="5"/>
        <v>0</v>
      </c>
      <c r="W22" s="3"/>
      <c r="X22" s="8">
        <f t="shared" si="6"/>
        <v>0</v>
      </c>
      <c r="Y22" s="3"/>
      <c r="Z22" s="7">
        <f t="shared" si="7"/>
        <v>0</v>
      </c>
    </row>
    <row r="23" spans="1:26" s="27" customFormat="1" outlineLevel="1" collapsed="1" x14ac:dyDescent="0.3">
      <c r="A23" s="28"/>
      <c r="B23" s="14" t="str">
        <f>CONCATENATE("     ","Telephone/Data Lines                              ")</f>
        <v xml:space="preserve">     Telephone/Data Lines                              </v>
      </c>
      <c r="C23" s="14"/>
      <c r="D23" s="1">
        <f>SUM(OSRRefD22_2x_0)</f>
        <v>36</v>
      </c>
      <c r="E23" s="1"/>
      <c r="F23" s="5">
        <f t="shared" si="0"/>
        <v>0</v>
      </c>
      <c r="G23" s="1"/>
      <c r="H23" s="1">
        <f>SUM(OSRRefH22_2x_0)</f>
        <v>0</v>
      </c>
      <c r="I23" s="1"/>
      <c r="J23" s="5">
        <f t="shared" si="1"/>
        <v>0</v>
      </c>
      <c r="K23" s="1"/>
      <c r="L23" s="1">
        <f t="shared" si="2"/>
        <v>36</v>
      </c>
      <c r="M23" s="1"/>
      <c r="N23" s="5">
        <f t="shared" si="3"/>
        <v>0</v>
      </c>
      <c r="O23" s="14"/>
      <c r="P23" s="1">
        <f>SUM(OSRRefP22_2x_0)</f>
        <v>36</v>
      </c>
      <c r="Q23" s="1"/>
      <c r="R23" s="5">
        <f t="shared" si="4"/>
        <v>0</v>
      </c>
      <c r="S23" s="1"/>
      <c r="T23" s="1">
        <f>SUM(OSRRefT22_2x_0)</f>
        <v>0</v>
      </c>
      <c r="U23" s="1"/>
      <c r="V23" s="5">
        <f t="shared" si="5"/>
        <v>0</v>
      </c>
      <c r="W23" s="1"/>
      <c r="X23" s="1">
        <f t="shared" si="6"/>
        <v>36</v>
      </c>
      <c r="Y23" s="1"/>
      <c r="Z23" s="5">
        <f t="shared" si="7"/>
        <v>0</v>
      </c>
    </row>
    <row r="24" spans="1:26" s="24" customFormat="1" hidden="1" outlineLevel="2" x14ac:dyDescent="0.3">
      <c r="A24" s="29"/>
      <c r="B24" s="11" t="str">
        <f>CONCATENATE("          ", "6309", " - ", "TELEPHONE")</f>
        <v xml:space="preserve">          6309 - TELEPHONE</v>
      </c>
      <c r="C24" s="11"/>
      <c r="D24" s="8">
        <v>36</v>
      </c>
      <c r="E24" s="3"/>
      <c r="F24" s="7">
        <f t="shared" si="0"/>
        <v>0</v>
      </c>
      <c r="G24" s="3"/>
      <c r="H24" s="8"/>
      <c r="I24" s="3"/>
      <c r="J24" s="7">
        <f t="shared" si="1"/>
        <v>0</v>
      </c>
      <c r="K24" s="3"/>
      <c r="L24" s="8">
        <f t="shared" si="2"/>
        <v>36</v>
      </c>
      <c r="M24" s="3"/>
      <c r="N24" s="7">
        <f t="shared" si="3"/>
        <v>0</v>
      </c>
      <c r="O24" s="11"/>
      <c r="P24" s="8">
        <v>36</v>
      </c>
      <c r="Q24" s="3"/>
      <c r="R24" s="7">
        <f t="shared" si="4"/>
        <v>0</v>
      </c>
      <c r="S24" s="3"/>
      <c r="T24" s="8"/>
      <c r="U24" s="3"/>
      <c r="V24" s="7">
        <f t="shared" si="5"/>
        <v>0</v>
      </c>
      <c r="W24" s="3"/>
      <c r="X24" s="8">
        <f t="shared" si="6"/>
        <v>36</v>
      </c>
      <c r="Y24" s="3"/>
      <c r="Z24" s="7">
        <f t="shared" si="7"/>
        <v>0</v>
      </c>
    </row>
    <row r="25" spans="1:26" s="62" customFormat="1" x14ac:dyDescent="0.3">
      <c r="A25" s="36"/>
      <c r="B25" s="36"/>
      <c r="C25" s="36"/>
      <c r="D25" s="1"/>
      <c r="E25" s="1"/>
      <c r="F25" s="5"/>
      <c r="G25" s="1"/>
      <c r="H25" s="1"/>
      <c r="I25" s="1"/>
      <c r="J25" s="5"/>
      <c r="K25" s="1"/>
      <c r="L25" s="1"/>
      <c r="M25" s="1"/>
      <c r="N25" s="5"/>
      <c r="O25" s="36"/>
      <c r="P25" s="1"/>
      <c r="Q25" s="1"/>
      <c r="R25" s="5"/>
      <c r="S25" s="1"/>
      <c r="T25" s="1"/>
      <c r="U25" s="1"/>
      <c r="V25" s="5"/>
      <c r="W25" s="1"/>
      <c r="X25" s="1"/>
      <c r="Y25" s="1"/>
      <c r="Z25" s="5"/>
    </row>
    <row r="26" spans="1:26" s="23" customFormat="1" x14ac:dyDescent="0.3">
      <c r="A26" s="10"/>
      <c r="B26" s="25" t="s">
        <v>293</v>
      </c>
      <c r="C26" s="10"/>
      <c r="D26" s="4">
        <f>SUM(0)</f>
        <v>0</v>
      </c>
      <c r="E26" s="4"/>
      <c r="F26" s="12">
        <f>IF(D$12=0,0,D26/D$12)</f>
        <v>0</v>
      </c>
      <c r="G26" s="4"/>
      <c r="H26" s="4">
        <f>SUM(0)</f>
        <v>0</v>
      </c>
      <c r="I26" s="4"/>
      <c r="J26" s="12">
        <f>IF(H$12=0,0,H26/H$12)</f>
        <v>0</v>
      </c>
      <c r="K26" s="4"/>
      <c r="L26" s="4">
        <f>+D26-H26</f>
        <v>0</v>
      </c>
      <c r="M26" s="4"/>
      <c r="N26" s="12">
        <f>IF(H26=0,0,L26/H26)</f>
        <v>0</v>
      </c>
      <c r="O26" s="10"/>
      <c r="P26" s="4">
        <f>SUM(0)</f>
        <v>0</v>
      </c>
      <c r="Q26" s="4"/>
      <c r="R26" s="12">
        <f>IF(P$12=0,0,P26/P$12)</f>
        <v>0</v>
      </c>
      <c r="S26" s="4"/>
      <c r="T26" s="4">
        <f>SUM(0)</f>
        <v>0</v>
      </c>
      <c r="U26" s="4"/>
      <c r="V26" s="12">
        <f>IF(T$12=0,0,T26/T$12)</f>
        <v>0</v>
      </c>
      <c r="W26" s="4"/>
      <c r="X26" s="4">
        <f>+P26-T26</f>
        <v>0</v>
      </c>
      <c r="Y26" s="4"/>
      <c r="Z26" s="12">
        <f>IF(T26=0,0,X26/T26)</f>
        <v>0</v>
      </c>
    </row>
    <row r="27" spans="1:26" x14ac:dyDescent="0.3">
      <c r="A27" s="9"/>
      <c r="B27" s="10"/>
      <c r="C27" s="10"/>
      <c r="D27" s="2"/>
      <c r="E27" s="2"/>
      <c r="F27" s="6"/>
      <c r="G27" s="2"/>
      <c r="H27" s="2"/>
      <c r="I27" s="2"/>
      <c r="J27" s="6"/>
      <c r="K27" s="2"/>
      <c r="L27" s="2"/>
      <c r="M27" s="2"/>
      <c r="N27" s="6"/>
      <c r="O27" s="10"/>
      <c r="P27" s="2"/>
      <c r="Q27" s="2"/>
      <c r="R27" s="6"/>
      <c r="S27" s="2"/>
      <c r="T27" s="2"/>
      <c r="U27" s="2"/>
      <c r="V27" s="6"/>
      <c r="W27" s="2"/>
      <c r="X27" s="2"/>
      <c r="Y27" s="2"/>
      <c r="Z27" s="6"/>
    </row>
    <row r="28" spans="1:26" s="23" customFormat="1" x14ac:dyDescent="0.3">
      <c r="A28" s="10"/>
      <c r="B28" s="26" t="s">
        <v>277</v>
      </c>
      <c r="C28" s="26"/>
      <c r="D28" s="21">
        <f>+D16-D18+D26</f>
        <v>-613.36</v>
      </c>
      <c r="E28" s="13"/>
      <c r="F28" s="22">
        <f>IF(D$12=0,0,D28/D$12)</f>
        <v>0</v>
      </c>
      <c r="G28" s="13"/>
      <c r="H28" s="21">
        <f>+H16-H18+H26</f>
        <v>-577</v>
      </c>
      <c r="I28" s="13"/>
      <c r="J28" s="22">
        <f>IF(H$12=0,0,H28/H$12)</f>
        <v>0</v>
      </c>
      <c r="K28" s="16"/>
      <c r="L28" s="21">
        <f>+D28-H28</f>
        <v>-36.360000000000014</v>
      </c>
      <c r="M28" s="16"/>
      <c r="N28" s="22">
        <f>IF(H28=0,0,L28/H28)</f>
        <v>6.3015597920277319E-2</v>
      </c>
      <c r="O28" s="25"/>
      <c r="P28" s="21">
        <f>+P16-P18+P26</f>
        <v>-613.36</v>
      </c>
      <c r="Q28" s="13"/>
      <c r="R28" s="22">
        <f>IF(P$12=0,0,P28/P$12)</f>
        <v>0</v>
      </c>
      <c r="S28" s="13"/>
      <c r="T28" s="21">
        <f>+T16-T18+T26</f>
        <v>-577</v>
      </c>
      <c r="U28" s="13"/>
      <c r="V28" s="22">
        <f>IF(T$12=0,0,T28/T$12)</f>
        <v>0</v>
      </c>
      <c r="W28" s="16"/>
      <c r="X28" s="21">
        <f>+P28-T28</f>
        <v>-36.360000000000014</v>
      </c>
      <c r="Y28" s="16"/>
      <c r="Z28" s="22">
        <f>IF(T28=0,0,X28/T28)</f>
        <v>6.3015597920277319E-2</v>
      </c>
    </row>
    <row r="29" spans="1:26" x14ac:dyDescent="0.3">
      <c r="A29" s="9"/>
      <c r="B29" s="10"/>
      <c r="C29" s="9"/>
      <c r="D29" s="2"/>
      <c r="E29" s="2"/>
      <c r="F29" s="6"/>
      <c r="G29" s="2"/>
      <c r="H29" s="2"/>
      <c r="I29" s="2"/>
      <c r="J29" s="6"/>
      <c r="K29" s="2"/>
      <c r="L29" s="2"/>
      <c r="M29" s="2"/>
      <c r="N29" s="6"/>
      <c r="P29" s="2"/>
      <c r="Q29" s="2"/>
      <c r="R29" s="6"/>
      <c r="S29" s="2"/>
      <c r="T29" s="2"/>
      <c r="U29" s="2"/>
      <c r="V29" s="6"/>
      <c r="W29" s="2"/>
      <c r="X29" s="2"/>
      <c r="Y29" s="2"/>
      <c r="Z29" s="6"/>
    </row>
    <row r="30" spans="1:26" s="23" customFormat="1" x14ac:dyDescent="0.3">
      <c r="A30" s="52"/>
      <c r="B30" s="10" t="s">
        <v>128</v>
      </c>
      <c r="C30" s="10"/>
      <c r="D30" s="4"/>
      <c r="E30" s="4"/>
      <c r="F30" s="12">
        <f>IF(D$12=0,0,D30/D$12)</f>
        <v>0</v>
      </c>
      <c r="G30" s="4"/>
      <c r="H30" s="4"/>
      <c r="I30" s="4"/>
      <c r="J30" s="12">
        <f>IF(H$12=0,0,H30/H$12)</f>
        <v>0</v>
      </c>
      <c r="K30" s="4"/>
      <c r="L30" s="4">
        <f>+D30-H30</f>
        <v>0</v>
      </c>
      <c r="M30" s="4"/>
      <c r="N30" s="12">
        <f>IF(H30=0,0,L30/H30)</f>
        <v>0</v>
      </c>
      <c r="O30" s="10"/>
      <c r="P30" s="4"/>
      <c r="Q30" s="4"/>
      <c r="R30" s="12">
        <f>IF(P$12=0,0,P30/P$12)</f>
        <v>0</v>
      </c>
      <c r="S30" s="4"/>
      <c r="T30" s="4"/>
      <c r="U30" s="4"/>
      <c r="V30" s="12">
        <f>IF(T$12=0,0,T30/T$12)</f>
        <v>0</v>
      </c>
      <c r="W30" s="4"/>
      <c r="X30" s="4">
        <f>+P30-T30</f>
        <v>0</v>
      </c>
      <c r="Y30" s="4"/>
      <c r="Z30" s="12">
        <f>IF(T30=0,0,X30/T30)</f>
        <v>0</v>
      </c>
    </row>
    <row r="31" spans="1:26" x14ac:dyDescent="0.3">
      <c r="A31" s="9"/>
      <c r="B31" s="10"/>
      <c r="C31" s="10"/>
      <c r="D31" s="2"/>
      <c r="E31" s="2"/>
      <c r="F31" s="6"/>
      <c r="G31" s="2"/>
      <c r="H31" s="2"/>
      <c r="I31" s="2"/>
      <c r="J31" s="6"/>
      <c r="K31" s="2"/>
      <c r="L31" s="2"/>
      <c r="M31" s="2"/>
      <c r="N31" s="6"/>
      <c r="O31" s="10"/>
      <c r="P31" s="2"/>
      <c r="Q31" s="2"/>
      <c r="R31" s="6"/>
      <c r="S31" s="2"/>
      <c r="T31" s="2"/>
      <c r="U31" s="2"/>
      <c r="V31" s="6"/>
      <c r="W31" s="2"/>
      <c r="X31" s="2"/>
      <c r="Y31" s="2"/>
      <c r="Z31" s="6"/>
    </row>
    <row r="32" spans="1:26" s="23" customFormat="1" ht="15" thickBot="1" x14ac:dyDescent="0.35">
      <c r="A32" s="10"/>
      <c r="B32" s="26" t="s">
        <v>126</v>
      </c>
      <c r="C32" s="26"/>
      <c r="D32" s="35">
        <f>+D28-D30</f>
        <v>-613.36</v>
      </c>
      <c r="E32" s="13"/>
      <c r="F32" s="30">
        <f>IF(D$12=0,0,D32/D$12)</f>
        <v>0</v>
      </c>
      <c r="G32" s="13"/>
      <c r="H32" s="35">
        <f>+H28-H30</f>
        <v>-577</v>
      </c>
      <c r="I32" s="13"/>
      <c r="J32" s="30">
        <f>IF(H$12=0,0,H32/H$12)</f>
        <v>0</v>
      </c>
      <c r="K32" s="16"/>
      <c r="L32" s="35">
        <f>D32-H32</f>
        <v>-36.360000000000014</v>
      </c>
      <c r="M32" s="16"/>
      <c r="N32" s="30">
        <f>IF(H32=0,0,L32/H32)</f>
        <v>6.3015597920277319E-2</v>
      </c>
      <c r="O32" s="25"/>
      <c r="P32" s="35">
        <f>+P28-P30</f>
        <v>-613.36</v>
      </c>
      <c r="Q32" s="13"/>
      <c r="R32" s="30">
        <f>IF(P$12=0,0,P32/P$12)</f>
        <v>0</v>
      </c>
      <c r="S32" s="13"/>
      <c r="T32" s="35">
        <f>+T28-T30</f>
        <v>-577</v>
      </c>
      <c r="U32" s="13"/>
      <c r="V32" s="30">
        <f>IF(T$12=0,0,T32/T$12)</f>
        <v>0</v>
      </c>
      <c r="W32" s="16"/>
      <c r="X32" s="35">
        <f>P32-T32</f>
        <v>-36.360000000000014</v>
      </c>
      <c r="Y32" s="16"/>
      <c r="Z32" s="30">
        <f>IF(T32=0,0,X32/T32)</f>
        <v>6.3015597920277319E-2</v>
      </c>
    </row>
    <row r="33" spans="1:26" ht="15" thickTop="1" x14ac:dyDescent="0.3">
      <c r="A33" s="9"/>
      <c r="B33" s="9"/>
      <c r="C33" s="9"/>
      <c r="D33" s="2"/>
      <c r="E33" s="2"/>
      <c r="F33" s="6"/>
      <c r="G33" s="2"/>
      <c r="H33" s="2"/>
      <c r="I33" s="2"/>
      <c r="J33" s="6"/>
      <c r="K33" s="2"/>
      <c r="L33" s="2"/>
      <c r="M33" s="2"/>
      <c r="N33" s="6"/>
      <c r="P33" s="2"/>
      <c r="Q33" s="2"/>
      <c r="R33" s="6"/>
      <c r="S33" s="2"/>
      <c r="T33" s="2"/>
      <c r="U33" s="2"/>
      <c r="V33" s="6"/>
      <c r="W33" s="2"/>
      <c r="X33" s="2"/>
      <c r="Y33" s="2"/>
      <c r="Z33" s="6"/>
    </row>
    <row r="34" spans="1:26" x14ac:dyDescent="0.3">
      <c r="A34" s="9"/>
      <c r="B34" s="9"/>
      <c r="C34" s="9"/>
      <c r="D34" s="2"/>
      <c r="E34" s="2"/>
      <c r="F34" s="6"/>
      <c r="G34" s="2"/>
      <c r="H34" s="2"/>
      <c r="I34" s="2"/>
      <c r="J34" s="6"/>
      <c r="K34" s="2"/>
      <c r="L34" s="2"/>
      <c r="M34" s="2"/>
      <c r="N34" s="6"/>
      <c r="P34" s="2"/>
      <c r="Q34" s="2"/>
      <c r="R34" s="6"/>
      <c r="S34" s="2"/>
      <c r="T34" s="2"/>
      <c r="U34" s="2"/>
      <c r="V34" s="6"/>
      <c r="W34" s="2"/>
      <c r="X34" s="2"/>
      <c r="Y34" s="2"/>
      <c r="Z34" s="6"/>
    </row>
    <row r="35" spans="1:26" s="23" customFormat="1" ht="15" thickBot="1" x14ac:dyDescent="0.35">
      <c r="A35" s="10"/>
      <c r="B35" s="26" t="s">
        <v>294</v>
      </c>
      <c r="C35" s="26"/>
      <c r="D35" s="33">
        <f>SUM(D32:D34)</f>
        <v>-613.36</v>
      </c>
      <c r="E35" s="13"/>
      <c r="F35" s="31">
        <f>IF(D$12=0,0,D35/D$12)</f>
        <v>0</v>
      </c>
      <c r="G35" s="13"/>
      <c r="H35" s="33">
        <f>SUM(H32:H34)</f>
        <v>-577</v>
      </c>
      <c r="I35" s="13"/>
      <c r="J35" s="31">
        <f>IF(H$12=0,0,H35/H$12)</f>
        <v>0</v>
      </c>
      <c r="K35" s="16"/>
      <c r="L35" s="33">
        <f>+D35-H35</f>
        <v>-36.360000000000014</v>
      </c>
      <c r="M35" s="16"/>
      <c r="N35" s="31">
        <f>IF(H35=0,0,L35/H35)</f>
        <v>6.3015597920277319E-2</v>
      </c>
      <c r="O35" s="25"/>
      <c r="P35" s="33">
        <f>SUM(P32:P34)</f>
        <v>-613.36</v>
      </c>
      <c r="Q35" s="13"/>
      <c r="R35" s="31">
        <f>IF(P$12=0,0,P35/P$12)</f>
        <v>0</v>
      </c>
      <c r="S35" s="13"/>
      <c r="T35" s="33">
        <f>SUM(T32:T34)</f>
        <v>-577</v>
      </c>
      <c r="U35" s="13"/>
      <c r="V35" s="31">
        <f>IF(T$12=0,0,T35/T$12)</f>
        <v>0</v>
      </c>
      <c r="W35" s="16"/>
      <c r="X35" s="33">
        <f>+P35-T35</f>
        <v>-36.360000000000014</v>
      </c>
      <c r="Y35" s="16"/>
      <c r="Z35" s="31">
        <f>IF(T35=0,0,X35/T35)</f>
        <v>6.3015597920277319E-2</v>
      </c>
    </row>
    <row r="36" spans="1:26" ht="15" thickTop="1" x14ac:dyDescent="0.3">
      <c r="A36" s="9"/>
      <c r="C36" s="9"/>
      <c r="D36" s="18"/>
      <c r="E36" s="18"/>
      <c r="G36" s="18"/>
      <c r="H36" s="18"/>
      <c r="I36" s="18"/>
      <c r="J36" s="43"/>
      <c r="K36" s="18"/>
      <c r="L36" s="18"/>
      <c r="M36" s="18"/>
      <c r="P36" s="18"/>
      <c r="Q36" s="18"/>
      <c r="R36" s="43"/>
      <c r="S36" s="18"/>
      <c r="T36" s="18"/>
      <c r="U36" s="18"/>
      <c r="V36" s="43"/>
      <c r="W36" s="18"/>
      <c r="X36" s="18"/>
    </row>
    <row r="37" spans="1:26" x14ac:dyDescent="0.3">
      <c r="A37" s="9"/>
      <c r="B37" s="54">
        <v>44462.64548684028</v>
      </c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3">
      <c r="A38" s="9"/>
      <c r="B38" s="59" t="s">
        <v>56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3">
      <c r="A39" s="9"/>
      <c r="B39" s="55"/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3"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</sheetData>
  <pageMargins left="0.25" right="0.25" top="0.75" bottom="0.75" header="0.3" footer="0.3"/>
  <pageSetup scale="55" fitToWidth="2" orientation="landscape"/>
  <drawing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>
    <tabColor rgb="FF92D050"/>
    <outlinePr summaryBelow="0" summaryRight="0"/>
  </sheetPr>
  <dimension ref="A2:Z38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50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7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50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7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7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7" customWidth="1" outlineLevel="1"/>
  </cols>
  <sheetData>
    <row r="2" spans="1:26" x14ac:dyDescent="0.3">
      <c r="D2" s="57" t="s">
        <v>23</v>
      </c>
    </row>
    <row r="3" spans="1:26" x14ac:dyDescent="0.3">
      <c r="D3" s="57" t="s">
        <v>237</v>
      </c>
      <c r="E3" s="17"/>
      <c r="F3" s="51"/>
      <c r="G3" s="17"/>
      <c r="H3" s="17"/>
      <c r="I3" s="17"/>
      <c r="J3" s="39"/>
      <c r="K3" s="17"/>
      <c r="L3" s="17"/>
      <c r="M3" s="17"/>
      <c r="N3" s="51"/>
      <c r="O3" s="61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3">
      <c r="D4" s="57" t="str">
        <f>CONCATENATE("Period ",RIGHT(202201,2),", ",2022)</f>
        <v>Period 01, 2022</v>
      </c>
      <c r="E4" s="17"/>
      <c r="F4" s="51"/>
      <c r="G4" s="17"/>
      <c r="H4" s="17"/>
      <c r="I4" s="17"/>
      <c r="J4" s="39"/>
      <c r="K4" s="17"/>
      <c r="L4" s="17"/>
      <c r="M4" s="17"/>
      <c r="N4" s="51"/>
      <c r="O4" s="61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3">
      <c r="A5" s="23"/>
      <c r="D5" s="64">
        <v>44408</v>
      </c>
      <c r="E5" s="17"/>
      <c r="F5" s="51"/>
      <c r="G5" s="17"/>
      <c r="H5" s="17"/>
      <c r="I5" s="17"/>
      <c r="J5" s="39"/>
      <c r="K5" s="17"/>
      <c r="L5" s="17"/>
      <c r="M5" s="17"/>
      <c r="N5" s="51"/>
      <c r="O5" s="61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3">
      <c r="A6" s="23"/>
      <c r="B6" s="47"/>
      <c r="C6" s="47"/>
      <c r="D6" s="23" t="str">
        <f>CONCATENATE("Department ","413", " - ", "Beach Walk")</f>
        <v>Department 413 - Beach Walk</v>
      </c>
      <c r="E6" s="17"/>
      <c r="F6" s="51"/>
      <c r="G6" s="17"/>
      <c r="H6" s="17"/>
      <c r="I6" s="17"/>
      <c r="J6" s="39"/>
      <c r="K6" s="17"/>
      <c r="L6" s="17"/>
      <c r="M6" s="17"/>
      <c r="N6" s="51"/>
      <c r="O6" s="60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3">
      <c r="B7" s="63"/>
    </row>
    <row r="8" spans="1:26" x14ac:dyDescent="0.3">
      <c r="B8" s="63"/>
    </row>
    <row r="9" spans="1:26" x14ac:dyDescent="0.3">
      <c r="B9" s="9"/>
      <c r="C9" s="9"/>
      <c r="D9" s="15" t="s">
        <v>292</v>
      </c>
      <c r="E9" s="15"/>
      <c r="F9" s="38"/>
      <c r="G9" s="15"/>
      <c r="H9" s="15"/>
      <c r="I9" s="15"/>
      <c r="J9" s="49"/>
      <c r="K9" s="15"/>
      <c r="L9" s="15"/>
      <c r="M9" s="15"/>
      <c r="N9" s="38"/>
      <c r="P9" s="15" t="s">
        <v>39</v>
      </c>
      <c r="Q9" s="15"/>
      <c r="R9" s="38"/>
      <c r="S9" s="15"/>
      <c r="T9" s="15"/>
      <c r="U9" s="15"/>
      <c r="V9" s="49"/>
      <c r="W9" s="15"/>
      <c r="X9" s="15"/>
      <c r="Y9" s="15"/>
      <c r="Z9" s="38"/>
    </row>
    <row r="10" spans="1:26" x14ac:dyDescent="0.3">
      <c r="A10" s="10"/>
      <c r="B10" s="53"/>
      <c r="C10" s="10"/>
      <c r="D10" s="42" t="s">
        <v>57</v>
      </c>
      <c r="E10" s="34"/>
      <c r="F10" s="40" t="s">
        <v>40</v>
      </c>
      <c r="G10" s="34"/>
      <c r="H10" s="45" t="s">
        <v>238</v>
      </c>
      <c r="I10" s="34"/>
      <c r="J10" s="48" t="s">
        <v>58</v>
      </c>
      <c r="K10" s="10"/>
      <c r="L10" s="42" t="s">
        <v>127</v>
      </c>
      <c r="M10" s="10"/>
      <c r="N10" s="40" t="s">
        <v>258</v>
      </c>
      <c r="O10" s="10"/>
      <c r="P10" s="56" t="s">
        <v>57</v>
      </c>
      <c r="Q10" s="34"/>
      <c r="R10" s="40" t="s">
        <v>40</v>
      </c>
      <c r="S10" s="34"/>
      <c r="T10" s="45" t="s">
        <v>238</v>
      </c>
      <c r="U10" s="34"/>
      <c r="V10" s="48" t="s">
        <v>58</v>
      </c>
      <c r="W10" s="10"/>
      <c r="X10" s="42" t="s">
        <v>127</v>
      </c>
      <c r="Y10" s="10"/>
      <c r="Z10" s="40" t="s">
        <v>258</v>
      </c>
    </row>
    <row r="11" spans="1:26" ht="15.6" x14ac:dyDescent="0.3">
      <c r="A11" s="9"/>
      <c r="B11" s="58"/>
      <c r="C11" s="9"/>
      <c r="D11" s="9"/>
      <c r="E11" s="9"/>
      <c r="F11" s="6"/>
      <c r="G11" s="9"/>
      <c r="H11" s="9"/>
      <c r="I11" s="9"/>
      <c r="J11" s="46"/>
      <c r="K11" s="9"/>
      <c r="L11" s="9"/>
      <c r="M11" s="9"/>
      <c r="N11" s="6"/>
      <c r="P11" s="9"/>
      <c r="Q11" s="9"/>
      <c r="R11" s="6"/>
      <c r="S11" s="9"/>
      <c r="T11" s="9"/>
      <c r="U11" s="9"/>
      <c r="V11" s="46"/>
      <c r="W11" s="9"/>
      <c r="X11" s="9"/>
      <c r="Y11" s="9"/>
      <c r="Z11" s="6"/>
    </row>
    <row r="12" spans="1:26" s="23" customFormat="1" x14ac:dyDescent="0.3">
      <c r="A12" s="10"/>
      <c r="B12" s="25" t="s">
        <v>140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3">
      <c r="A13" s="9"/>
      <c r="B13" s="10"/>
      <c r="C13" s="9"/>
      <c r="D13" s="2"/>
      <c r="E13" s="2"/>
      <c r="F13" s="6"/>
      <c r="G13" s="2"/>
      <c r="H13" s="2"/>
      <c r="I13" s="2"/>
      <c r="J13" s="6"/>
      <c r="K13" s="2"/>
      <c r="L13" s="2"/>
      <c r="M13" s="2"/>
      <c r="N13" s="6"/>
      <c r="P13" s="2"/>
      <c r="Q13" s="2"/>
      <c r="R13" s="6"/>
      <c r="S13" s="2"/>
      <c r="T13" s="2"/>
      <c r="U13" s="2"/>
      <c r="V13" s="6"/>
      <c r="W13" s="2"/>
      <c r="X13" s="2"/>
      <c r="Y13" s="2"/>
      <c r="Z13" s="6"/>
    </row>
    <row r="14" spans="1:26" s="23" customFormat="1" x14ac:dyDescent="0.3">
      <c r="A14" s="10"/>
      <c r="B14" s="25" t="s">
        <v>257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3">
      <c r="A15" s="9"/>
      <c r="B15" s="10"/>
      <c r="C15" s="10"/>
      <c r="D15" s="2"/>
      <c r="E15" s="2"/>
      <c r="F15" s="6"/>
      <c r="G15" s="2"/>
      <c r="H15" s="2"/>
      <c r="I15" s="2"/>
      <c r="J15" s="6"/>
      <c r="K15" s="2"/>
      <c r="L15" s="2"/>
      <c r="M15" s="2"/>
      <c r="N15" s="6"/>
      <c r="O15" s="10"/>
      <c r="P15" s="2"/>
      <c r="Q15" s="2"/>
      <c r="R15" s="6"/>
      <c r="S15" s="2"/>
      <c r="T15" s="2"/>
      <c r="U15" s="2"/>
      <c r="V15" s="6"/>
      <c r="W15" s="2"/>
      <c r="X15" s="2"/>
      <c r="Y15" s="2"/>
      <c r="Z15" s="6"/>
    </row>
    <row r="16" spans="1:26" s="23" customFormat="1" x14ac:dyDescent="0.3">
      <c r="A16" s="10"/>
      <c r="B16" s="26" t="s">
        <v>108</v>
      </c>
      <c r="C16" s="26"/>
      <c r="D16" s="21">
        <f>D12-D14</f>
        <v>0</v>
      </c>
      <c r="E16" s="13"/>
      <c r="F16" s="22">
        <f>IF(D$12=0,0,D16/D$12)</f>
        <v>0</v>
      </c>
      <c r="G16" s="13"/>
      <c r="H16" s="21">
        <f>H12-H14</f>
        <v>0</v>
      </c>
      <c r="I16" s="13"/>
      <c r="J16" s="22">
        <f>IF(H$12=0,0,H16/H$12)</f>
        <v>0</v>
      </c>
      <c r="K16" s="16"/>
      <c r="L16" s="21">
        <f>+D16-H16</f>
        <v>0</v>
      </c>
      <c r="M16" s="16"/>
      <c r="N16" s="22">
        <f>IF(H16=0,0,L16/H16)</f>
        <v>0</v>
      </c>
      <c r="O16" s="25"/>
      <c r="P16" s="21">
        <f>P12-P14</f>
        <v>0</v>
      </c>
      <c r="Q16" s="13"/>
      <c r="R16" s="22">
        <f>IF(P$12=0,0,P16/P$12)</f>
        <v>0</v>
      </c>
      <c r="S16" s="13"/>
      <c r="T16" s="21">
        <f>T12-T14</f>
        <v>0</v>
      </c>
      <c r="U16" s="13"/>
      <c r="V16" s="22">
        <f>IF(T$12=0,0,T16/T$12)</f>
        <v>0</v>
      </c>
      <c r="W16" s="16"/>
      <c r="X16" s="21">
        <f>+P16-T16</f>
        <v>0</v>
      </c>
      <c r="Y16" s="16"/>
      <c r="Z16" s="22">
        <f>IF(T16=0,0,X16/T16)</f>
        <v>0</v>
      </c>
    </row>
    <row r="17" spans="1:26" x14ac:dyDescent="0.3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3">
      <c r="A18" s="10"/>
      <c r="B18" s="25" t="s">
        <v>295</v>
      </c>
      <c r="C18" s="10"/>
      <c r="D18" s="20">
        <f>SUM(OSRRefD22x_0)</f>
        <v>58.03</v>
      </c>
      <c r="E18" s="20"/>
      <c r="F18" s="32">
        <f t="shared" ref="F18:F22" si="0">IF(D$12=0,0,D18/D$12)</f>
        <v>0</v>
      </c>
      <c r="G18" s="20"/>
      <c r="H18" s="20">
        <f>SUM(OSRRefH22x_0)</f>
        <v>58</v>
      </c>
      <c r="I18" s="20"/>
      <c r="J18" s="32">
        <f t="shared" ref="J18:J22" si="1">IF(H$12=0,0,H18/H$12)</f>
        <v>0</v>
      </c>
      <c r="K18" s="4"/>
      <c r="L18" s="20">
        <f t="shared" ref="L18:L22" si="2">+D18-H18</f>
        <v>3.0000000000001137E-2</v>
      </c>
      <c r="M18" s="4"/>
      <c r="N18" s="32">
        <f t="shared" ref="N18:N22" si="3">IF(H18=0,0,L18/H18)</f>
        <v>5.1724137931036447E-4</v>
      </c>
      <c r="O18" s="10"/>
      <c r="P18" s="20">
        <f>SUM(OSRRefP22x_0)</f>
        <v>58.03</v>
      </c>
      <c r="Q18" s="20"/>
      <c r="R18" s="32">
        <f t="shared" ref="R18:R22" si="4">IF(P$12=0,0,P18/P$12)</f>
        <v>0</v>
      </c>
      <c r="S18" s="20"/>
      <c r="T18" s="20">
        <f>SUM(OSRRefT22x_0)</f>
        <v>58</v>
      </c>
      <c r="U18" s="20"/>
      <c r="V18" s="32">
        <f t="shared" ref="V18:V22" si="5">IF(T$12=0,0,T18/T$12)</f>
        <v>0</v>
      </c>
      <c r="W18" s="4"/>
      <c r="X18" s="20">
        <f t="shared" ref="X18:X22" si="6">+P18-T18</f>
        <v>3.0000000000001137E-2</v>
      </c>
      <c r="Y18" s="4"/>
      <c r="Z18" s="32">
        <f t="shared" ref="Z18:Z22" si="7">IF(T18=0,0,X18/T18)</f>
        <v>5.1724137931036447E-4</v>
      </c>
    </row>
    <row r="19" spans="1:26" s="27" customFormat="1" outlineLevel="1" collapsed="1" x14ac:dyDescent="0.3">
      <c r="A19" s="28"/>
      <c r="B19" s="14" t="str">
        <f>CONCATENATE("     ","Depreciation                                      ")</f>
        <v xml:space="preserve">     Depreciation                                      </v>
      </c>
      <c r="C19" s="14"/>
      <c r="D19" s="1">
        <f>SUM(OSRRefD22_0x_0)</f>
        <v>58.03</v>
      </c>
      <c r="E19" s="1"/>
      <c r="F19" s="5">
        <f t="shared" si="0"/>
        <v>0</v>
      </c>
      <c r="G19" s="1"/>
      <c r="H19" s="1">
        <f>SUM(OSRRefH22_0x_0)</f>
        <v>58</v>
      </c>
      <c r="I19" s="1"/>
      <c r="J19" s="5">
        <f t="shared" si="1"/>
        <v>0</v>
      </c>
      <c r="K19" s="1"/>
      <c r="L19" s="1">
        <f t="shared" si="2"/>
        <v>3.0000000000001137E-2</v>
      </c>
      <c r="M19" s="1"/>
      <c r="N19" s="5">
        <f t="shared" si="3"/>
        <v>5.1724137931036447E-4</v>
      </c>
      <c r="O19" s="14"/>
      <c r="P19" s="1">
        <f>SUM(OSRRefP22_0x_0)</f>
        <v>58.03</v>
      </c>
      <c r="Q19" s="1"/>
      <c r="R19" s="5">
        <f t="shared" si="4"/>
        <v>0</v>
      </c>
      <c r="S19" s="1"/>
      <c r="T19" s="1">
        <f>SUM(OSRRefT22_0x_0)</f>
        <v>58</v>
      </c>
      <c r="U19" s="1"/>
      <c r="V19" s="5">
        <f t="shared" si="5"/>
        <v>0</v>
      </c>
      <c r="W19" s="1"/>
      <c r="X19" s="1">
        <f t="shared" si="6"/>
        <v>3.0000000000001137E-2</v>
      </c>
      <c r="Y19" s="1"/>
      <c r="Z19" s="5">
        <f t="shared" si="7"/>
        <v>5.1724137931036447E-4</v>
      </c>
    </row>
    <row r="20" spans="1:26" s="24" customFormat="1" hidden="1" outlineLevel="2" x14ac:dyDescent="0.3">
      <c r="A20" s="29"/>
      <c r="B20" s="11" t="str">
        <f>CONCATENATE("          ", "6322", " - ", "EQUIPMENT DEPRECIATION EXPENSE")</f>
        <v xml:space="preserve">          6322 - EQUIPMENT DEPRECIATION EXPENSE</v>
      </c>
      <c r="C20" s="11"/>
      <c r="D20" s="8">
        <v>58.03</v>
      </c>
      <c r="E20" s="3"/>
      <c r="F20" s="7">
        <f t="shared" si="0"/>
        <v>0</v>
      </c>
      <c r="G20" s="3"/>
      <c r="H20" s="8">
        <v>58</v>
      </c>
      <c r="I20" s="3"/>
      <c r="J20" s="7">
        <f t="shared" si="1"/>
        <v>0</v>
      </c>
      <c r="K20" s="3"/>
      <c r="L20" s="8">
        <f t="shared" si="2"/>
        <v>3.0000000000001137E-2</v>
      </c>
      <c r="M20" s="3"/>
      <c r="N20" s="7">
        <f t="shared" si="3"/>
        <v>5.1724137931036447E-4</v>
      </c>
      <c r="O20" s="11"/>
      <c r="P20" s="8">
        <v>58.03</v>
      </c>
      <c r="Q20" s="3"/>
      <c r="R20" s="7">
        <f t="shared" si="4"/>
        <v>0</v>
      </c>
      <c r="S20" s="3"/>
      <c r="T20" s="8">
        <v>58</v>
      </c>
      <c r="U20" s="3"/>
      <c r="V20" s="7">
        <f t="shared" si="5"/>
        <v>0</v>
      </c>
      <c r="W20" s="3"/>
      <c r="X20" s="8">
        <f t="shared" si="6"/>
        <v>3.0000000000001137E-2</v>
      </c>
      <c r="Y20" s="3"/>
      <c r="Z20" s="7">
        <f t="shared" si="7"/>
        <v>5.1724137931036447E-4</v>
      </c>
    </row>
    <row r="21" spans="1:26" s="27" customFormat="1" outlineLevel="1" collapsed="1" x14ac:dyDescent="0.3">
      <c r="A21" s="28"/>
      <c r="B21" s="14" t="str">
        <f>CONCATENATE("     ","Services                                          ")</f>
        <v xml:space="preserve">     Services                                          </v>
      </c>
      <c r="C21" s="14"/>
      <c r="D21" s="1">
        <f>SUM(OSRRefD22_1x_0)</f>
        <v>0</v>
      </c>
      <c r="E21" s="1"/>
      <c r="F21" s="5">
        <f t="shared" si="0"/>
        <v>0</v>
      </c>
      <c r="G21" s="1"/>
      <c r="H21" s="1">
        <f>SUM(OSRRefH22_1x_0)</f>
        <v>0</v>
      </c>
      <c r="I21" s="1"/>
      <c r="J21" s="5">
        <f t="shared" si="1"/>
        <v>0</v>
      </c>
      <c r="K21" s="1"/>
      <c r="L21" s="1">
        <f t="shared" si="2"/>
        <v>0</v>
      </c>
      <c r="M21" s="1"/>
      <c r="N21" s="5">
        <f t="shared" si="3"/>
        <v>0</v>
      </c>
      <c r="O21" s="14"/>
      <c r="P21" s="1">
        <f>SUM(OSRRefP22_1x_0)</f>
        <v>0</v>
      </c>
      <c r="Q21" s="1"/>
      <c r="R21" s="5">
        <f t="shared" si="4"/>
        <v>0</v>
      </c>
      <c r="S21" s="1"/>
      <c r="T21" s="1">
        <f>SUM(OSRRefT22_1x_0)</f>
        <v>0</v>
      </c>
      <c r="U21" s="1"/>
      <c r="V21" s="5">
        <f t="shared" si="5"/>
        <v>0</v>
      </c>
      <c r="W21" s="1"/>
      <c r="X21" s="1">
        <f t="shared" si="6"/>
        <v>0</v>
      </c>
      <c r="Y21" s="1"/>
      <c r="Z21" s="5">
        <f t="shared" si="7"/>
        <v>0</v>
      </c>
    </row>
    <row r="22" spans="1:26" s="24" customFormat="1" hidden="1" outlineLevel="2" x14ac:dyDescent="0.3">
      <c r="A22" s="29"/>
      <c r="B22" s="11" t="str">
        <f>CONCATENATE("          ", "6284", " - ", "TRASH REMOVAL EXPENSE")</f>
        <v xml:space="preserve">          6284 - TRASH REMOVAL EXPENSE</v>
      </c>
      <c r="C22" s="11"/>
      <c r="D22" s="8"/>
      <c r="E22" s="3"/>
      <c r="F22" s="7">
        <f t="shared" si="0"/>
        <v>0</v>
      </c>
      <c r="G22" s="3"/>
      <c r="H22" s="8">
        <v>0</v>
      </c>
      <c r="I22" s="3"/>
      <c r="J22" s="7">
        <f t="shared" si="1"/>
        <v>0</v>
      </c>
      <c r="K22" s="3"/>
      <c r="L22" s="8">
        <f t="shared" si="2"/>
        <v>0</v>
      </c>
      <c r="M22" s="3"/>
      <c r="N22" s="7">
        <f t="shared" si="3"/>
        <v>0</v>
      </c>
      <c r="O22" s="11"/>
      <c r="P22" s="8"/>
      <c r="Q22" s="3"/>
      <c r="R22" s="7">
        <f t="shared" si="4"/>
        <v>0</v>
      </c>
      <c r="S22" s="3"/>
      <c r="T22" s="8">
        <v>0</v>
      </c>
      <c r="U22" s="3"/>
      <c r="V22" s="7">
        <f t="shared" si="5"/>
        <v>0</v>
      </c>
      <c r="W22" s="3"/>
      <c r="X22" s="8">
        <f t="shared" si="6"/>
        <v>0</v>
      </c>
      <c r="Y22" s="3"/>
      <c r="Z22" s="7">
        <f t="shared" si="7"/>
        <v>0</v>
      </c>
    </row>
    <row r="23" spans="1:26" s="62" customFormat="1" x14ac:dyDescent="0.3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x14ac:dyDescent="0.3">
      <c r="A24" s="10"/>
      <c r="B24" s="25" t="s">
        <v>293</v>
      </c>
      <c r="C24" s="10"/>
      <c r="D24" s="4">
        <f>SUM(0)</f>
        <v>0</v>
      </c>
      <c r="E24" s="4"/>
      <c r="F24" s="12">
        <f>IF(D$12=0,0,D24/D$12)</f>
        <v>0</v>
      </c>
      <c r="G24" s="4"/>
      <c r="H24" s="4">
        <f>SUM(0)</f>
        <v>0</v>
      </c>
      <c r="I24" s="4"/>
      <c r="J24" s="12">
        <f>IF(H$12=0,0,H24/H$12)</f>
        <v>0</v>
      </c>
      <c r="K24" s="4"/>
      <c r="L24" s="4">
        <f>+D24-H24</f>
        <v>0</v>
      </c>
      <c r="M24" s="4"/>
      <c r="N24" s="12">
        <f>IF(H24=0,0,L24/H24)</f>
        <v>0</v>
      </c>
      <c r="O24" s="10"/>
      <c r="P24" s="4">
        <f>SUM(0)</f>
        <v>0</v>
      </c>
      <c r="Q24" s="4"/>
      <c r="R24" s="12">
        <f>IF(P$12=0,0,P24/P$12)</f>
        <v>0</v>
      </c>
      <c r="S24" s="4"/>
      <c r="T24" s="4">
        <f>SUM(0)</f>
        <v>0</v>
      </c>
      <c r="U24" s="4"/>
      <c r="V24" s="12">
        <f>IF(T$12=0,0,T24/T$12)</f>
        <v>0</v>
      </c>
      <c r="W24" s="4"/>
      <c r="X24" s="4">
        <f>+P24-T24</f>
        <v>0</v>
      </c>
      <c r="Y24" s="4"/>
      <c r="Z24" s="12">
        <f>IF(T24=0,0,X24/T24)</f>
        <v>0</v>
      </c>
    </row>
    <row r="25" spans="1:26" x14ac:dyDescent="0.3">
      <c r="A25" s="9"/>
      <c r="B25" s="10"/>
      <c r="C25" s="10"/>
      <c r="D25" s="2"/>
      <c r="E25" s="2"/>
      <c r="F25" s="6"/>
      <c r="G25" s="2"/>
      <c r="H25" s="2"/>
      <c r="I25" s="2"/>
      <c r="J25" s="6"/>
      <c r="K25" s="2"/>
      <c r="L25" s="2"/>
      <c r="M25" s="2"/>
      <c r="N25" s="6"/>
      <c r="O25" s="10"/>
      <c r="P25" s="2"/>
      <c r="Q25" s="2"/>
      <c r="R25" s="6"/>
      <c r="S25" s="2"/>
      <c r="T25" s="2"/>
      <c r="U25" s="2"/>
      <c r="V25" s="6"/>
      <c r="W25" s="2"/>
      <c r="X25" s="2"/>
      <c r="Y25" s="2"/>
      <c r="Z25" s="6"/>
    </row>
    <row r="26" spans="1:26" s="23" customFormat="1" x14ac:dyDescent="0.3">
      <c r="A26" s="10"/>
      <c r="B26" s="26" t="s">
        <v>277</v>
      </c>
      <c r="C26" s="26"/>
      <c r="D26" s="21">
        <f>+D16-D18+D24</f>
        <v>-58.03</v>
      </c>
      <c r="E26" s="13"/>
      <c r="F26" s="22">
        <f>IF(D$12=0,0,D26/D$12)</f>
        <v>0</v>
      </c>
      <c r="G26" s="13"/>
      <c r="H26" s="21">
        <f>+H16-H18+H24</f>
        <v>-58</v>
      </c>
      <c r="I26" s="13"/>
      <c r="J26" s="22">
        <f>IF(H$12=0,0,H26/H$12)</f>
        <v>0</v>
      </c>
      <c r="K26" s="16"/>
      <c r="L26" s="21">
        <f>+D26-H26</f>
        <v>-3.0000000000001137E-2</v>
      </c>
      <c r="M26" s="16"/>
      <c r="N26" s="22">
        <f>IF(H26=0,0,L26/H26)</f>
        <v>5.1724137931036447E-4</v>
      </c>
      <c r="O26" s="25"/>
      <c r="P26" s="21">
        <f>+P16-P18+P24</f>
        <v>-58.03</v>
      </c>
      <c r="Q26" s="13"/>
      <c r="R26" s="22">
        <f>IF(P$12=0,0,P26/P$12)</f>
        <v>0</v>
      </c>
      <c r="S26" s="13"/>
      <c r="T26" s="21">
        <f>+T16-T18+T24</f>
        <v>-58</v>
      </c>
      <c r="U26" s="13"/>
      <c r="V26" s="22">
        <f>IF(T$12=0,0,T26/T$12)</f>
        <v>0</v>
      </c>
      <c r="W26" s="16"/>
      <c r="X26" s="21">
        <f>+P26-T26</f>
        <v>-3.0000000000001137E-2</v>
      </c>
      <c r="Y26" s="16"/>
      <c r="Z26" s="22">
        <f>IF(T26=0,0,X26/T26)</f>
        <v>5.1724137931036447E-4</v>
      </c>
    </row>
    <row r="27" spans="1:26" x14ac:dyDescent="0.3">
      <c r="A27" s="9"/>
      <c r="B27" s="10"/>
      <c r="C27" s="9"/>
      <c r="D27" s="2"/>
      <c r="E27" s="2"/>
      <c r="F27" s="6"/>
      <c r="G27" s="2"/>
      <c r="H27" s="2"/>
      <c r="I27" s="2"/>
      <c r="J27" s="6"/>
      <c r="K27" s="2"/>
      <c r="L27" s="2"/>
      <c r="M27" s="2"/>
      <c r="N27" s="6"/>
      <c r="P27" s="2"/>
      <c r="Q27" s="2"/>
      <c r="R27" s="6"/>
      <c r="S27" s="2"/>
      <c r="T27" s="2"/>
      <c r="U27" s="2"/>
      <c r="V27" s="6"/>
      <c r="W27" s="2"/>
      <c r="X27" s="2"/>
      <c r="Y27" s="2"/>
      <c r="Z27" s="6"/>
    </row>
    <row r="28" spans="1:26" s="23" customFormat="1" x14ac:dyDescent="0.3">
      <c r="A28" s="52"/>
      <c r="B28" s="10" t="s">
        <v>128</v>
      </c>
      <c r="C28" s="10"/>
      <c r="D28" s="4"/>
      <c r="E28" s="4"/>
      <c r="F28" s="12">
        <f>IF(D$12=0,0,D28/D$12)</f>
        <v>0</v>
      </c>
      <c r="G28" s="4"/>
      <c r="H28" s="4"/>
      <c r="I28" s="4"/>
      <c r="J28" s="12">
        <f>IF(H$12=0,0,H28/H$12)</f>
        <v>0</v>
      </c>
      <c r="K28" s="4"/>
      <c r="L28" s="4">
        <f>+D28-H28</f>
        <v>0</v>
      </c>
      <c r="M28" s="4"/>
      <c r="N28" s="12">
        <f>IF(H28=0,0,L28/H28)</f>
        <v>0</v>
      </c>
      <c r="O28" s="10"/>
      <c r="P28" s="4"/>
      <c r="Q28" s="4"/>
      <c r="R28" s="12">
        <f>IF(P$12=0,0,P28/P$12)</f>
        <v>0</v>
      </c>
      <c r="S28" s="4"/>
      <c r="T28" s="4"/>
      <c r="U28" s="4"/>
      <c r="V28" s="12">
        <f>IF(T$12=0,0,T28/T$12)</f>
        <v>0</v>
      </c>
      <c r="W28" s="4"/>
      <c r="X28" s="4">
        <f>+P28-T28</f>
        <v>0</v>
      </c>
      <c r="Y28" s="4"/>
      <c r="Z28" s="12">
        <f>IF(T28=0,0,X28/T28)</f>
        <v>0</v>
      </c>
    </row>
    <row r="29" spans="1:26" x14ac:dyDescent="0.3">
      <c r="A29" s="9"/>
      <c r="B29" s="10"/>
      <c r="C29" s="10"/>
      <c r="D29" s="2"/>
      <c r="E29" s="2"/>
      <c r="F29" s="6"/>
      <c r="G29" s="2"/>
      <c r="H29" s="2"/>
      <c r="I29" s="2"/>
      <c r="J29" s="6"/>
      <c r="K29" s="2"/>
      <c r="L29" s="2"/>
      <c r="M29" s="2"/>
      <c r="N29" s="6"/>
      <c r="O29" s="10"/>
      <c r="P29" s="2"/>
      <c r="Q29" s="2"/>
      <c r="R29" s="6"/>
      <c r="S29" s="2"/>
      <c r="T29" s="2"/>
      <c r="U29" s="2"/>
      <c r="V29" s="6"/>
      <c r="W29" s="2"/>
      <c r="X29" s="2"/>
      <c r="Y29" s="2"/>
      <c r="Z29" s="6"/>
    </row>
    <row r="30" spans="1:26" s="23" customFormat="1" ht="15" thickBot="1" x14ac:dyDescent="0.35">
      <c r="A30" s="10"/>
      <c r="B30" s="26" t="s">
        <v>126</v>
      </c>
      <c r="C30" s="26"/>
      <c r="D30" s="35">
        <f>+D26-D28</f>
        <v>-58.03</v>
      </c>
      <c r="E30" s="13"/>
      <c r="F30" s="30">
        <f>IF(D$12=0,0,D30/D$12)</f>
        <v>0</v>
      </c>
      <c r="G30" s="13"/>
      <c r="H30" s="35">
        <f>+H26-H28</f>
        <v>-58</v>
      </c>
      <c r="I30" s="13"/>
      <c r="J30" s="30">
        <f>IF(H$12=0,0,H30/H$12)</f>
        <v>0</v>
      </c>
      <c r="K30" s="16"/>
      <c r="L30" s="35">
        <f>D30-H30</f>
        <v>-3.0000000000001137E-2</v>
      </c>
      <c r="M30" s="16"/>
      <c r="N30" s="30">
        <f>IF(H30=0,0,L30/H30)</f>
        <v>5.1724137931036447E-4</v>
      </c>
      <c r="O30" s="25"/>
      <c r="P30" s="35">
        <f>+P26-P28</f>
        <v>-58.03</v>
      </c>
      <c r="Q30" s="13"/>
      <c r="R30" s="30">
        <f>IF(P$12=0,0,P30/P$12)</f>
        <v>0</v>
      </c>
      <c r="S30" s="13"/>
      <c r="T30" s="35">
        <f>+T26-T28</f>
        <v>-58</v>
      </c>
      <c r="U30" s="13"/>
      <c r="V30" s="30">
        <f>IF(T$12=0,0,T30/T$12)</f>
        <v>0</v>
      </c>
      <c r="W30" s="16"/>
      <c r="X30" s="35">
        <f>P30-T30</f>
        <v>-3.0000000000001137E-2</v>
      </c>
      <c r="Y30" s="16"/>
      <c r="Z30" s="30">
        <f>IF(T30=0,0,X30/T30)</f>
        <v>5.1724137931036447E-4</v>
      </c>
    </row>
    <row r="31" spans="1:26" ht="15" thickTop="1" x14ac:dyDescent="0.3">
      <c r="A31" s="9"/>
      <c r="B31" s="9"/>
      <c r="C31" s="9"/>
      <c r="D31" s="2"/>
      <c r="E31" s="2"/>
      <c r="F31" s="6"/>
      <c r="G31" s="2"/>
      <c r="H31" s="2"/>
      <c r="I31" s="2"/>
      <c r="J31" s="6"/>
      <c r="K31" s="2"/>
      <c r="L31" s="2"/>
      <c r="M31" s="2"/>
      <c r="N31" s="6"/>
      <c r="P31" s="2"/>
      <c r="Q31" s="2"/>
      <c r="R31" s="6"/>
      <c r="S31" s="2"/>
      <c r="T31" s="2"/>
      <c r="U31" s="2"/>
      <c r="V31" s="6"/>
      <c r="W31" s="2"/>
      <c r="X31" s="2"/>
      <c r="Y31" s="2"/>
      <c r="Z31" s="6"/>
    </row>
    <row r="32" spans="1:26" x14ac:dyDescent="0.3">
      <c r="A32" s="9"/>
      <c r="B32" s="9"/>
      <c r="C32" s="9"/>
      <c r="D32" s="2"/>
      <c r="E32" s="2"/>
      <c r="F32" s="6"/>
      <c r="G32" s="2"/>
      <c r="H32" s="2"/>
      <c r="I32" s="2"/>
      <c r="J32" s="6"/>
      <c r="K32" s="2"/>
      <c r="L32" s="2"/>
      <c r="M32" s="2"/>
      <c r="N32" s="6"/>
      <c r="P32" s="2"/>
      <c r="Q32" s="2"/>
      <c r="R32" s="6"/>
      <c r="S32" s="2"/>
      <c r="T32" s="2"/>
      <c r="U32" s="2"/>
      <c r="V32" s="6"/>
      <c r="W32" s="2"/>
      <c r="X32" s="2"/>
      <c r="Y32" s="2"/>
      <c r="Z32" s="6"/>
    </row>
    <row r="33" spans="1:26" s="23" customFormat="1" ht="15" thickBot="1" x14ac:dyDescent="0.35">
      <c r="A33" s="10"/>
      <c r="B33" s="26" t="s">
        <v>294</v>
      </c>
      <c r="C33" s="26"/>
      <c r="D33" s="33">
        <f>SUM(D30:D32)</f>
        <v>-58.03</v>
      </c>
      <c r="E33" s="13"/>
      <c r="F33" s="31">
        <f>IF(D$12=0,0,D33/D$12)</f>
        <v>0</v>
      </c>
      <c r="G33" s="13"/>
      <c r="H33" s="33">
        <f>SUM(H30:H32)</f>
        <v>-58</v>
      </c>
      <c r="I33" s="13"/>
      <c r="J33" s="31">
        <f>IF(H$12=0,0,H33/H$12)</f>
        <v>0</v>
      </c>
      <c r="K33" s="16"/>
      <c r="L33" s="33">
        <f>+D33-H33</f>
        <v>-3.0000000000001137E-2</v>
      </c>
      <c r="M33" s="16"/>
      <c r="N33" s="31">
        <f>IF(H33=0,0,L33/H33)</f>
        <v>5.1724137931036447E-4</v>
      </c>
      <c r="O33" s="25"/>
      <c r="P33" s="33">
        <f>SUM(P30:P32)</f>
        <v>-58.03</v>
      </c>
      <c r="Q33" s="13"/>
      <c r="R33" s="31">
        <f>IF(P$12=0,0,P33/P$12)</f>
        <v>0</v>
      </c>
      <c r="S33" s="13"/>
      <c r="T33" s="33">
        <f>SUM(T30:T32)</f>
        <v>-58</v>
      </c>
      <c r="U33" s="13"/>
      <c r="V33" s="31">
        <f>IF(T$12=0,0,T33/T$12)</f>
        <v>0</v>
      </c>
      <c r="W33" s="16"/>
      <c r="X33" s="33">
        <f>+P33-T33</f>
        <v>-3.0000000000001137E-2</v>
      </c>
      <c r="Y33" s="16"/>
      <c r="Z33" s="31">
        <f>IF(T33=0,0,X33/T33)</f>
        <v>5.1724137931036447E-4</v>
      </c>
    </row>
    <row r="34" spans="1:26" ht="15" thickTop="1" x14ac:dyDescent="0.3">
      <c r="A34" s="9"/>
      <c r="C34" s="9"/>
      <c r="D34" s="18"/>
      <c r="E34" s="18"/>
      <c r="G34" s="18"/>
      <c r="H34" s="18"/>
      <c r="I34" s="18"/>
      <c r="J34" s="43"/>
      <c r="K34" s="18"/>
      <c r="L34" s="18"/>
      <c r="M34" s="18"/>
      <c r="P34" s="18"/>
      <c r="Q34" s="18"/>
      <c r="R34" s="43"/>
      <c r="S34" s="18"/>
      <c r="T34" s="18"/>
      <c r="U34" s="18"/>
      <c r="V34" s="43"/>
      <c r="W34" s="18"/>
      <c r="X34" s="18"/>
    </row>
    <row r="35" spans="1:26" x14ac:dyDescent="0.3">
      <c r="A35" s="9"/>
      <c r="B35" s="54">
        <v>44462.64548684028</v>
      </c>
      <c r="D35" s="18"/>
      <c r="E35" s="18"/>
      <c r="G35" s="18"/>
      <c r="H35" s="18"/>
      <c r="I35" s="18"/>
      <c r="J35" s="43"/>
      <c r="K35" s="18"/>
      <c r="L35" s="18"/>
      <c r="M35" s="18"/>
      <c r="P35" s="18"/>
      <c r="Q35" s="18"/>
      <c r="R35" s="43"/>
      <c r="S35" s="18"/>
      <c r="T35" s="18"/>
      <c r="U35" s="18"/>
      <c r="V35" s="43"/>
      <c r="W35" s="18"/>
      <c r="X35" s="18"/>
    </row>
    <row r="36" spans="1:26" x14ac:dyDescent="0.3">
      <c r="A36" s="9"/>
      <c r="B36" s="59" t="s">
        <v>56</v>
      </c>
      <c r="D36" s="18"/>
      <c r="E36" s="18"/>
      <c r="G36" s="18"/>
      <c r="H36" s="18"/>
      <c r="I36" s="18"/>
      <c r="J36" s="43"/>
      <c r="K36" s="18"/>
      <c r="L36" s="18"/>
      <c r="M36" s="18"/>
      <c r="P36" s="18"/>
      <c r="Q36" s="18"/>
      <c r="R36" s="43"/>
      <c r="S36" s="18"/>
      <c r="T36" s="18"/>
      <c r="U36" s="18"/>
      <c r="V36" s="43"/>
      <c r="W36" s="18"/>
      <c r="X36" s="18"/>
    </row>
    <row r="37" spans="1:26" x14ac:dyDescent="0.3">
      <c r="A37" s="9"/>
      <c r="B37" s="55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3"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</sheetData>
  <pageMargins left="0.25" right="0.25" top="0.75" bottom="0.75" header="0.3" footer="0.3"/>
  <pageSetup scale="55" fitToWidth="2" orientation="landscape"/>
  <drawing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>
    <tabColor rgb="FF92D050"/>
    <outlinePr summaryBelow="0" summaryRight="0"/>
  </sheetPr>
  <dimension ref="A2:Z102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50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7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50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7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7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7" customWidth="1" outlineLevel="1"/>
  </cols>
  <sheetData>
    <row r="2" spans="1:26" x14ac:dyDescent="0.3">
      <c r="D2" s="57" t="s">
        <v>23</v>
      </c>
    </row>
    <row r="3" spans="1:26" x14ac:dyDescent="0.3">
      <c r="D3" s="57" t="s">
        <v>237</v>
      </c>
      <c r="E3" s="17"/>
      <c r="F3" s="51"/>
      <c r="G3" s="17"/>
      <c r="H3" s="17"/>
      <c r="I3" s="17"/>
      <c r="J3" s="39"/>
      <c r="K3" s="17"/>
      <c r="L3" s="17"/>
      <c r="M3" s="17"/>
      <c r="N3" s="51"/>
      <c r="O3" s="61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3">
      <c r="D4" s="57" t="str">
        <f>CONCATENATE("Period ",RIGHT(202201,2),", ",2022)</f>
        <v>Period 01, 2022</v>
      </c>
      <c r="E4" s="17"/>
      <c r="F4" s="51"/>
      <c r="G4" s="17"/>
      <c r="H4" s="17"/>
      <c r="I4" s="17"/>
      <c r="J4" s="39"/>
      <c r="K4" s="17"/>
      <c r="L4" s="17"/>
      <c r="M4" s="17"/>
      <c r="N4" s="51"/>
      <c r="O4" s="61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3">
      <c r="A5" s="23"/>
      <c r="D5" s="64">
        <v>44408</v>
      </c>
      <c r="E5" s="17"/>
      <c r="F5" s="51"/>
      <c r="G5" s="17"/>
      <c r="H5" s="17"/>
      <c r="I5" s="17"/>
      <c r="J5" s="39"/>
      <c r="K5" s="17"/>
      <c r="L5" s="17"/>
      <c r="M5" s="17"/>
      <c r="N5" s="51"/>
      <c r="O5" s="61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3">
      <c r="A6" s="23"/>
      <c r="B6" s="47"/>
      <c r="C6" s="47"/>
      <c r="D6" s="23" t="str">
        <f>CONCATENATE("Department ","415", " - ", "Outpost")</f>
        <v>Department 415 - Outpost</v>
      </c>
      <c r="E6" s="17"/>
      <c r="F6" s="51"/>
      <c r="G6" s="17"/>
      <c r="H6" s="17"/>
      <c r="I6" s="17"/>
      <c r="J6" s="39"/>
      <c r="K6" s="17"/>
      <c r="L6" s="17"/>
      <c r="M6" s="17"/>
      <c r="N6" s="51"/>
      <c r="O6" s="60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3">
      <c r="B7" s="63"/>
    </row>
    <row r="8" spans="1:26" x14ac:dyDescent="0.3">
      <c r="B8" s="63"/>
    </row>
    <row r="9" spans="1:26" x14ac:dyDescent="0.3">
      <c r="B9" s="9"/>
      <c r="C9" s="9"/>
      <c r="D9" s="15" t="s">
        <v>292</v>
      </c>
      <c r="E9" s="15"/>
      <c r="F9" s="38"/>
      <c r="G9" s="15"/>
      <c r="H9" s="15"/>
      <c r="I9" s="15"/>
      <c r="J9" s="49"/>
      <c r="K9" s="15"/>
      <c r="L9" s="15"/>
      <c r="M9" s="15"/>
      <c r="N9" s="38"/>
      <c r="P9" s="15" t="s">
        <v>39</v>
      </c>
      <c r="Q9" s="15"/>
      <c r="R9" s="38"/>
      <c r="S9" s="15"/>
      <c r="T9" s="15"/>
      <c r="U9" s="15"/>
      <c r="V9" s="49"/>
      <c r="W9" s="15"/>
      <c r="X9" s="15"/>
      <c r="Y9" s="15"/>
      <c r="Z9" s="38"/>
    </row>
    <row r="10" spans="1:26" x14ac:dyDescent="0.3">
      <c r="A10" s="10"/>
      <c r="B10" s="53"/>
      <c r="C10" s="10"/>
      <c r="D10" s="42" t="s">
        <v>57</v>
      </c>
      <c r="E10" s="34"/>
      <c r="F10" s="40" t="s">
        <v>40</v>
      </c>
      <c r="G10" s="34"/>
      <c r="H10" s="45" t="s">
        <v>238</v>
      </c>
      <c r="I10" s="34"/>
      <c r="J10" s="48" t="s">
        <v>58</v>
      </c>
      <c r="K10" s="10"/>
      <c r="L10" s="42" t="s">
        <v>127</v>
      </c>
      <c r="M10" s="10"/>
      <c r="N10" s="40" t="s">
        <v>258</v>
      </c>
      <c r="O10" s="10"/>
      <c r="P10" s="56" t="s">
        <v>57</v>
      </c>
      <c r="Q10" s="34"/>
      <c r="R10" s="40" t="s">
        <v>40</v>
      </c>
      <c r="S10" s="34"/>
      <c r="T10" s="45" t="s">
        <v>238</v>
      </c>
      <c r="U10" s="34"/>
      <c r="V10" s="48" t="s">
        <v>58</v>
      </c>
      <c r="W10" s="10"/>
      <c r="X10" s="42" t="s">
        <v>127</v>
      </c>
      <c r="Y10" s="10"/>
      <c r="Z10" s="40" t="s">
        <v>258</v>
      </c>
    </row>
    <row r="11" spans="1:26" ht="15.6" x14ac:dyDescent="0.3">
      <c r="A11" s="9"/>
      <c r="B11" s="58"/>
      <c r="C11" s="9"/>
      <c r="D11" s="9"/>
      <c r="E11" s="9"/>
      <c r="F11" s="6"/>
      <c r="G11" s="9"/>
      <c r="H11" s="9"/>
      <c r="I11" s="9"/>
      <c r="J11" s="46"/>
      <c r="K11" s="9"/>
      <c r="L11" s="9"/>
      <c r="M11" s="9"/>
      <c r="N11" s="6"/>
      <c r="P11" s="9"/>
      <c r="Q11" s="9"/>
      <c r="R11" s="6"/>
      <c r="S11" s="9"/>
      <c r="T11" s="9"/>
      <c r="U11" s="9"/>
      <c r="V11" s="46"/>
      <c r="W11" s="9"/>
      <c r="X11" s="9"/>
      <c r="Y11" s="9"/>
      <c r="Z11" s="6"/>
    </row>
    <row r="12" spans="1:26" s="23" customFormat="1" collapsed="1" x14ac:dyDescent="0.3">
      <c r="A12" s="10"/>
      <c r="B12" s="25" t="s">
        <v>140</v>
      </c>
      <c r="C12" s="10"/>
      <c r="D12" s="4">
        <f>SUM(OSRRefD13x_0)</f>
        <v>19702.309999999998</v>
      </c>
      <c r="E12" s="4"/>
      <c r="F12" s="12"/>
      <c r="G12" s="4"/>
      <c r="H12" s="4">
        <f>SUM(OSRRefH13x_0)</f>
        <v>6051</v>
      </c>
      <c r="I12" s="4"/>
      <c r="J12" s="12"/>
      <c r="K12" s="4"/>
      <c r="L12" s="4">
        <f t="shared" ref="L12:L16" si="0">+D12-H12</f>
        <v>13651.309999999998</v>
      </c>
      <c r="M12" s="4"/>
      <c r="N12" s="12">
        <f t="shared" ref="N12:N16" si="1">IF(H12=0,0,L12/H12)</f>
        <v>2.2560419765328041</v>
      </c>
      <c r="O12" s="10"/>
      <c r="P12" s="4">
        <f>SUM(OSRRefP13x_0)</f>
        <v>19702.309999999998</v>
      </c>
      <c r="Q12" s="4"/>
      <c r="R12" s="12"/>
      <c r="S12" s="4"/>
      <c r="T12" s="4">
        <f>SUM(OSRRefT13x_0)</f>
        <v>6051</v>
      </c>
      <c r="U12" s="4"/>
      <c r="V12" s="12"/>
      <c r="W12" s="4"/>
      <c r="X12" s="4">
        <f t="shared" ref="X12:X16" si="2">+P12-T12</f>
        <v>13651.309999999998</v>
      </c>
      <c r="Y12" s="4"/>
      <c r="Z12" s="12">
        <f t="shared" ref="Z12:Z16" si="3">IF(T12=0,0,X12/T12)</f>
        <v>2.2560419765328041</v>
      </c>
    </row>
    <row r="13" spans="1:26" s="24" customFormat="1" hidden="1" outlineLevel="1" x14ac:dyDescent="0.3">
      <c r="A13" s="44"/>
      <c r="B13" s="11" t="str">
        <f>CONCATENATE("          ", "4000", " - ", "TAXABLE SALES")</f>
        <v xml:space="preserve">          4000 - TAXABLE SALES</v>
      </c>
      <c r="C13" s="11"/>
      <c r="D13" s="3">
        <f>0</f>
        <v>0</v>
      </c>
      <c r="E13" s="3"/>
      <c r="F13" s="19"/>
      <c r="G13" s="3"/>
      <c r="H13" s="3">
        <v>1882</v>
      </c>
      <c r="I13" s="3"/>
      <c r="J13" s="19"/>
      <c r="K13" s="3"/>
      <c r="L13" s="3">
        <f t="shared" si="0"/>
        <v>-1882</v>
      </c>
      <c r="M13" s="3"/>
      <c r="N13" s="19">
        <f t="shared" si="1"/>
        <v>-1</v>
      </c>
      <c r="O13" s="11"/>
      <c r="P13" s="3">
        <f>0</f>
        <v>0</v>
      </c>
      <c r="Q13" s="3"/>
      <c r="R13" s="19"/>
      <c r="S13" s="3"/>
      <c r="T13" s="3">
        <v>1882</v>
      </c>
      <c r="U13" s="3"/>
      <c r="V13" s="19"/>
      <c r="W13" s="3"/>
      <c r="X13" s="3">
        <f t="shared" si="2"/>
        <v>-1882</v>
      </c>
      <c r="Y13" s="3"/>
      <c r="Z13" s="19">
        <f t="shared" si="3"/>
        <v>-1</v>
      </c>
    </row>
    <row r="14" spans="1:26" s="24" customFormat="1" hidden="1" outlineLevel="1" x14ac:dyDescent="0.3">
      <c r="A14" s="44"/>
      <c r="B14" s="11" t="str">
        <f>CONCATENATE("          ", "4051", " - ", "TAXABLE SALES-FOOD")</f>
        <v xml:space="preserve">          4051 - TAXABLE SALES-FOOD</v>
      </c>
      <c r="C14" s="11"/>
      <c r="D14" s="3">
        <f>--10630.93</f>
        <v>10630.93</v>
      </c>
      <c r="E14" s="3"/>
      <c r="F14" s="19"/>
      <c r="G14" s="3"/>
      <c r="H14" s="3"/>
      <c r="I14" s="3"/>
      <c r="J14" s="19"/>
      <c r="K14" s="3"/>
      <c r="L14" s="3">
        <f t="shared" si="0"/>
        <v>10630.93</v>
      </c>
      <c r="M14" s="3"/>
      <c r="N14" s="19">
        <f t="shared" si="1"/>
        <v>0</v>
      </c>
      <c r="O14" s="11"/>
      <c r="P14" s="3">
        <f>--10630.93</f>
        <v>10630.93</v>
      </c>
      <c r="Q14" s="3"/>
      <c r="R14" s="19"/>
      <c r="S14" s="3"/>
      <c r="T14" s="3"/>
      <c r="U14" s="3"/>
      <c r="V14" s="19"/>
      <c r="W14" s="3"/>
      <c r="X14" s="3">
        <f t="shared" si="2"/>
        <v>10630.93</v>
      </c>
      <c r="Y14" s="3"/>
      <c r="Z14" s="19">
        <f t="shared" si="3"/>
        <v>0</v>
      </c>
    </row>
    <row r="15" spans="1:26" s="24" customFormat="1" hidden="1" outlineLevel="1" x14ac:dyDescent="0.3">
      <c r="A15" s="44"/>
      <c r="B15" s="11" t="str">
        <f>CONCATENATE("          ", "4100", " - ", "NON-TAXABLE SALES")</f>
        <v xml:space="preserve">          4100 - NON-TAXABLE SALES</v>
      </c>
      <c r="C15" s="11"/>
      <c r="D15" s="3">
        <f>0</f>
        <v>0</v>
      </c>
      <c r="E15" s="3"/>
      <c r="F15" s="19"/>
      <c r="G15" s="3"/>
      <c r="H15" s="3">
        <v>4169</v>
      </c>
      <c r="I15" s="3"/>
      <c r="J15" s="19"/>
      <c r="K15" s="3"/>
      <c r="L15" s="3">
        <f t="shared" si="0"/>
        <v>-4169</v>
      </c>
      <c r="M15" s="3"/>
      <c r="N15" s="19">
        <f t="shared" si="1"/>
        <v>-1</v>
      </c>
      <c r="O15" s="11"/>
      <c r="P15" s="3">
        <f>0</f>
        <v>0</v>
      </c>
      <c r="Q15" s="3"/>
      <c r="R15" s="19"/>
      <c r="S15" s="3"/>
      <c r="T15" s="3">
        <v>4169</v>
      </c>
      <c r="U15" s="3"/>
      <c r="V15" s="19"/>
      <c r="W15" s="3"/>
      <c r="X15" s="3">
        <f t="shared" si="2"/>
        <v>-4169</v>
      </c>
      <c r="Y15" s="3"/>
      <c r="Z15" s="19">
        <f t="shared" si="3"/>
        <v>-1</v>
      </c>
    </row>
    <row r="16" spans="1:26" s="24" customFormat="1" hidden="1" outlineLevel="1" x14ac:dyDescent="0.3">
      <c r="A16" s="44"/>
      <c r="B16" s="11" t="str">
        <f>CONCATENATE("          ", "4151", " - ", "NON-TAXABLE SALES-FOOD")</f>
        <v xml:space="preserve">          4151 - NON-TAXABLE SALES-FOOD</v>
      </c>
      <c r="C16" s="11"/>
      <c r="D16" s="3">
        <f>--9071.38</f>
        <v>9071.3799999999992</v>
      </c>
      <c r="E16" s="3"/>
      <c r="F16" s="19"/>
      <c r="G16" s="3"/>
      <c r="H16" s="3"/>
      <c r="I16" s="3"/>
      <c r="J16" s="19"/>
      <c r="K16" s="3"/>
      <c r="L16" s="3">
        <f t="shared" si="0"/>
        <v>9071.3799999999992</v>
      </c>
      <c r="M16" s="3"/>
      <c r="N16" s="19">
        <f t="shared" si="1"/>
        <v>0</v>
      </c>
      <c r="O16" s="11"/>
      <c r="P16" s="3">
        <f>--9071.38</f>
        <v>9071.3799999999992</v>
      </c>
      <c r="Q16" s="3"/>
      <c r="R16" s="19"/>
      <c r="S16" s="3"/>
      <c r="T16" s="3"/>
      <c r="U16" s="3"/>
      <c r="V16" s="19"/>
      <c r="W16" s="3"/>
      <c r="X16" s="3">
        <f t="shared" si="2"/>
        <v>9071.3799999999992</v>
      </c>
      <c r="Y16" s="3"/>
      <c r="Z16" s="19">
        <f t="shared" si="3"/>
        <v>0</v>
      </c>
    </row>
    <row r="17" spans="1:26" x14ac:dyDescent="0.3">
      <c r="A17" s="9"/>
      <c r="B17" s="10"/>
      <c r="C17" s="9"/>
      <c r="D17" s="2"/>
      <c r="E17" s="2"/>
      <c r="F17" s="6"/>
      <c r="G17" s="2"/>
      <c r="H17" s="2"/>
      <c r="I17" s="2"/>
      <c r="J17" s="6"/>
      <c r="K17" s="2"/>
      <c r="L17" s="2"/>
      <c r="M17" s="2"/>
      <c r="N17" s="6"/>
      <c r="P17" s="2"/>
      <c r="Q17" s="2"/>
      <c r="R17" s="6"/>
      <c r="S17" s="2"/>
      <c r="T17" s="2"/>
      <c r="U17" s="2"/>
      <c r="V17" s="6"/>
      <c r="W17" s="2"/>
      <c r="X17" s="2"/>
      <c r="Y17" s="2"/>
      <c r="Z17" s="6"/>
    </row>
    <row r="18" spans="1:26" s="23" customFormat="1" collapsed="1" x14ac:dyDescent="0.3">
      <c r="A18" s="10"/>
      <c r="B18" s="25" t="s">
        <v>257</v>
      </c>
      <c r="C18" s="10"/>
      <c r="D18" s="4">
        <f>SUM(OSRRefD16x_0)</f>
        <v>6094.1100000000006</v>
      </c>
      <c r="E18" s="4"/>
      <c r="F18" s="12">
        <f t="shared" ref="F18:F21" si="4">IF(D$12=0,0,D18/D$12)</f>
        <v>0.30930941600248912</v>
      </c>
      <c r="G18" s="4"/>
      <c r="H18" s="4">
        <f>SUM(OSRRefH16x_0)</f>
        <v>2299</v>
      </c>
      <c r="I18" s="4"/>
      <c r="J18" s="12">
        <f t="shared" ref="J18:J21" si="5">IF(H$12=0,0,H18/H$12)</f>
        <v>0.37993720046273344</v>
      </c>
      <c r="K18" s="4"/>
      <c r="L18" s="4">
        <f t="shared" ref="L18:L21" si="6">+D18-H18</f>
        <v>3795.1100000000006</v>
      </c>
      <c r="M18" s="4"/>
      <c r="N18" s="12">
        <f t="shared" ref="N18:N21" si="7">IF(H18=0,0,L18/H18)</f>
        <v>1.6507655502392347</v>
      </c>
      <c r="O18" s="10"/>
      <c r="P18" s="4">
        <f>SUM(OSRRefP16x_0)</f>
        <v>6094.1100000000006</v>
      </c>
      <c r="Q18" s="4"/>
      <c r="R18" s="12">
        <f t="shared" ref="R18:R21" si="8">IF(P$12=0,0,P18/P$12)</f>
        <v>0.30930941600248912</v>
      </c>
      <c r="S18" s="4"/>
      <c r="T18" s="4">
        <f>SUM(OSRRefT16x_0)</f>
        <v>2299</v>
      </c>
      <c r="U18" s="4"/>
      <c r="V18" s="12">
        <f t="shared" ref="V18:V21" si="9">IF(T$12=0,0,T18/T$12)</f>
        <v>0.37993720046273344</v>
      </c>
      <c r="W18" s="4"/>
      <c r="X18" s="4">
        <f t="shared" ref="X18:X21" si="10">+P18-T18</f>
        <v>3795.1100000000006</v>
      </c>
      <c r="Y18" s="4"/>
      <c r="Z18" s="12">
        <f t="shared" ref="Z18:Z21" si="11">IF(T18=0,0,X18/T18)</f>
        <v>1.6507655502392347</v>
      </c>
    </row>
    <row r="19" spans="1:26" s="24" customFormat="1" hidden="1" outlineLevel="1" x14ac:dyDescent="0.3">
      <c r="A19" s="44"/>
      <c r="B19" s="11" t="str">
        <f>CONCATENATE("          ", "5000", " - ", "PURCHASES @ COST")</f>
        <v xml:space="preserve">          5000 - PURCHASES @ COST</v>
      </c>
      <c r="C19" s="11"/>
      <c r="D19" s="3"/>
      <c r="E19" s="3"/>
      <c r="F19" s="19">
        <f t="shared" si="4"/>
        <v>0</v>
      </c>
      <c r="G19" s="3"/>
      <c r="H19" s="3">
        <v>2299</v>
      </c>
      <c r="I19" s="3"/>
      <c r="J19" s="19">
        <f t="shared" si="5"/>
        <v>0.37993720046273344</v>
      </c>
      <c r="K19" s="3"/>
      <c r="L19" s="3">
        <f t="shared" si="6"/>
        <v>-2299</v>
      </c>
      <c r="M19" s="3"/>
      <c r="N19" s="19">
        <f t="shared" si="7"/>
        <v>-1</v>
      </c>
      <c r="O19" s="11"/>
      <c r="P19" s="3"/>
      <c r="Q19" s="3"/>
      <c r="R19" s="19">
        <f t="shared" si="8"/>
        <v>0</v>
      </c>
      <c r="S19" s="3"/>
      <c r="T19" s="3">
        <v>2299</v>
      </c>
      <c r="U19" s="3"/>
      <c r="V19" s="19">
        <f t="shared" si="9"/>
        <v>0.37993720046273344</v>
      </c>
      <c r="W19" s="3"/>
      <c r="X19" s="3">
        <f t="shared" si="10"/>
        <v>-2299</v>
      </c>
      <c r="Y19" s="3"/>
      <c r="Z19" s="19">
        <f t="shared" si="11"/>
        <v>-1</v>
      </c>
    </row>
    <row r="20" spans="1:26" s="24" customFormat="1" hidden="1" outlineLevel="1" x14ac:dyDescent="0.3">
      <c r="A20" s="44"/>
      <c r="B20" s="11" t="str">
        <f>CONCATENATE("          ", "5053", " - ", "PURCHASES @ COST-FOOD")</f>
        <v xml:space="preserve">          5053 - PURCHASES @ COST-FOOD</v>
      </c>
      <c r="C20" s="11"/>
      <c r="D20" s="3">
        <v>9259.11</v>
      </c>
      <c r="E20" s="3"/>
      <c r="F20" s="19">
        <f t="shared" si="4"/>
        <v>0.46995047788812588</v>
      </c>
      <c r="G20" s="3"/>
      <c r="H20" s="3"/>
      <c r="I20" s="3"/>
      <c r="J20" s="19">
        <f t="shared" si="5"/>
        <v>0</v>
      </c>
      <c r="K20" s="3"/>
      <c r="L20" s="3">
        <f t="shared" si="6"/>
        <v>9259.11</v>
      </c>
      <c r="M20" s="3"/>
      <c r="N20" s="19">
        <f t="shared" si="7"/>
        <v>0</v>
      </c>
      <c r="O20" s="11"/>
      <c r="P20" s="3">
        <v>9259.11</v>
      </c>
      <c r="Q20" s="3"/>
      <c r="R20" s="19">
        <f t="shared" si="8"/>
        <v>0.46995047788812588</v>
      </c>
      <c r="S20" s="3"/>
      <c r="T20" s="3"/>
      <c r="U20" s="3"/>
      <c r="V20" s="19">
        <f t="shared" si="9"/>
        <v>0</v>
      </c>
      <c r="W20" s="3"/>
      <c r="X20" s="3">
        <f t="shared" si="10"/>
        <v>9259.11</v>
      </c>
      <c r="Y20" s="3"/>
      <c r="Z20" s="19">
        <f t="shared" si="11"/>
        <v>0</v>
      </c>
    </row>
    <row r="21" spans="1:26" s="24" customFormat="1" hidden="1" outlineLevel="1" x14ac:dyDescent="0.3">
      <c r="A21" s="44"/>
      <c r="B21" s="11" t="str">
        <f>CONCATENATE("          ", "5059", " - ", "PURCHASES @ COST-FOOD")</f>
        <v xml:space="preserve">          5059 - PURCHASES @ COST-FOOD</v>
      </c>
      <c r="C21" s="11"/>
      <c r="D21" s="3">
        <v>-3165</v>
      </c>
      <c r="E21" s="3"/>
      <c r="F21" s="19">
        <f t="shared" si="4"/>
        <v>-0.16064106188563679</v>
      </c>
      <c r="G21" s="3"/>
      <c r="H21" s="3"/>
      <c r="I21" s="3"/>
      <c r="J21" s="19">
        <f t="shared" si="5"/>
        <v>0</v>
      </c>
      <c r="K21" s="3"/>
      <c r="L21" s="3">
        <f t="shared" si="6"/>
        <v>-3165</v>
      </c>
      <c r="M21" s="3"/>
      <c r="N21" s="19">
        <f t="shared" si="7"/>
        <v>0</v>
      </c>
      <c r="O21" s="11"/>
      <c r="P21" s="3">
        <v>-3165</v>
      </c>
      <c r="Q21" s="3"/>
      <c r="R21" s="19">
        <f t="shared" si="8"/>
        <v>-0.16064106188563679</v>
      </c>
      <c r="S21" s="3"/>
      <c r="T21" s="3"/>
      <c r="U21" s="3"/>
      <c r="V21" s="19">
        <f t="shared" si="9"/>
        <v>0</v>
      </c>
      <c r="W21" s="3"/>
      <c r="X21" s="3">
        <f t="shared" si="10"/>
        <v>-3165</v>
      </c>
      <c r="Y21" s="3"/>
      <c r="Z21" s="19">
        <f t="shared" si="11"/>
        <v>0</v>
      </c>
    </row>
    <row r="22" spans="1:26" x14ac:dyDescent="0.3">
      <c r="A22" s="9"/>
      <c r="B22" s="10"/>
      <c r="C22" s="10"/>
      <c r="D22" s="2"/>
      <c r="E22" s="2"/>
      <c r="F22" s="6"/>
      <c r="G22" s="2"/>
      <c r="H22" s="2"/>
      <c r="I22" s="2"/>
      <c r="J22" s="6"/>
      <c r="K22" s="2"/>
      <c r="L22" s="2"/>
      <c r="M22" s="2"/>
      <c r="N22" s="6"/>
      <c r="O22" s="10"/>
      <c r="P22" s="2"/>
      <c r="Q22" s="2"/>
      <c r="R22" s="6"/>
      <c r="S22" s="2"/>
      <c r="T22" s="2"/>
      <c r="U22" s="2"/>
      <c r="V22" s="6"/>
      <c r="W22" s="2"/>
      <c r="X22" s="2"/>
      <c r="Y22" s="2"/>
      <c r="Z22" s="6"/>
    </row>
    <row r="23" spans="1:26" s="23" customFormat="1" x14ac:dyDescent="0.3">
      <c r="A23" s="10"/>
      <c r="B23" s="26" t="s">
        <v>108</v>
      </c>
      <c r="C23" s="26"/>
      <c r="D23" s="21">
        <f>D12-D18</f>
        <v>13608.199999999997</v>
      </c>
      <c r="E23" s="13"/>
      <c r="F23" s="22">
        <f>IF(D$12=0,0,D23/D$12)</f>
        <v>0.69069058399751093</v>
      </c>
      <c r="G23" s="13"/>
      <c r="H23" s="21">
        <f>H12-H18</f>
        <v>3752</v>
      </c>
      <c r="I23" s="13"/>
      <c r="J23" s="22">
        <f>IF(H$12=0,0,H23/H$12)</f>
        <v>0.62006279953726662</v>
      </c>
      <c r="K23" s="16"/>
      <c r="L23" s="21">
        <f>+D23-H23</f>
        <v>9856.1999999999971</v>
      </c>
      <c r="M23" s="16"/>
      <c r="N23" s="22">
        <f>IF(H23=0,0,L23/H23)</f>
        <v>2.6269189765458414</v>
      </c>
      <c r="O23" s="25"/>
      <c r="P23" s="21">
        <f>P12-P18</f>
        <v>13608.199999999997</v>
      </c>
      <c r="Q23" s="13"/>
      <c r="R23" s="22">
        <f>IF(P$12=0,0,P23/P$12)</f>
        <v>0.69069058399751093</v>
      </c>
      <c r="S23" s="13"/>
      <c r="T23" s="21">
        <f>T12-T18</f>
        <v>3752</v>
      </c>
      <c r="U23" s="13"/>
      <c r="V23" s="22">
        <f>IF(T$12=0,0,T23/T$12)</f>
        <v>0.62006279953726662</v>
      </c>
      <c r="W23" s="16"/>
      <c r="X23" s="21">
        <f>+P23-T23</f>
        <v>9856.1999999999971</v>
      </c>
      <c r="Y23" s="16"/>
      <c r="Z23" s="22">
        <f>IF(T23=0,0,X23/T23)</f>
        <v>2.6269189765458414</v>
      </c>
    </row>
    <row r="24" spans="1:26" x14ac:dyDescent="0.3">
      <c r="A24" s="9"/>
      <c r="B24" s="10"/>
      <c r="C24" s="9"/>
      <c r="D24" s="1"/>
      <c r="E24" s="1"/>
      <c r="F24" s="5"/>
      <c r="G24" s="1"/>
      <c r="H24" s="1"/>
      <c r="I24" s="1"/>
      <c r="J24" s="5"/>
      <c r="K24" s="1"/>
      <c r="L24" s="1"/>
      <c r="M24" s="1"/>
      <c r="N24" s="5"/>
      <c r="O24" s="36"/>
      <c r="P24" s="1"/>
      <c r="Q24" s="1"/>
      <c r="R24" s="5"/>
      <c r="S24" s="1"/>
      <c r="T24" s="1"/>
      <c r="U24" s="1"/>
      <c r="V24" s="5"/>
      <c r="W24" s="1"/>
      <c r="X24" s="1"/>
      <c r="Y24" s="1"/>
      <c r="Z24" s="5"/>
    </row>
    <row r="25" spans="1:26" s="23" customFormat="1" x14ac:dyDescent="0.3">
      <c r="A25" s="10"/>
      <c r="B25" s="25" t="s">
        <v>295</v>
      </c>
      <c r="C25" s="10"/>
      <c r="D25" s="20">
        <f>SUM(OSRRefD22x_0)</f>
        <v>60021.139999999985</v>
      </c>
      <c r="E25" s="20"/>
      <c r="F25" s="32">
        <f t="shared" ref="F25:F35" si="12">IF(D$12=0,0,D25/D$12)</f>
        <v>3.0464011580367982</v>
      </c>
      <c r="G25" s="20"/>
      <c r="H25" s="20">
        <f>SUM(OSRRefH22x_0)</f>
        <v>53113.557698378849</v>
      </c>
      <c r="I25" s="20"/>
      <c r="J25" s="32">
        <f t="shared" ref="J25:J35" si="13">IF(H$12=0,0,H25/H$12)</f>
        <v>8.7776495948403319</v>
      </c>
      <c r="K25" s="4"/>
      <c r="L25" s="20">
        <f t="shared" ref="L25:L35" si="14">+D25-H25</f>
        <v>6907.5823016211361</v>
      </c>
      <c r="M25" s="4"/>
      <c r="N25" s="32">
        <f t="shared" ref="N25:N35" si="15">IF(H25=0,0,L25/H25)</f>
        <v>0.1300530900386658</v>
      </c>
      <c r="O25" s="10"/>
      <c r="P25" s="20">
        <f>SUM(OSRRefP22x_0)</f>
        <v>60021.139999999985</v>
      </c>
      <c r="Q25" s="20"/>
      <c r="R25" s="32">
        <f t="shared" ref="R25:R35" si="16">IF(P$12=0,0,P25/P$12)</f>
        <v>3.0464011580367982</v>
      </c>
      <c r="S25" s="20"/>
      <c r="T25" s="20">
        <f>SUM(OSRRefT22x_0)</f>
        <v>53113.557698378849</v>
      </c>
      <c r="U25" s="20"/>
      <c r="V25" s="32">
        <f t="shared" ref="V25:V35" si="17">IF(T$12=0,0,T25/T$12)</f>
        <v>8.7776495948403319</v>
      </c>
      <c r="W25" s="4"/>
      <c r="X25" s="20">
        <f t="shared" ref="X25:X35" si="18">+P25-T25</f>
        <v>6907.5823016211361</v>
      </c>
      <c r="Y25" s="4"/>
      <c r="Z25" s="32">
        <f t="shared" ref="Z25:Z35" si="19">IF(T25=0,0,X25/T25)</f>
        <v>0.1300530900386658</v>
      </c>
    </row>
    <row r="26" spans="1:26" s="27" customFormat="1" outlineLevel="1" collapsed="1" x14ac:dyDescent="0.3">
      <c r="A26" s="28"/>
      <c r="B26" s="14" t="str">
        <f>CONCATENATE("     ","*Benefits                                         ")</f>
        <v xml:space="preserve">     *Benefits                                         </v>
      </c>
      <c r="C26" s="14"/>
      <c r="D26" s="1">
        <f>SUM(OSRRefD22_0x_0)</f>
        <v>10097.829999999998</v>
      </c>
      <c r="E26" s="1"/>
      <c r="F26" s="5">
        <f t="shared" si="12"/>
        <v>0.51252010551047056</v>
      </c>
      <c r="G26" s="1"/>
      <c r="H26" s="1">
        <f>SUM(OSRRefH22_0x_0)</f>
        <v>6981.7393233788498</v>
      </c>
      <c r="I26" s="1"/>
      <c r="J26" s="5">
        <f t="shared" si="13"/>
        <v>1.1538157863789209</v>
      </c>
      <c r="K26" s="1"/>
      <c r="L26" s="1">
        <f t="shared" si="14"/>
        <v>3116.0906766211483</v>
      </c>
      <c r="M26" s="1"/>
      <c r="N26" s="5">
        <f t="shared" si="15"/>
        <v>0.44632011197935983</v>
      </c>
      <c r="O26" s="14"/>
      <c r="P26" s="1">
        <f>SUM(OSRRefP22_0x_0)</f>
        <v>10097.829999999998</v>
      </c>
      <c r="Q26" s="1"/>
      <c r="R26" s="5">
        <f t="shared" si="16"/>
        <v>0.51252010551047056</v>
      </c>
      <c r="S26" s="1"/>
      <c r="T26" s="1">
        <f>SUM(OSRRefT22_0x_0)</f>
        <v>6981.7393233788498</v>
      </c>
      <c r="U26" s="1"/>
      <c r="V26" s="5">
        <f t="shared" si="17"/>
        <v>1.1538157863789209</v>
      </c>
      <c r="W26" s="1"/>
      <c r="X26" s="1">
        <f t="shared" si="18"/>
        <v>3116.0906766211483</v>
      </c>
      <c r="Y26" s="1"/>
      <c r="Z26" s="5">
        <f t="shared" si="19"/>
        <v>0.44632011197935983</v>
      </c>
    </row>
    <row r="27" spans="1:26" s="24" customFormat="1" hidden="1" outlineLevel="2" x14ac:dyDescent="0.3">
      <c r="A27" s="29"/>
      <c r="B27" s="11" t="str">
        <f>CONCATENATE("          ", "6111", " - ", "F.I.C.A.")</f>
        <v xml:space="preserve">          6111 - F.I.C.A.</v>
      </c>
      <c r="C27" s="11"/>
      <c r="D27" s="8">
        <v>1121.3499999999999</v>
      </c>
      <c r="E27" s="3"/>
      <c r="F27" s="7">
        <f t="shared" si="12"/>
        <v>5.6914646049118098E-2</v>
      </c>
      <c r="G27" s="3"/>
      <c r="H27" s="8">
        <v>956.09177722499999</v>
      </c>
      <c r="I27" s="3"/>
      <c r="J27" s="7">
        <f t="shared" si="13"/>
        <v>0.15800558208973722</v>
      </c>
      <c r="K27" s="3"/>
      <c r="L27" s="8">
        <f t="shared" si="14"/>
        <v>165.25822277499992</v>
      </c>
      <c r="M27" s="3"/>
      <c r="N27" s="7">
        <f t="shared" si="15"/>
        <v>0.17284765616816847</v>
      </c>
      <c r="O27" s="11"/>
      <c r="P27" s="8">
        <v>1121.3499999999999</v>
      </c>
      <c r="Q27" s="3"/>
      <c r="R27" s="7">
        <f t="shared" si="16"/>
        <v>5.6914646049118098E-2</v>
      </c>
      <c r="S27" s="3"/>
      <c r="T27" s="8">
        <v>956.09177722499999</v>
      </c>
      <c r="U27" s="3"/>
      <c r="V27" s="7">
        <f t="shared" si="17"/>
        <v>0.15800558208973722</v>
      </c>
      <c r="W27" s="3"/>
      <c r="X27" s="8">
        <f t="shared" si="18"/>
        <v>165.25822277499992</v>
      </c>
      <c r="Y27" s="3"/>
      <c r="Z27" s="7">
        <f t="shared" si="19"/>
        <v>0.17284765616816847</v>
      </c>
    </row>
    <row r="28" spans="1:26" s="24" customFormat="1" hidden="1" outlineLevel="2" x14ac:dyDescent="0.3">
      <c r="A28" s="29"/>
      <c r="B28" s="11" t="str">
        <f>CONCATENATE("          ", "6112", " - ", "COMPENSATION INSURANCE")</f>
        <v xml:space="preserve">          6112 - COMPENSATION INSURANCE</v>
      </c>
      <c r="C28" s="11"/>
      <c r="D28" s="8">
        <v>527.62</v>
      </c>
      <c r="E28" s="3"/>
      <c r="F28" s="7">
        <f t="shared" si="12"/>
        <v>2.6779600970647608E-2</v>
      </c>
      <c r="G28" s="3"/>
      <c r="H28" s="8">
        <v>473.48593175000002</v>
      </c>
      <c r="I28" s="3"/>
      <c r="J28" s="7">
        <f t="shared" si="13"/>
        <v>7.8249203726656752E-2</v>
      </c>
      <c r="K28" s="3"/>
      <c r="L28" s="8">
        <f t="shared" si="14"/>
        <v>54.134068249999984</v>
      </c>
      <c r="M28" s="3"/>
      <c r="N28" s="7">
        <f t="shared" si="15"/>
        <v>0.11433089057138598</v>
      </c>
      <c r="O28" s="11"/>
      <c r="P28" s="8">
        <v>527.62</v>
      </c>
      <c r="Q28" s="3"/>
      <c r="R28" s="7">
        <f t="shared" si="16"/>
        <v>2.6779600970647608E-2</v>
      </c>
      <c r="S28" s="3"/>
      <c r="T28" s="8">
        <v>473.48593175000002</v>
      </c>
      <c r="U28" s="3"/>
      <c r="V28" s="7">
        <f t="shared" si="17"/>
        <v>7.8249203726656752E-2</v>
      </c>
      <c r="W28" s="3"/>
      <c r="X28" s="8">
        <f t="shared" si="18"/>
        <v>54.134068249999984</v>
      </c>
      <c r="Y28" s="3"/>
      <c r="Z28" s="7">
        <f t="shared" si="19"/>
        <v>0.11433089057138598</v>
      </c>
    </row>
    <row r="29" spans="1:26" s="24" customFormat="1" hidden="1" outlineLevel="2" x14ac:dyDescent="0.3">
      <c r="A29" s="29"/>
      <c r="B29" s="11" t="str">
        <f>CONCATENATE("          ", "6113", " - ", "GROUP INSURANCE")</f>
        <v xml:space="preserve">          6113 - GROUP INSURANCE</v>
      </c>
      <c r="C29" s="11"/>
      <c r="D29" s="8">
        <v>5217.82</v>
      </c>
      <c r="E29" s="3"/>
      <c r="F29" s="7">
        <f t="shared" si="12"/>
        <v>0.26483290538013055</v>
      </c>
      <c r="G29" s="3"/>
      <c r="H29" s="8">
        <v>4258.1538461538503</v>
      </c>
      <c r="I29" s="3"/>
      <c r="J29" s="7">
        <f t="shared" si="13"/>
        <v>0.70371076617978023</v>
      </c>
      <c r="K29" s="3"/>
      <c r="L29" s="8">
        <f t="shared" si="14"/>
        <v>959.66615384614943</v>
      </c>
      <c r="M29" s="3"/>
      <c r="N29" s="7">
        <f t="shared" si="15"/>
        <v>0.22537141411951606</v>
      </c>
      <c r="O29" s="11"/>
      <c r="P29" s="8">
        <v>5217.82</v>
      </c>
      <c r="Q29" s="3"/>
      <c r="R29" s="7">
        <f t="shared" si="16"/>
        <v>0.26483290538013055</v>
      </c>
      <c r="S29" s="3"/>
      <c r="T29" s="8">
        <v>4258.1538461538503</v>
      </c>
      <c r="U29" s="3"/>
      <c r="V29" s="7">
        <f t="shared" si="17"/>
        <v>0.70371076617978023</v>
      </c>
      <c r="W29" s="3"/>
      <c r="X29" s="8">
        <f t="shared" si="18"/>
        <v>959.66615384614943</v>
      </c>
      <c r="Y29" s="3"/>
      <c r="Z29" s="7">
        <f t="shared" si="19"/>
        <v>0.22537141411951606</v>
      </c>
    </row>
    <row r="30" spans="1:26" s="24" customFormat="1" hidden="1" outlineLevel="2" x14ac:dyDescent="0.3">
      <c r="A30" s="29"/>
      <c r="B30" s="11" t="str">
        <f>CONCATENATE("          ", "6114", " - ", "STATE UNEMPLOYMENT INSURANCE")</f>
        <v xml:space="preserve">          6114 - STATE UNEMPLOYMENT INSURANCE</v>
      </c>
      <c r="C30" s="11"/>
      <c r="D30" s="8">
        <v>38.11</v>
      </c>
      <c r="E30" s="3"/>
      <c r="F30" s="7">
        <f t="shared" si="12"/>
        <v>1.934290953700353E-3</v>
      </c>
      <c r="G30" s="3"/>
      <c r="H30" s="8">
        <v>26.235368250000001</v>
      </c>
      <c r="I30" s="3"/>
      <c r="J30" s="7">
        <f t="shared" si="13"/>
        <v>4.3357078582052554E-3</v>
      </c>
      <c r="K30" s="3"/>
      <c r="L30" s="8">
        <f t="shared" si="14"/>
        <v>11.874631749999999</v>
      </c>
      <c r="M30" s="3"/>
      <c r="N30" s="7">
        <f t="shared" si="15"/>
        <v>0.45261921375927316</v>
      </c>
      <c r="O30" s="11"/>
      <c r="P30" s="8">
        <v>38.11</v>
      </c>
      <c r="Q30" s="3"/>
      <c r="R30" s="7">
        <f t="shared" si="16"/>
        <v>1.934290953700353E-3</v>
      </c>
      <c r="S30" s="3"/>
      <c r="T30" s="8">
        <v>26.235368250000001</v>
      </c>
      <c r="U30" s="3"/>
      <c r="V30" s="7">
        <f t="shared" si="17"/>
        <v>4.3357078582052554E-3</v>
      </c>
      <c r="W30" s="3"/>
      <c r="X30" s="8">
        <f t="shared" si="18"/>
        <v>11.874631749999999</v>
      </c>
      <c r="Y30" s="3"/>
      <c r="Z30" s="7">
        <f t="shared" si="19"/>
        <v>0.45261921375927316</v>
      </c>
    </row>
    <row r="31" spans="1:26" s="24" customFormat="1" hidden="1" outlineLevel="2" x14ac:dyDescent="0.3">
      <c r="A31" s="29"/>
      <c r="B31" s="11" t="str">
        <f>CONCATENATE("          ", "6115", " - ", "P.E.R.S.")</f>
        <v xml:space="preserve">          6115 - P.E.R.S.</v>
      </c>
      <c r="C31" s="11"/>
      <c r="D31" s="8">
        <v>870.61</v>
      </c>
      <c r="E31" s="3"/>
      <c r="F31" s="7">
        <f t="shared" si="12"/>
        <v>4.4188219553950789E-2</v>
      </c>
      <c r="G31" s="3"/>
      <c r="H31" s="8">
        <v>546.87077499999998</v>
      </c>
      <c r="I31" s="3"/>
      <c r="J31" s="7">
        <f t="shared" si="13"/>
        <v>9.0376925301603031E-2</v>
      </c>
      <c r="K31" s="3"/>
      <c r="L31" s="8">
        <f t="shared" si="14"/>
        <v>323.73922500000003</v>
      </c>
      <c r="M31" s="3"/>
      <c r="N31" s="7">
        <f t="shared" si="15"/>
        <v>0.59198487064882932</v>
      </c>
      <c r="O31" s="11"/>
      <c r="P31" s="8">
        <v>870.61</v>
      </c>
      <c r="Q31" s="3"/>
      <c r="R31" s="7">
        <f t="shared" si="16"/>
        <v>4.4188219553950789E-2</v>
      </c>
      <c r="S31" s="3"/>
      <c r="T31" s="8">
        <v>546.87077499999998</v>
      </c>
      <c r="U31" s="3"/>
      <c r="V31" s="7">
        <f t="shared" si="17"/>
        <v>9.0376925301603031E-2</v>
      </c>
      <c r="W31" s="3"/>
      <c r="X31" s="8">
        <f t="shared" si="18"/>
        <v>323.73922500000003</v>
      </c>
      <c r="Y31" s="3"/>
      <c r="Z31" s="7">
        <f t="shared" si="19"/>
        <v>0.59198487064882932</v>
      </c>
    </row>
    <row r="32" spans="1:26" s="24" customFormat="1" hidden="1" outlineLevel="2" x14ac:dyDescent="0.3">
      <c r="A32" s="29"/>
      <c r="B32" s="11" t="str">
        <f>CONCATENATE("          ", "6116", " - ", "EDUCATIONAL BENEFITS")</f>
        <v xml:space="preserve">          6116 - EDUCATIONAL BENEFITS</v>
      </c>
      <c r="C32" s="11"/>
      <c r="D32" s="8"/>
      <c r="E32" s="3"/>
      <c r="F32" s="7">
        <f t="shared" si="12"/>
        <v>0</v>
      </c>
      <c r="G32" s="3"/>
      <c r="H32" s="8">
        <v>0</v>
      </c>
      <c r="I32" s="3"/>
      <c r="J32" s="7">
        <f t="shared" si="13"/>
        <v>0</v>
      </c>
      <c r="K32" s="3"/>
      <c r="L32" s="8">
        <f t="shared" si="14"/>
        <v>0</v>
      </c>
      <c r="M32" s="3"/>
      <c r="N32" s="7">
        <f t="shared" si="15"/>
        <v>0</v>
      </c>
      <c r="O32" s="11"/>
      <c r="P32" s="8"/>
      <c r="Q32" s="3"/>
      <c r="R32" s="7">
        <f t="shared" si="16"/>
        <v>0</v>
      </c>
      <c r="S32" s="3"/>
      <c r="T32" s="8">
        <v>0</v>
      </c>
      <c r="U32" s="3"/>
      <c r="V32" s="7">
        <f t="shared" si="17"/>
        <v>0</v>
      </c>
      <c r="W32" s="3"/>
      <c r="X32" s="8">
        <f t="shared" si="18"/>
        <v>0</v>
      </c>
      <c r="Y32" s="3"/>
      <c r="Z32" s="7">
        <f t="shared" si="19"/>
        <v>0</v>
      </c>
    </row>
    <row r="33" spans="1:26" s="24" customFormat="1" hidden="1" outlineLevel="2" x14ac:dyDescent="0.3">
      <c r="A33" s="29"/>
      <c r="B33" s="11" t="str">
        <f>CONCATENATE("          ", "6118", " - ", "VACATION")</f>
        <v xml:space="preserve">          6118 - VACATION</v>
      </c>
      <c r="C33" s="11"/>
      <c r="D33" s="8">
        <v>951.06</v>
      </c>
      <c r="E33" s="3"/>
      <c r="F33" s="7">
        <f t="shared" si="12"/>
        <v>4.8271497098563571E-2</v>
      </c>
      <c r="G33" s="3"/>
      <c r="H33" s="8">
        <v>315.728475</v>
      </c>
      <c r="I33" s="3"/>
      <c r="J33" s="7">
        <f t="shared" si="13"/>
        <v>5.2177900347050075E-2</v>
      </c>
      <c r="K33" s="3"/>
      <c r="L33" s="8">
        <f t="shared" si="14"/>
        <v>635.33152499999994</v>
      </c>
      <c r="M33" s="3"/>
      <c r="N33" s="7">
        <f t="shared" si="15"/>
        <v>2.0122718579627636</v>
      </c>
      <c r="O33" s="11"/>
      <c r="P33" s="8">
        <v>951.06</v>
      </c>
      <c r="Q33" s="3"/>
      <c r="R33" s="7">
        <f t="shared" si="16"/>
        <v>4.8271497098563571E-2</v>
      </c>
      <c r="S33" s="3"/>
      <c r="T33" s="8">
        <v>315.728475</v>
      </c>
      <c r="U33" s="3"/>
      <c r="V33" s="7">
        <f t="shared" si="17"/>
        <v>5.2177900347050075E-2</v>
      </c>
      <c r="W33" s="3"/>
      <c r="X33" s="8">
        <f t="shared" si="18"/>
        <v>635.33152499999994</v>
      </c>
      <c r="Y33" s="3"/>
      <c r="Z33" s="7">
        <f t="shared" si="19"/>
        <v>2.0122718579627636</v>
      </c>
    </row>
    <row r="34" spans="1:26" s="24" customFormat="1" hidden="1" outlineLevel="2" x14ac:dyDescent="0.3">
      <c r="A34" s="29"/>
      <c r="B34" s="11" t="str">
        <f>CONCATENATE("          ", "6119", " - ", "SICK LEAVE")</f>
        <v xml:space="preserve">          6119 - SICK LEAVE</v>
      </c>
      <c r="C34" s="11"/>
      <c r="D34" s="8">
        <v>875.97</v>
      </c>
      <c r="E34" s="3"/>
      <c r="F34" s="7">
        <f t="shared" si="12"/>
        <v>4.4460268872025671E-2</v>
      </c>
      <c r="G34" s="3"/>
      <c r="H34" s="8">
        <v>230.17314999999999</v>
      </c>
      <c r="I34" s="3"/>
      <c r="J34" s="7">
        <f t="shared" si="13"/>
        <v>3.803886134523219E-2</v>
      </c>
      <c r="K34" s="3"/>
      <c r="L34" s="8">
        <f t="shared" si="14"/>
        <v>645.79685000000006</v>
      </c>
      <c r="M34" s="3"/>
      <c r="N34" s="7">
        <f t="shared" si="15"/>
        <v>2.8057001870113871</v>
      </c>
      <c r="O34" s="11"/>
      <c r="P34" s="8">
        <v>875.97</v>
      </c>
      <c r="Q34" s="3"/>
      <c r="R34" s="7">
        <f t="shared" si="16"/>
        <v>4.4460268872025671E-2</v>
      </c>
      <c r="S34" s="3"/>
      <c r="T34" s="8">
        <v>230.17314999999999</v>
      </c>
      <c r="U34" s="3"/>
      <c r="V34" s="7">
        <f t="shared" si="17"/>
        <v>3.803886134523219E-2</v>
      </c>
      <c r="W34" s="3"/>
      <c r="X34" s="8">
        <f t="shared" si="18"/>
        <v>645.79685000000006</v>
      </c>
      <c r="Y34" s="3"/>
      <c r="Z34" s="7">
        <f t="shared" si="19"/>
        <v>2.8057001870113871</v>
      </c>
    </row>
    <row r="35" spans="1:26" s="24" customFormat="1" hidden="1" outlineLevel="2" x14ac:dyDescent="0.3">
      <c r="A35" s="29"/>
      <c r="B35" s="11" t="str">
        <f>CONCATENATE("          ", "6156", " - ", "EMPLOYEE MEALS")</f>
        <v xml:space="preserve">          6156 - EMPLOYEE MEALS</v>
      </c>
      <c r="C35" s="11"/>
      <c r="D35" s="8">
        <v>495.29</v>
      </c>
      <c r="E35" s="3"/>
      <c r="F35" s="7">
        <f t="shared" si="12"/>
        <v>2.5138676632333979E-2</v>
      </c>
      <c r="G35" s="3"/>
      <c r="H35" s="8">
        <v>175</v>
      </c>
      <c r="I35" s="3"/>
      <c r="J35" s="7">
        <f t="shared" si="13"/>
        <v>2.8920839530656089E-2</v>
      </c>
      <c r="K35" s="3"/>
      <c r="L35" s="8">
        <f t="shared" si="14"/>
        <v>320.29000000000002</v>
      </c>
      <c r="M35" s="3"/>
      <c r="N35" s="7">
        <f t="shared" si="15"/>
        <v>1.8302285714285715</v>
      </c>
      <c r="O35" s="11"/>
      <c r="P35" s="8">
        <v>495.29</v>
      </c>
      <c r="Q35" s="3"/>
      <c r="R35" s="7">
        <f t="shared" si="16"/>
        <v>2.5138676632333979E-2</v>
      </c>
      <c r="S35" s="3"/>
      <c r="T35" s="8">
        <v>175</v>
      </c>
      <c r="U35" s="3"/>
      <c r="V35" s="7">
        <f t="shared" si="17"/>
        <v>2.8920839530656089E-2</v>
      </c>
      <c r="W35" s="3"/>
      <c r="X35" s="8">
        <f t="shared" si="18"/>
        <v>320.29000000000002</v>
      </c>
      <c r="Y35" s="3"/>
      <c r="Z35" s="7">
        <f t="shared" si="19"/>
        <v>1.8302285714285715</v>
      </c>
    </row>
    <row r="36" spans="1:26" s="27" customFormat="1" outlineLevel="1" collapsed="1" x14ac:dyDescent="0.3">
      <c r="A36" s="28"/>
      <c r="B36" s="14" t="str">
        <f>CONCATENATE("     ","*Payroll                                          ")</f>
        <v xml:space="preserve">     *Payroll                                          </v>
      </c>
      <c r="C36" s="14"/>
      <c r="D36" s="1">
        <f>SUM(OSRRefD22_1x_0)</f>
        <v>17651.629999999997</v>
      </c>
      <c r="E36" s="1"/>
      <c r="F36" s="5">
        <f t="shared" ref="F36:F46" si="20">IF(D$12=0,0,D36/D$12)</f>
        <v>0.89591677321085694</v>
      </c>
      <c r="G36" s="1"/>
      <c r="H36" s="1">
        <f>SUM(OSRRefH22_1x_0)</f>
        <v>11966.818374999999</v>
      </c>
      <c r="I36" s="1"/>
      <c r="J36" s="5">
        <f t="shared" ref="J36:J46" si="21">IF(H$12=0,0,H36/H$12)</f>
        <v>1.9776596223764664</v>
      </c>
      <c r="K36" s="1"/>
      <c r="L36" s="1">
        <f t="shared" ref="L36:L46" si="22">+D36-H36</f>
        <v>5684.8116249999985</v>
      </c>
      <c r="M36" s="1"/>
      <c r="N36" s="5">
        <f t="shared" ref="N36:N46" si="23">IF(H36=0,0,L36/H36)</f>
        <v>0.47504787378374486</v>
      </c>
      <c r="O36" s="14"/>
      <c r="P36" s="1">
        <f>SUM(OSRRefP22_1x_0)</f>
        <v>17651.629999999997</v>
      </c>
      <c r="Q36" s="1"/>
      <c r="R36" s="5">
        <f t="shared" ref="R36:R46" si="24">IF(P$12=0,0,P36/P$12)</f>
        <v>0.89591677321085694</v>
      </c>
      <c r="S36" s="1"/>
      <c r="T36" s="1">
        <f>SUM(OSRRefT22_1x_0)</f>
        <v>11966.818374999999</v>
      </c>
      <c r="U36" s="1"/>
      <c r="V36" s="5">
        <f t="shared" ref="V36:V46" si="25">IF(T$12=0,0,T36/T$12)</f>
        <v>1.9776596223764664</v>
      </c>
      <c r="W36" s="1"/>
      <c r="X36" s="1">
        <f t="shared" ref="X36:X46" si="26">+P36-T36</f>
        <v>5684.8116249999985</v>
      </c>
      <c r="Y36" s="1"/>
      <c r="Z36" s="5">
        <f t="shared" ref="Z36:Z46" si="27">IF(T36=0,0,X36/T36)</f>
        <v>0.47504787378374486</v>
      </c>
    </row>
    <row r="37" spans="1:26" s="24" customFormat="1" hidden="1" outlineLevel="2" x14ac:dyDescent="0.3">
      <c r="A37" s="29"/>
      <c r="B37" s="11" t="str">
        <f>CONCATENATE("          ", "6001", " - ", "ADMINISTRATIVE SALARIES")</f>
        <v xml:space="preserve">          6001 - ADMINISTRATIVE SALARIES</v>
      </c>
      <c r="C37" s="11"/>
      <c r="D37" s="8"/>
      <c r="E37" s="3"/>
      <c r="F37" s="7">
        <f t="shared" si="20"/>
        <v>0</v>
      </c>
      <c r="G37" s="3"/>
      <c r="H37" s="8">
        <v>0</v>
      </c>
      <c r="I37" s="3"/>
      <c r="J37" s="7">
        <f t="shared" si="21"/>
        <v>0</v>
      </c>
      <c r="K37" s="3"/>
      <c r="L37" s="8">
        <f t="shared" si="22"/>
        <v>0</v>
      </c>
      <c r="M37" s="3"/>
      <c r="N37" s="7">
        <f t="shared" si="23"/>
        <v>0</v>
      </c>
      <c r="O37" s="11"/>
      <c r="P37" s="8"/>
      <c r="Q37" s="3"/>
      <c r="R37" s="7">
        <f t="shared" si="24"/>
        <v>0</v>
      </c>
      <c r="S37" s="3"/>
      <c r="T37" s="8">
        <v>0</v>
      </c>
      <c r="U37" s="3"/>
      <c r="V37" s="7">
        <f t="shared" si="25"/>
        <v>0</v>
      </c>
      <c r="W37" s="3"/>
      <c r="X37" s="8">
        <f t="shared" si="26"/>
        <v>0</v>
      </c>
      <c r="Y37" s="3"/>
      <c r="Z37" s="7">
        <f t="shared" si="27"/>
        <v>0</v>
      </c>
    </row>
    <row r="38" spans="1:26" s="24" customFormat="1" hidden="1" outlineLevel="2" x14ac:dyDescent="0.3">
      <c r="A38" s="29"/>
      <c r="B38" s="11" t="str">
        <f>CONCATENATE("          ", "6002", " - ", "STAFF SALARIES")</f>
        <v xml:space="preserve">          6002 - STAFF SALARIES</v>
      </c>
      <c r="C38" s="11"/>
      <c r="D38" s="8">
        <v>11462.58</v>
      </c>
      <c r="E38" s="3"/>
      <c r="F38" s="7">
        <f t="shared" si="20"/>
        <v>0.58178863290649685</v>
      </c>
      <c r="G38" s="3"/>
      <c r="H38" s="8">
        <v>6041.0143749999997</v>
      </c>
      <c r="I38" s="3"/>
      <c r="J38" s="7">
        <f t="shared" si="21"/>
        <v>0.9983497562386382</v>
      </c>
      <c r="K38" s="3"/>
      <c r="L38" s="8">
        <f t="shared" si="22"/>
        <v>5421.5656250000002</v>
      </c>
      <c r="M38" s="3"/>
      <c r="N38" s="7">
        <f t="shared" si="23"/>
        <v>0.89745948088395344</v>
      </c>
      <c r="O38" s="11"/>
      <c r="P38" s="8">
        <v>11462.58</v>
      </c>
      <c r="Q38" s="3"/>
      <c r="R38" s="7">
        <f t="shared" si="24"/>
        <v>0.58178863290649685</v>
      </c>
      <c r="S38" s="3"/>
      <c r="T38" s="8">
        <v>6041.0143749999997</v>
      </c>
      <c r="U38" s="3"/>
      <c r="V38" s="7">
        <f t="shared" si="25"/>
        <v>0.9983497562386382</v>
      </c>
      <c r="W38" s="3"/>
      <c r="X38" s="8">
        <f t="shared" si="26"/>
        <v>5421.5656250000002</v>
      </c>
      <c r="Y38" s="3"/>
      <c r="Z38" s="7">
        <f t="shared" si="27"/>
        <v>0.89745948088395344</v>
      </c>
    </row>
    <row r="39" spans="1:26" s="24" customFormat="1" hidden="1" outlineLevel="2" x14ac:dyDescent="0.3">
      <c r="A39" s="29"/>
      <c r="B39" s="11" t="str">
        <f>CONCATENATE("          ", "6003", " - ", "STAFF HOURLY-9 MONTH")</f>
        <v xml:space="preserve">          6003 - STAFF HOURLY-9 MONTH</v>
      </c>
      <c r="C39" s="11"/>
      <c r="D39" s="8"/>
      <c r="E39" s="3"/>
      <c r="F39" s="7">
        <f t="shared" si="20"/>
        <v>0</v>
      </c>
      <c r="G39" s="3"/>
      <c r="H39" s="8">
        <v>0</v>
      </c>
      <c r="I39" s="3"/>
      <c r="J39" s="7">
        <f t="shared" si="21"/>
        <v>0</v>
      </c>
      <c r="K39" s="3"/>
      <c r="L39" s="8">
        <f t="shared" si="22"/>
        <v>0</v>
      </c>
      <c r="M39" s="3"/>
      <c r="N39" s="7">
        <f t="shared" si="23"/>
        <v>0</v>
      </c>
      <c r="O39" s="11"/>
      <c r="P39" s="8"/>
      <c r="Q39" s="3"/>
      <c r="R39" s="7">
        <f t="shared" si="24"/>
        <v>0</v>
      </c>
      <c r="S39" s="3"/>
      <c r="T39" s="8">
        <v>0</v>
      </c>
      <c r="U39" s="3"/>
      <c r="V39" s="7">
        <f t="shared" si="25"/>
        <v>0</v>
      </c>
      <c r="W39" s="3"/>
      <c r="X39" s="8">
        <f t="shared" si="26"/>
        <v>0</v>
      </c>
      <c r="Y39" s="3"/>
      <c r="Z39" s="7">
        <f t="shared" si="27"/>
        <v>0</v>
      </c>
    </row>
    <row r="40" spans="1:26" s="24" customFormat="1" hidden="1" outlineLevel="2" x14ac:dyDescent="0.3">
      <c r="A40" s="29"/>
      <c r="B40" s="11" t="str">
        <f>CONCATENATE("          ", "6004", " - ", "STAFF HOURLY")</f>
        <v xml:space="preserve">          6004 - STAFF HOURLY</v>
      </c>
      <c r="C40" s="11"/>
      <c r="D40" s="8">
        <v>2994.99</v>
      </c>
      <c r="E40" s="3"/>
      <c r="F40" s="7">
        <f t="shared" si="20"/>
        <v>0.15201212446662346</v>
      </c>
      <c r="G40" s="3"/>
      <c r="H40" s="8">
        <v>5925.8040000000001</v>
      </c>
      <c r="I40" s="3"/>
      <c r="J40" s="7">
        <f t="shared" si="21"/>
        <v>0.97930986613782844</v>
      </c>
      <c r="K40" s="3"/>
      <c r="L40" s="8">
        <f t="shared" si="22"/>
        <v>-2930.8140000000003</v>
      </c>
      <c r="M40" s="3"/>
      <c r="N40" s="7">
        <f t="shared" si="23"/>
        <v>-0.49458503858716896</v>
      </c>
      <c r="O40" s="11"/>
      <c r="P40" s="8">
        <v>2994.99</v>
      </c>
      <c r="Q40" s="3"/>
      <c r="R40" s="7">
        <f t="shared" si="24"/>
        <v>0.15201212446662346</v>
      </c>
      <c r="S40" s="3"/>
      <c r="T40" s="8">
        <v>5925.8040000000001</v>
      </c>
      <c r="U40" s="3"/>
      <c r="V40" s="7">
        <f t="shared" si="25"/>
        <v>0.97930986613782844</v>
      </c>
      <c r="W40" s="3"/>
      <c r="X40" s="8">
        <f t="shared" si="26"/>
        <v>-2930.8140000000003</v>
      </c>
      <c r="Y40" s="3"/>
      <c r="Z40" s="7">
        <f t="shared" si="27"/>
        <v>-0.49458503858716896</v>
      </c>
    </row>
    <row r="41" spans="1:26" s="24" customFormat="1" hidden="1" outlineLevel="2" x14ac:dyDescent="0.3">
      <c r="A41" s="29"/>
      <c r="B41" s="11" t="str">
        <f>CONCATENATE("          ", "6005", " - ", "TEMPORARY WAGES-HOURLY")</f>
        <v xml:space="preserve">          6005 - TEMPORARY WAGES-HOURLY</v>
      </c>
      <c r="C41" s="11"/>
      <c r="D41" s="8">
        <v>1811.06</v>
      </c>
      <c r="E41" s="3"/>
      <c r="F41" s="7">
        <f t="shared" si="20"/>
        <v>9.1921201118041501E-2</v>
      </c>
      <c r="G41" s="3"/>
      <c r="H41" s="8">
        <v>0</v>
      </c>
      <c r="I41" s="3"/>
      <c r="J41" s="7">
        <f t="shared" si="21"/>
        <v>0</v>
      </c>
      <c r="K41" s="3"/>
      <c r="L41" s="8">
        <f t="shared" si="22"/>
        <v>1811.06</v>
      </c>
      <c r="M41" s="3"/>
      <c r="N41" s="7">
        <f t="shared" si="23"/>
        <v>0</v>
      </c>
      <c r="O41" s="11"/>
      <c r="P41" s="8">
        <v>1811.06</v>
      </c>
      <c r="Q41" s="3"/>
      <c r="R41" s="7">
        <f t="shared" si="24"/>
        <v>9.1921201118041501E-2</v>
      </c>
      <c r="S41" s="3"/>
      <c r="T41" s="8">
        <v>0</v>
      </c>
      <c r="U41" s="3"/>
      <c r="V41" s="7">
        <f t="shared" si="25"/>
        <v>0</v>
      </c>
      <c r="W41" s="3"/>
      <c r="X41" s="8">
        <f t="shared" si="26"/>
        <v>1811.06</v>
      </c>
      <c r="Y41" s="3"/>
      <c r="Z41" s="7">
        <f t="shared" si="27"/>
        <v>0</v>
      </c>
    </row>
    <row r="42" spans="1:26" s="24" customFormat="1" hidden="1" outlineLevel="2" x14ac:dyDescent="0.3">
      <c r="A42" s="29"/>
      <c r="B42" s="11" t="str">
        <f>CONCATENATE("          ", "6006", " - ", "TEMPORARY PART TIME")</f>
        <v xml:space="preserve">          6006 - TEMPORARY PART TIME</v>
      </c>
      <c r="C42" s="11"/>
      <c r="D42" s="8"/>
      <c r="E42" s="3"/>
      <c r="F42" s="7">
        <f t="shared" si="20"/>
        <v>0</v>
      </c>
      <c r="G42" s="3"/>
      <c r="H42" s="8">
        <v>0</v>
      </c>
      <c r="I42" s="3"/>
      <c r="J42" s="7">
        <f t="shared" si="21"/>
        <v>0</v>
      </c>
      <c r="K42" s="3"/>
      <c r="L42" s="8">
        <f t="shared" si="22"/>
        <v>0</v>
      </c>
      <c r="M42" s="3"/>
      <c r="N42" s="7">
        <f t="shared" si="23"/>
        <v>0</v>
      </c>
      <c r="O42" s="11"/>
      <c r="P42" s="8"/>
      <c r="Q42" s="3"/>
      <c r="R42" s="7">
        <f t="shared" si="24"/>
        <v>0</v>
      </c>
      <c r="S42" s="3"/>
      <c r="T42" s="8">
        <v>0</v>
      </c>
      <c r="U42" s="3"/>
      <c r="V42" s="7">
        <f t="shared" si="25"/>
        <v>0</v>
      </c>
      <c r="W42" s="3"/>
      <c r="X42" s="8">
        <f t="shared" si="26"/>
        <v>0</v>
      </c>
      <c r="Y42" s="3"/>
      <c r="Z42" s="7">
        <f t="shared" si="27"/>
        <v>0</v>
      </c>
    </row>
    <row r="43" spans="1:26" s="24" customFormat="1" hidden="1" outlineLevel="2" x14ac:dyDescent="0.3">
      <c r="A43" s="29"/>
      <c r="B43" s="11" t="str">
        <f>CONCATENATE("          ", "6007", " - ", "STUDENT HOURLY")</f>
        <v xml:space="preserve">          6007 - STUDENT HOURLY</v>
      </c>
      <c r="C43" s="11"/>
      <c r="D43" s="8">
        <v>1383</v>
      </c>
      <c r="E43" s="3"/>
      <c r="F43" s="7">
        <f t="shared" si="20"/>
        <v>7.0194814719695312E-2</v>
      </c>
      <c r="G43" s="3"/>
      <c r="H43" s="8">
        <v>0</v>
      </c>
      <c r="I43" s="3"/>
      <c r="J43" s="7">
        <f t="shared" si="21"/>
        <v>0</v>
      </c>
      <c r="K43" s="3"/>
      <c r="L43" s="8">
        <f t="shared" si="22"/>
        <v>1383</v>
      </c>
      <c r="M43" s="3"/>
      <c r="N43" s="7">
        <f t="shared" si="23"/>
        <v>0</v>
      </c>
      <c r="O43" s="11"/>
      <c r="P43" s="8">
        <v>1383</v>
      </c>
      <c r="Q43" s="3"/>
      <c r="R43" s="7">
        <f t="shared" si="24"/>
        <v>7.0194814719695312E-2</v>
      </c>
      <c r="S43" s="3"/>
      <c r="T43" s="8">
        <v>0</v>
      </c>
      <c r="U43" s="3"/>
      <c r="V43" s="7">
        <f t="shared" si="25"/>
        <v>0</v>
      </c>
      <c r="W43" s="3"/>
      <c r="X43" s="8">
        <f t="shared" si="26"/>
        <v>1383</v>
      </c>
      <c r="Y43" s="3"/>
      <c r="Z43" s="7">
        <f t="shared" si="27"/>
        <v>0</v>
      </c>
    </row>
    <row r="44" spans="1:26" s="24" customFormat="1" hidden="1" outlineLevel="2" x14ac:dyDescent="0.3">
      <c r="A44" s="29"/>
      <c r="B44" s="11" t="str">
        <f>CONCATENATE("          ", "6008", " - ", "STUDENT HOURLY-FICA EXEMPT")</f>
        <v xml:space="preserve">          6008 - STUDENT HOURLY-FICA EXEMPT</v>
      </c>
      <c r="C44" s="11"/>
      <c r="D44" s="8"/>
      <c r="E44" s="3"/>
      <c r="F44" s="7">
        <f t="shared" si="20"/>
        <v>0</v>
      </c>
      <c r="G44" s="3"/>
      <c r="H44" s="8">
        <v>0</v>
      </c>
      <c r="I44" s="3"/>
      <c r="J44" s="7">
        <f t="shared" si="21"/>
        <v>0</v>
      </c>
      <c r="K44" s="3"/>
      <c r="L44" s="8">
        <f t="shared" si="22"/>
        <v>0</v>
      </c>
      <c r="M44" s="3"/>
      <c r="N44" s="7">
        <f t="shared" si="23"/>
        <v>0</v>
      </c>
      <c r="O44" s="11"/>
      <c r="P44" s="8"/>
      <c r="Q44" s="3"/>
      <c r="R44" s="7">
        <f t="shared" si="24"/>
        <v>0</v>
      </c>
      <c r="S44" s="3"/>
      <c r="T44" s="8">
        <v>0</v>
      </c>
      <c r="U44" s="3"/>
      <c r="V44" s="7">
        <f t="shared" si="25"/>
        <v>0</v>
      </c>
      <c r="W44" s="3"/>
      <c r="X44" s="8">
        <f t="shared" si="26"/>
        <v>0</v>
      </c>
      <c r="Y44" s="3"/>
      <c r="Z44" s="7">
        <f t="shared" si="27"/>
        <v>0</v>
      </c>
    </row>
    <row r="45" spans="1:26" s="24" customFormat="1" hidden="1" outlineLevel="2" x14ac:dyDescent="0.3">
      <c r="A45" s="29"/>
      <c r="B45" s="11" t="str">
        <f>CONCATENATE("          ", "6009", " - ", "TEMPORARY-SEASONAL")</f>
        <v xml:space="preserve">          6009 - TEMPORARY-SEASONAL</v>
      </c>
      <c r="C45" s="11"/>
      <c r="D45" s="8"/>
      <c r="E45" s="3"/>
      <c r="F45" s="7">
        <f t="shared" si="20"/>
        <v>0</v>
      </c>
      <c r="G45" s="3"/>
      <c r="H45" s="8">
        <v>0</v>
      </c>
      <c r="I45" s="3"/>
      <c r="J45" s="7">
        <f t="shared" si="21"/>
        <v>0</v>
      </c>
      <c r="K45" s="3"/>
      <c r="L45" s="8">
        <f t="shared" si="22"/>
        <v>0</v>
      </c>
      <c r="M45" s="3"/>
      <c r="N45" s="7">
        <f t="shared" si="23"/>
        <v>0</v>
      </c>
      <c r="O45" s="11"/>
      <c r="P45" s="8"/>
      <c r="Q45" s="3"/>
      <c r="R45" s="7">
        <f t="shared" si="24"/>
        <v>0</v>
      </c>
      <c r="S45" s="3"/>
      <c r="T45" s="8">
        <v>0</v>
      </c>
      <c r="U45" s="3"/>
      <c r="V45" s="7">
        <f t="shared" si="25"/>
        <v>0</v>
      </c>
      <c r="W45" s="3"/>
      <c r="X45" s="8">
        <f t="shared" si="26"/>
        <v>0</v>
      </c>
      <c r="Y45" s="3"/>
      <c r="Z45" s="7">
        <f t="shared" si="27"/>
        <v>0</v>
      </c>
    </row>
    <row r="46" spans="1:26" s="24" customFormat="1" hidden="1" outlineLevel="2" x14ac:dyDescent="0.3">
      <c r="A46" s="29"/>
      <c r="B46" s="11" t="str">
        <f>CONCATENATE("          ", "6010", " - ", "GRATUITY")</f>
        <v xml:space="preserve">          6010 - GRATUITY</v>
      </c>
      <c r="C46" s="11"/>
      <c r="D46" s="8"/>
      <c r="E46" s="3"/>
      <c r="F46" s="7">
        <f t="shared" si="20"/>
        <v>0</v>
      </c>
      <c r="G46" s="3"/>
      <c r="H46" s="8">
        <v>0</v>
      </c>
      <c r="I46" s="3"/>
      <c r="J46" s="7">
        <f t="shared" si="21"/>
        <v>0</v>
      </c>
      <c r="K46" s="3"/>
      <c r="L46" s="8">
        <f t="shared" si="22"/>
        <v>0</v>
      </c>
      <c r="M46" s="3"/>
      <c r="N46" s="7">
        <f t="shared" si="23"/>
        <v>0</v>
      </c>
      <c r="O46" s="11"/>
      <c r="P46" s="8"/>
      <c r="Q46" s="3"/>
      <c r="R46" s="7">
        <f t="shared" si="24"/>
        <v>0</v>
      </c>
      <c r="S46" s="3"/>
      <c r="T46" s="8">
        <v>0</v>
      </c>
      <c r="U46" s="3"/>
      <c r="V46" s="7">
        <f t="shared" si="25"/>
        <v>0</v>
      </c>
      <c r="W46" s="3"/>
      <c r="X46" s="8">
        <f t="shared" si="26"/>
        <v>0</v>
      </c>
      <c r="Y46" s="3"/>
      <c r="Z46" s="7">
        <f t="shared" si="27"/>
        <v>0</v>
      </c>
    </row>
    <row r="47" spans="1:26" s="27" customFormat="1" outlineLevel="1" collapsed="1" x14ac:dyDescent="0.3">
      <c r="A47" s="28"/>
      <c r="B47" s="14" t="str">
        <f>CONCATENATE("     ","Advertising/Promo                                 ")</f>
        <v xml:space="preserve">     Advertising/Promo                                 </v>
      </c>
      <c r="C47" s="14"/>
      <c r="D47" s="1">
        <f>SUM(OSRRefD22_2x_0)</f>
        <v>127.33</v>
      </c>
      <c r="E47" s="1"/>
      <c r="F47" s="5">
        <f t="shared" ref="F47:F55" si="28">IF(D$12=0,0,D47/D$12)</f>
        <v>6.4626939683722368E-3</v>
      </c>
      <c r="G47" s="1"/>
      <c r="H47" s="1">
        <f>SUM(OSRRefH22_2x_0)</f>
        <v>0</v>
      </c>
      <c r="I47" s="1"/>
      <c r="J47" s="5">
        <f t="shared" ref="J47:J55" si="29">IF(H$12=0,0,H47/H$12)</f>
        <v>0</v>
      </c>
      <c r="K47" s="1"/>
      <c r="L47" s="1">
        <f t="shared" ref="L47:L55" si="30">+D47-H47</f>
        <v>127.33</v>
      </c>
      <c r="M47" s="1"/>
      <c r="N47" s="5">
        <f t="shared" ref="N47:N55" si="31">IF(H47=0,0,L47/H47)</f>
        <v>0</v>
      </c>
      <c r="O47" s="14"/>
      <c r="P47" s="1">
        <f>SUM(OSRRefP22_2x_0)</f>
        <v>127.33</v>
      </c>
      <c r="Q47" s="1"/>
      <c r="R47" s="5">
        <f t="shared" ref="R47:R55" si="32">IF(P$12=0,0,P47/P$12)</f>
        <v>6.4626939683722368E-3</v>
      </c>
      <c r="S47" s="1"/>
      <c r="T47" s="1">
        <f>SUM(OSRRefT22_2x_0)</f>
        <v>0</v>
      </c>
      <c r="U47" s="1"/>
      <c r="V47" s="5">
        <f t="shared" ref="V47:V55" si="33">IF(T$12=0,0,T47/T$12)</f>
        <v>0</v>
      </c>
      <c r="W47" s="1"/>
      <c r="X47" s="1">
        <f t="shared" ref="X47:X55" si="34">+P47-T47</f>
        <v>127.33</v>
      </c>
      <c r="Y47" s="1"/>
      <c r="Z47" s="5">
        <f t="shared" ref="Z47:Z55" si="35">IF(T47=0,0,X47/T47)</f>
        <v>0</v>
      </c>
    </row>
    <row r="48" spans="1:26" s="24" customFormat="1" hidden="1" outlineLevel="2" x14ac:dyDescent="0.3">
      <c r="A48" s="29"/>
      <c r="B48" s="11" t="str">
        <f>CONCATENATE("          ", "6362", " - ", "ADVERTISING EXPENSE")</f>
        <v xml:space="preserve">          6362 - ADVERTISING EXPENSE</v>
      </c>
      <c r="C48" s="11"/>
      <c r="D48" s="8">
        <v>127.33</v>
      </c>
      <c r="E48" s="3"/>
      <c r="F48" s="7">
        <f t="shared" si="28"/>
        <v>6.4626939683722368E-3</v>
      </c>
      <c r="G48" s="3"/>
      <c r="H48" s="8"/>
      <c r="I48" s="3"/>
      <c r="J48" s="7">
        <f t="shared" si="29"/>
        <v>0</v>
      </c>
      <c r="K48" s="3"/>
      <c r="L48" s="8">
        <f t="shared" si="30"/>
        <v>127.33</v>
      </c>
      <c r="M48" s="3"/>
      <c r="N48" s="7">
        <f t="shared" si="31"/>
        <v>0</v>
      </c>
      <c r="O48" s="11"/>
      <c r="P48" s="8">
        <v>127.33</v>
      </c>
      <c r="Q48" s="3"/>
      <c r="R48" s="7">
        <f t="shared" si="32"/>
        <v>6.4626939683722368E-3</v>
      </c>
      <c r="S48" s="3"/>
      <c r="T48" s="8"/>
      <c r="U48" s="3"/>
      <c r="V48" s="7">
        <f t="shared" si="33"/>
        <v>0</v>
      </c>
      <c r="W48" s="3"/>
      <c r="X48" s="8">
        <f t="shared" si="34"/>
        <v>127.33</v>
      </c>
      <c r="Y48" s="3"/>
      <c r="Z48" s="7">
        <f t="shared" si="35"/>
        <v>0</v>
      </c>
    </row>
    <row r="49" spans="1:26" s="27" customFormat="1" outlineLevel="1" collapsed="1" x14ac:dyDescent="0.3">
      <c r="A49" s="28"/>
      <c r="B49" s="14" t="str">
        <f>CONCATENATE("     ","Bad Debts/Over/Short                              ")</f>
        <v xml:space="preserve">     Bad Debts/Over/Short                              </v>
      </c>
      <c r="C49" s="14"/>
      <c r="D49" s="1">
        <f>SUM(OSRRefD22_3x_0)</f>
        <v>-19.02</v>
      </c>
      <c r="E49" s="1"/>
      <c r="F49" s="5">
        <f t="shared" si="28"/>
        <v>-9.6536903540752337E-4</v>
      </c>
      <c r="G49" s="1"/>
      <c r="H49" s="1">
        <f>SUM(OSRRefH22_3x_0)</f>
        <v>10</v>
      </c>
      <c r="I49" s="1"/>
      <c r="J49" s="5">
        <f t="shared" si="29"/>
        <v>1.6526194017517765E-3</v>
      </c>
      <c r="K49" s="1"/>
      <c r="L49" s="1">
        <f t="shared" si="30"/>
        <v>-29.02</v>
      </c>
      <c r="M49" s="1"/>
      <c r="N49" s="5">
        <f t="shared" si="31"/>
        <v>-2.9020000000000001</v>
      </c>
      <c r="O49" s="14"/>
      <c r="P49" s="1">
        <f>SUM(OSRRefP22_3x_0)</f>
        <v>-19.02</v>
      </c>
      <c r="Q49" s="1"/>
      <c r="R49" s="5">
        <f t="shared" si="32"/>
        <v>-9.6536903540752337E-4</v>
      </c>
      <c r="S49" s="1"/>
      <c r="T49" s="1">
        <f>SUM(OSRRefT22_3x_0)</f>
        <v>10</v>
      </c>
      <c r="U49" s="1"/>
      <c r="V49" s="5">
        <f t="shared" si="33"/>
        <v>1.6526194017517765E-3</v>
      </c>
      <c r="W49" s="1"/>
      <c r="X49" s="1">
        <f t="shared" si="34"/>
        <v>-29.02</v>
      </c>
      <c r="Y49" s="1"/>
      <c r="Z49" s="5">
        <f t="shared" si="35"/>
        <v>-2.9020000000000001</v>
      </c>
    </row>
    <row r="50" spans="1:26" s="24" customFormat="1" hidden="1" outlineLevel="2" x14ac:dyDescent="0.3">
      <c r="A50" s="29"/>
      <c r="B50" s="11" t="str">
        <f>CONCATENATE("          ", "6272", " - ", "CASH (OVER/SHORT)")</f>
        <v xml:space="preserve">          6272 - CASH (OVER/SHORT)</v>
      </c>
      <c r="C50" s="11"/>
      <c r="D50" s="8">
        <v>-19.02</v>
      </c>
      <c r="E50" s="3"/>
      <c r="F50" s="7">
        <f t="shared" si="28"/>
        <v>-9.6536903540752337E-4</v>
      </c>
      <c r="G50" s="3"/>
      <c r="H50" s="8">
        <v>10</v>
      </c>
      <c r="I50" s="3"/>
      <c r="J50" s="7">
        <f t="shared" si="29"/>
        <v>1.6526194017517765E-3</v>
      </c>
      <c r="K50" s="3"/>
      <c r="L50" s="8">
        <f t="shared" si="30"/>
        <v>-29.02</v>
      </c>
      <c r="M50" s="3"/>
      <c r="N50" s="7">
        <f t="shared" si="31"/>
        <v>-2.9020000000000001</v>
      </c>
      <c r="O50" s="11"/>
      <c r="P50" s="8">
        <v>-19.02</v>
      </c>
      <c r="Q50" s="3"/>
      <c r="R50" s="7">
        <f t="shared" si="32"/>
        <v>-9.6536903540752337E-4</v>
      </c>
      <c r="S50" s="3"/>
      <c r="T50" s="8">
        <v>10</v>
      </c>
      <c r="U50" s="3"/>
      <c r="V50" s="7">
        <f t="shared" si="33"/>
        <v>1.6526194017517765E-3</v>
      </c>
      <c r="W50" s="3"/>
      <c r="X50" s="8">
        <f t="shared" si="34"/>
        <v>-29.02</v>
      </c>
      <c r="Y50" s="3"/>
      <c r="Z50" s="7">
        <f t="shared" si="35"/>
        <v>-2.9020000000000001</v>
      </c>
    </row>
    <row r="51" spans="1:26" s="27" customFormat="1" outlineLevel="1" collapsed="1" x14ac:dyDescent="0.3">
      <c r="A51" s="28"/>
      <c r="B51" s="14" t="str">
        <f>CONCATENATE("     ","Bank/card Fees                                    ")</f>
        <v xml:space="preserve">     Bank/card Fees                                    </v>
      </c>
      <c r="C51" s="14"/>
      <c r="D51" s="1">
        <f>SUM(OSRRefD22_4x_0)</f>
        <v>690.24</v>
      </c>
      <c r="E51" s="1"/>
      <c r="F51" s="5">
        <f t="shared" si="28"/>
        <v>3.5033455467912145E-2</v>
      </c>
      <c r="G51" s="1"/>
      <c r="H51" s="1">
        <f>SUM(OSRRefH22_4x_0)</f>
        <v>303</v>
      </c>
      <c r="I51" s="1"/>
      <c r="J51" s="5">
        <f t="shared" si="29"/>
        <v>5.0074367873078833E-2</v>
      </c>
      <c r="K51" s="1"/>
      <c r="L51" s="1">
        <f t="shared" si="30"/>
        <v>387.24</v>
      </c>
      <c r="M51" s="1"/>
      <c r="N51" s="5">
        <f t="shared" si="31"/>
        <v>1.278019801980198</v>
      </c>
      <c r="O51" s="14"/>
      <c r="P51" s="1">
        <f>SUM(OSRRefP22_4x_0)</f>
        <v>690.24</v>
      </c>
      <c r="Q51" s="1"/>
      <c r="R51" s="5">
        <f t="shared" si="32"/>
        <v>3.5033455467912145E-2</v>
      </c>
      <c r="S51" s="1"/>
      <c r="T51" s="1">
        <f>SUM(OSRRefT22_4x_0)</f>
        <v>303</v>
      </c>
      <c r="U51" s="1"/>
      <c r="V51" s="5">
        <f t="shared" si="33"/>
        <v>5.0074367873078833E-2</v>
      </c>
      <c r="W51" s="1"/>
      <c r="X51" s="1">
        <f t="shared" si="34"/>
        <v>387.24</v>
      </c>
      <c r="Y51" s="1"/>
      <c r="Z51" s="5">
        <f t="shared" si="35"/>
        <v>1.278019801980198</v>
      </c>
    </row>
    <row r="52" spans="1:26" s="24" customFormat="1" hidden="1" outlineLevel="2" x14ac:dyDescent="0.3">
      <c r="A52" s="29"/>
      <c r="B52" s="11" t="str">
        <f>CONCATENATE("          ", "6381", " - ", "BANK/CREDIT CARD FEES")</f>
        <v xml:space="preserve">          6381 - BANK/CREDIT CARD FEES</v>
      </c>
      <c r="C52" s="11"/>
      <c r="D52" s="8">
        <v>690.24</v>
      </c>
      <c r="E52" s="3"/>
      <c r="F52" s="7">
        <f t="shared" si="28"/>
        <v>3.5033455467912145E-2</v>
      </c>
      <c r="G52" s="3"/>
      <c r="H52" s="8">
        <v>303</v>
      </c>
      <c r="I52" s="3"/>
      <c r="J52" s="7">
        <f t="shared" si="29"/>
        <v>5.0074367873078833E-2</v>
      </c>
      <c r="K52" s="3"/>
      <c r="L52" s="8">
        <f t="shared" si="30"/>
        <v>387.24</v>
      </c>
      <c r="M52" s="3"/>
      <c r="N52" s="7">
        <f t="shared" si="31"/>
        <v>1.278019801980198</v>
      </c>
      <c r="O52" s="11"/>
      <c r="P52" s="8">
        <v>690.24</v>
      </c>
      <c r="Q52" s="3"/>
      <c r="R52" s="7">
        <f t="shared" si="32"/>
        <v>3.5033455467912145E-2</v>
      </c>
      <c r="S52" s="3"/>
      <c r="T52" s="8">
        <v>303</v>
      </c>
      <c r="U52" s="3"/>
      <c r="V52" s="7">
        <f t="shared" si="33"/>
        <v>5.0074367873078833E-2</v>
      </c>
      <c r="W52" s="3"/>
      <c r="X52" s="8">
        <f t="shared" si="34"/>
        <v>387.24</v>
      </c>
      <c r="Y52" s="3"/>
      <c r="Z52" s="7">
        <f t="shared" si="35"/>
        <v>1.278019801980198</v>
      </c>
    </row>
    <row r="53" spans="1:26" s="27" customFormat="1" outlineLevel="1" collapsed="1" x14ac:dyDescent="0.3">
      <c r="A53" s="28"/>
      <c r="B53" s="14" t="str">
        <f>CONCATENATE("     ","Depreciation                                      ")</f>
        <v xml:space="preserve">     Depreciation                                      </v>
      </c>
      <c r="C53" s="14"/>
      <c r="D53" s="1">
        <f>SUM(OSRRefD22_5x_0)</f>
        <v>14007.34</v>
      </c>
      <c r="E53" s="1"/>
      <c r="F53" s="5">
        <f t="shared" si="28"/>
        <v>0.71094912220952777</v>
      </c>
      <c r="G53" s="1"/>
      <c r="H53" s="1">
        <f>SUM(OSRRefH22_5x_0)</f>
        <v>13902</v>
      </c>
      <c r="I53" s="1"/>
      <c r="J53" s="5">
        <f t="shared" si="29"/>
        <v>2.2974714923153199</v>
      </c>
      <c r="K53" s="1"/>
      <c r="L53" s="1">
        <f t="shared" si="30"/>
        <v>105.34000000000015</v>
      </c>
      <c r="M53" s="1"/>
      <c r="N53" s="5">
        <f t="shared" si="31"/>
        <v>7.577327003308887E-3</v>
      </c>
      <c r="O53" s="14"/>
      <c r="P53" s="1">
        <f>SUM(OSRRefP22_5x_0)</f>
        <v>14007.34</v>
      </c>
      <c r="Q53" s="1"/>
      <c r="R53" s="5">
        <f t="shared" si="32"/>
        <v>0.71094912220952777</v>
      </c>
      <c r="S53" s="1"/>
      <c r="T53" s="1">
        <f>SUM(OSRRefT22_5x_0)</f>
        <v>13902</v>
      </c>
      <c r="U53" s="1"/>
      <c r="V53" s="5">
        <f t="shared" si="33"/>
        <v>2.2974714923153199</v>
      </c>
      <c r="W53" s="1"/>
      <c r="X53" s="1">
        <f t="shared" si="34"/>
        <v>105.34000000000015</v>
      </c>
      <c r="Y53" s="1"/>
      <c r="Z53" s="5">
        <f t="shared" si="35"/>
        <v>7.577327003308887E-3</v>
      </c>
    </row>
    <row r="54" spans="1:26" s="24" customFormat="1" hidden="1" outlineLevel="2" x14ac:dyDescent="0.3">
      <c r="A54" s="29"/>
      <c r="B54" s="11" t="str">
        <f>CONCATENATE("          ", "6321", " - ", "BUILDING DEPRECIATION")</f>
        <v xml:space="preserve">          6321 - BUILDING DEPRECIATION</v>
      </c>
      <c r="C54" s="11"/>
      <c r="D54" s="8">
        <v>10597.26</v>
      </c>
      <c r="E54" s="3"/>
      <c r="F54" s="7">
        <f t="shared" si="28"/>
        <v>0.53786890978773561</v>
      </c>
      <c r="G54" s="3"/>
      <c r="H54" s="8"/>
      <c r="I54" s="3"/>
      <c r="J54" s="7">
        <f t="shared" si="29"/>
        <v>0</v>
      </c>
      <c r="K54" s="3"/>
      <c r="L54" s="8">
        <f t="shared" si="30"/>
        <v>10597.26</v>
      </c>
      <c r="M54" s="3"/>
      <c r="N54" s="7">
        <f t="shared" si="31"/>
        <v>0</v>
      </c>
      <c r="O54" s="11"/>
      <c r="P54" s="8">
        <v>10597.26</v>
      </c>
      <c r="Q54" s="3"/>
      <c r="R54" s="7">
        <f t="shared" si="32"/>
        <v>0.53786890978773561</v>
      </c>
      <c r="S54" s="3"/>
      <c r="T54" s="8"/>
      <c r="U54" s="3"/>
      <c r="V54" s="7">
        <f t="shared" si="33"/>
        <v>0</v>
      </c>
      <c r="W54" s="3"/>
      <c r="X54" s="8">
        <f t="shared" si="34"/>
        <v>10597.26</v>
      </c>
      <c r="Y54" s="3"/>
      <c r="Z54" s="7">
        <f t="shared" si="35"/>
        <v>0</v>
      </c>
    </row>
    <row r="55" spans="1:26" s="24" customFormat="1" hidden="1" outlineLevel="2" x14ac:dyDescent="0.3">
      <c r="A55" s="29"/>
      <c r="B55" s="11" t="str">
        <f>CONCATENATE("          ", "6322", " - ", "EQUIPMENT DEPRECIATION EXPENSE")</f>
        <v xml:space="preserve">          6322 - EQUIPMENT DEPRECIATION EXPENSE</v>
      </c>
      <c r="C55" s="11"/>
      <c r="D55" s="8">
        <v>3410.08</v>
      </c>
      <c r="E55" s="3"/>
      <c r="F55" s="7">
        <f t="shared" si="28"/>
        <v>0.1730802124217922</v>
      </c>
      <c r="G55" s="3"/>
      <c r="H55" s="8">
        <v>13902</v>
      </c>
      <c r="I55" s="3"/>
      <c r="J55" s="7">
        <f t="shared" si="29"/>
        <v>2.2974714923153199</v>
      </c>
      <c r="K55" s="3"/>
      <c r="L55" s="8">
        <f t="shared" si="30"/>
        <v>-10491.92</v>
      </c>
      <c r="M55" s="3"/>
      <c r="N55" s="7">
        <f t="shared" si="31"/>
        <v>-0.75470579772694579</v>
      </c>
      <c r="O55" s="11"/>
      <c r="P55" s="8">
        <v>3410.08</v>
      </c>
      <c r="Q55" s="3"/>
      <c r="R55" s="7">
        <f t="shared" si="32"/>
        <v>0.1730802124217922</v>
      </c>
      <c r="S55" s="3"/>
      <c r="T55" s="8">
        <v>13902</v>
      </c>
      <c r="U55" s="3"/>
      <c r="V55" s="7">
        <f t="shared" si="33"/>
        <v>2.2974714923153199</v>
      </c>
      <c r="W55" s="3"/>
      <c r="X55" s="8">
        <f t="shared" si="34"/>
        <v>-10491.92</v>
      </c>
      <c r="Y55" s="3"/>
      <c r="Z55" s="7">
        <f t="shared" si="35"/>
        <v>-0.75470579772694579</v>
      </c>
    </row>
    <row r="56" spans="1:26" s="27" customFormat="1" outlineLevel="1" collapsed="1" x14ac:dyDescent="0.3">
      <c r="A56" s="28"/>
      <c r="B56" s="14" t="str">
        <f>CONCATENATE("     ","Equipment Rental                                  ")</f>
        <v xml:space="preserve">     Equipment Rental                                  </v>
      </c>
      <c r="C56" s="14"/>
      <c r="D56" s="1">
        <f>SUM(OSRRefD22_6x_0)</f>
        <v>161.19999999999999</v>
      </c>
      <c r="E56" s="1"/>
      <c r="F56" s="5">
        <f t="shared" ref="F56:F66" si="36">IF(D$12=0,0,D56/D$12)</f>
        <v>8.1817817301626065E-3</v>
      </c>
      <c r="G56" s="1"/>
      <c r="H56" s="1">
        <f>SUM(OSRRefH22_6x_0)</f>
        <v>275</v>
      </c>
      <c r="I56" s="1"/>
      <c r="J56" s="5">
        <f t="shared" ref="J56:J66" si="37">IF(H$12=0,0,H56/H$12)</f>
        <v>4.5447033548173858E-2</v>
      </c>
      <c r="K56" s="1"/>
      <c r="L56" s="1">
        <f t="shared" ref="L56:L66" si="38">+D56-H56</f>
        <v>-113.80000000000001</v>
      </c>
      <c r="M56" s="1"/>
      <c r="N56" s="5">
        <f t="shared" ref="N56:N66" si="39">IF(H56=0,0,L56/H56)</f>
        <v>-0.41381818181818186</v>
      </c>
      <c r="O56" s="14"/>
      <c r="P56" s="1">
        <f>SUM(OSRRefP22_6x_0)</f>
        <v>161.19999999999999</v>
      </c>
      <c r="Q56" s="1"/>
      <c r="R56" s="5">
        <f t="shared" ref="R56:R66" si="40">IF(P$12=0,0,P56/P$12)</f>
        <v>8.1817817301626065E-3</v>
      </c>
      <c r="S56" s="1"/>
      <c r="T56" s="1">
        <f>SUM(OSRRefT22_6x_0)</f>
        <v>275</v>
      </c>
      <c r="U56" s="1"/>
      <c r="V56" s="5">
        <f t="shared" ref="V56:V66" si="41">IF(T$12=0,0,T56/T$12)</f>
        <v>4.5447033548173858E-2</v>
      </c>
      <c r="W56" s="1"/>
      <c r="X56" s="1">
        <f t="shared" ref="X56:X66" si="42">+P56-T56</f>
        <v>-113.80000000000001</v>
      </c>
      <c r="Y56" s="1"/>
      <c r="Z56" s="5">
        <f t="shared" ref="Z56:Z66" si="43">IF(T56=0,0,X56/T56)</f>
        <v>-0.41381818181818186</v>
      </c>
    </row>
    <row r="57" spans="1:26" s="24" customFormat="1" hidden="1" outlineLevel="2" x14ac:dyDescent="0.3">
      <c r="A57" s="29"/>
      <c r="B57" s="11" t="str">
        <f>CONCATENATE("          ", "6351", " - ", "EQUIPMENT RENTAL")</f>
        <v xml:space="preserve">          6351 - EQUIPMENT RENTAL</v>
      </c>
      <c r="C57" s="11"/>
      <c r="D57" s="8">
        <v>161.19999999999999</v>
      </c>
      <c r="E57" s="3"/>
      <c r="F57" s="7">
        <f t="shared" si="36"/>
        <v>8.1817817301626065E-3</v>
      </c>
      <c r="G57" s="3"/>
      <c r="H57" s="8">
        <v>275</v>
      </c>
      <c r="I57" s="3"/>
      <c r="J57" s="7">
        <f t="shared" si="37"/>
        <v>4.5447033548173858E-2</v>
      </c>
      <c r="K57" s="3"/>
      <c r="L57" s="8">
        <f t="shared" si="38"/>
        <v>-113.80000000000001</v>
      </c>
      <c r="M57" s="3"/>
      <c r="N57" s="7">
        <f t="shared" si="39"/>
        <v>-0.41381818181818186</v>
      </c>
      <c r="O57" s="11"/>
      <c r="P57" s="8">
        <v>161.19999999999999</v>
      </c>
      <c r="Q57" s="3"/>
      <c r="R57" s="7">
        <f t="shared" si="40"/>
        <v>8.1817817301626065E-3</v>
      </c>
      <c r="S57" s="3"/>
      <c r="T57" s="8">
        <v>275</v>
      </c>
      <c r="U57" s="3"/>
      <c r="V57" s="7">
        <f t="shared" si="41"/>
        <v>4.5447033548173858E-2</v>
      </c>
      <c r="W57" s="3"/>
      <c r="X57" s="8">
        <f t="shared" si="42"/>
        <v>-113.80000000000001</v>
      </c>
      <c r="Y57" s="3"/>
      <c r="Z57" s="7">
        <f t="shared" si="43"/>
        <v>-0.41381818181818186</v>
      </c>
    </row>
    <row r="58" spans="1:26" s="27" customFormat="1" outlineLevel="1" collapsed="1" x14ac:dyDescent="0.3">
      <c r="A58" s="28"/>
      <c r="B58" s="14" t="str">
        <f>CONCATENATE("     ","General                                           ")</f>
        <v xml:space="preserve">     General                                           </v>
      </c>
      <c r="C58" s="14"/>
      <c r="D58" s="1">
        <f>SUM(OSRRefD22_7x_0)</f>
        <v>42.77</v>
      </c>
      <c r="E58" s="1"/>
      <c r="F58" s="5">
        <f t="shared" si="36"/>
        <v>2.1708114429221754E-3</v>
      </c>
      <c r="G58" s="1"/>
      <c r="H58" s="1">
        <f>SUM(OSRRefH22_7x_0)</f>
        <v>1335</v>
      </c>
      <c r="I58" s="1"/>
      <c r="J58" s="5">
        <f t="shared" si="37"/>
        <v>0.22062469013386218</v>
      </c>
      <c r="K58" s="1"/>
      <c r="L58" s="1">
        <f t="shared" si="38"/>
        <v>-1292.23</v>
      </c>
      <c r="M58" s="1"/>
      <c r="N58" s="5">
        <f t="shared" si="39"/>
        <v>-0.96796254681647942</v>
      </c>
      <c r="O58" s="14"/>
      <c r="P58" s="1">
        <f>SUM(OSRRefP22_7x_0)</f>
        <v>42.77</v>
      </c>
      <c r="Q58" s="1"/>
      <c r="R58" s="5">
        <f t="shared" si="40"/>
        <v>2.1708114429221754E-3</v>
      </c>
      <c r="S58" s="1"/>
      <c r="T58" s="1">
        <f>SUM(OSRRefT22_7x_0)</f>
        <v>1335</v>
      </c>
      <c r="U58" s="1"/>
      <c r="V58" s="5">
        <f t="shared" si="41"/>
        <v>0.22062469013386218</v>
      </c>
      <c r="W58" s="1"/>
      <c r="X58" s="1">
        <f t="shared" si="42"/>
        <v>-1292.23</v>
      </c>
      <c r="Y58" s="1"/>
      <c r="Z58" s="5">
        <f t="shared" si="43"/>
        <v>-0.96796254681647942</v>
      </c>
    </row>
    <row r="59" spans="1:26" s="24" customFormat="1" hidden="1" outlineLevel="2" x14ac:dyDescent="0.3">
      <c r="A59" s="29"/>
      <c r="B59" s="11" t="str">
        <f>CONCATENATE("          ", "6279", " - ", "GENERAL EXPENSE")</f>
        <v xml:space="preserve">          6279 - GENERAL EXPENSE</v>
      </c>
      <c r="C59" s="11"/>
      <c r="D59" s="8">
        <v>42.77</v>
      </c>
      <c r="E59" s="3"/>
      <c r="F59" s="7">
        <f t="shared" si="36"/>
        <v>2.1708114429221754E-3</v>
      </c>
      <c r="G59" s="3"/>
      <c r="H59" s="8">
        <v>1335</v>
      </c>
      <c r="I59" s="3"/>
      <c r="J59" s="7">
        <f t="shared" si="37"/>
        <v>0.22062469013386218</v>
      </c>
      <c r="K59" s="3"/>
      <c r="L59" s="8">
        <f t="shared" si="38"/>
        <v>-1292.23</v>
      </c>
      <c r="M59" s="3"/>
      <c r="N59" s="7">
        <f t="shared" si="39"/>
        <v>-0.96796254681647942</v>
      </c>
      <c r="O59" s="11"/>
      <c r="P59" s="8">
        <v>42.77</v>
      </c>
      <c r="Q59" s="3"/>
      <c r="R59" s="7">
        <f t="shared" si="40"/>
        <v>2.1708114429221754E-3</v>
      </c>
      <c r="S59" s="3"/>
      <c r="T59" s="8">
        <v>1335</v>
      </c>
      <c r="U59" s="3"/>
      <c r="V59" s="7">
        <f t="shared" si="41"/>
        <v>0.22062469013386218</v>
      </c>
      <c r="W59" s="3"/>
      <c r="X59" s="8">
        <f t="shared" si="42"/>
        <v>-1292.23</v>
      </c>
      <c r="Y59" s="3"/>
      <c r="Z59" s="7">
        <f t="shared" si="43"/>
        <v>-0.96796254681647942</v>
      </c>
    </row>
    <row r="60" spans="1:26" s="27" customFormat="1" outlineLevel="1" collapsed="1" x14ac:dyDescent="0.3">
      <c r="A60" s="28"/>
      <c r="B60" s="14" t="str">
        <f>CONCATENATE("     ","Insurance                                         ")</f>
        <v xml:space="preserve">     Insurance                                         </v>
      </c>
      <c r="C60" s="14"/>
      <c r="D60" s="1">
        <f>SUM(OSRRefD22_8x_0)</f>
        <v>871.61</v>
      </c>
      <c r="E60" s="1"/>
      <c r="F60" s="5">
        <f t="shared" si="36"/>
        <v>4.4238975023740877E-2</v>
      </c>
      <c r="G60" s="1"/>
      <c r="H60" s="1">
        <f>SUM(OSRRefH22_8x_0)</f>
        <v>850</v>
      </c>
      <c r="I60" s="1"/>
      <c r="J60" s="5">
        <f t="shared" si="37"/>
        <v>0.14047264914890101</v>
      </c>
      <c r="K60" s="1"/>
      <c r="L60" s="1">
        <f t="shared" si="38"/>
        <v>21.610000000000014</v>
      </c>
      <c r="M60" s="1"/>
      <c r="N60" s="5">
        <f t="shared" si="39"/>
        <v>2.5423529411764723E-2</v>
      </c>
      <c r="O60" s="14"/>
      <c r="P60" s="1">
        <f>SUM(OSRRefP22_8x_0)</f>
        <v>871.61</v>
      </c>
      <c r="Q60" s="1"/>
      <c r="R60" s="5">
        <f t="shared" si="40"/>
        <v>4.4238975023740877E-2</v>
      </c>
      <c r="S60" s="1"/>
      <c r="T60" s="1">
        <f>SUM(OSRRefT22_8x_0)</f>
        <v>850</v>
      </c>
      <c r="U60" s="1"/>
      <c r="V60" s="5">
        <f t="shared" si="41"/>
        <v>0.14047264914890101</v>
      </c>
      <c r="W60" s="1"/>
      <c r="X60" s="1">
        <f t="shared" si="42"/>
        <v>21.610000000000014</v>
      </c>
      <c r="Y60" s="1"/>
      <c r="Z60" s="5">
        <f t="shared" si="43"/>
        <v>2.5423529411764723E-2</v>
      </c>
    </row>
    <row r="61" spans="1:26" s="24" customFormat="1" hidden="1" outlineLevel="2" x14ac:dyDescent="0.3">
      <c r="A61" s="29"/>
      <c r="B61" s="11" t="str">
        <f>CONCATENATE("          ", "6314", " - ", "LIABILITY INSURANCE")</f>
        <v xml:space="preserve">          6314 - LIABILITY INSURANCE</v>
      </c>
      <c r="C61" s="11"/>
      <c r="D61" s="8">
        <v>871.61</v>
      </c>
      <c r="E61" s="3"/>
      <c r="F61" s="7">
        <f t="shared" si="36"/>
        <v>4.4238975023740877E-2</v>
      </c>
      <c r="G61" s="3"/>
      <c r="H61" s="8">
        <v>850</v>
      </c>
      <c r="I61" s="3"/>
      <c r="J61" s="7">
        <f t="shared" si="37"/>
        <v>0.14047264914890101</v>
      </c>
      <c r="K61" s="3"/>
      <c r="L61" s="8">
        <f t="shared" si="38"/>
        <v>21.610000000000014</v>
      </c>
      <c r="M61" s="3"/>
      <c r="N61" s="7">
        <f t="shared" si="39"/>
        <v>2.5423529411764723E-2</v>
      </c>
      <c r="O61" s="11"/>
      <c r="P61" s="8">
        <v>871.61</v>
      </c>
      <c r="Q61" s="3"/>
      <c r="R61" s="7">
        <f t="shared" si="40"/>
        <v>4.4238975023740877E-2</v>
      </c>
      <c r="S61" s="3"/>
      <c r="T61" s="8">
        <v>850</v>
      </c>
      <c r="U61" s="3"/>
      <c r="V61" s="7">
        <f t="shared" si="41"/>
        <v>0.14047264914890101</v>
      </c>
      <c r="W61" s="3"/>
      <c r="X61" s="8">
        <f t="shared" si="42"/>
        <v>21.610000000000014</v>
      </c>
      <c r="Y61" s="3"/>
      <c r="Z61" s="7">
        <f t="shared" si="43"/>
        <v>2.5423529411764723E-2</v>
      </c>
    </row>
    <row r="62" spans="1:26" s="27" customFormat="1" outlineLevel="1" collapsed="1" x14ac:dyDescent="0.3">
      <c r="A62" s="28"/>
      <c r="B62" s="14" t="str">
        <f>CONCATENATE("     ","Interest                                          ")</f>
        <v xml:space="preserve">     Interest                                          </v>
      </c>
      <c r="C62" s="14"/>
      <c r="D62" s="1">
        <f>SUM(OSRRefD22_9x_0)</f>
        <v>7253</v>
      </c>
      <c r="E62" s="1"/>
      <c r="F62" s="5">
        <f t="shared" si="36"/>
        <v>0.36812942238752722</v>
      </c>
      <c r="G62" s="1"/>
      <c r="H62" s="1">
        <f>SUM(OSRRefH22_9x_0)</f>
        <v>7253</v>
      </c>
      <c r="I62" s="1"/>
      <c r="J62" s="5">
        <f t="shared" si="37"/>
        <v>1.1986448520905635</v>
      </c>
      <c r="K62" s="1"/>
      <c r="L62" s="1">
        <f t="shared" si="38"/>
        <v>0</v>
      </c>
      <c r="M62" s="1"/>
      <c r="N62" s="5">
        <f t="shared" si="39"/>
        <v>0</v>
      </c>
      <c r="O62" s="14"/>
      <c r="P62" s="1">
        <f>SUM(OSRRefP22_9x_0)</f>
        <v>7253</v>
      </c>
      <c r="Q62" s="1"/>
      <c r="R62" s="5">
        <f t="shared" si="40"/>
        <v>0.36812942238752722</v>
      </c>
      <c r="S62" s="1"/>
      <c r="T62" s="1">
        <f>SUM(OSRRefT22_9x_0)</f>
        <v>7253</v>
      </c>
      <c r="U62" s="1"/>
      <c r="V62" s="5">
        <f t="shared" si="41"/>
        <v>1.1986448520905635</v>
      </c>
      <c r="W62" s="1"/>
      <c r="X62" s="1">
        <f t="shared" si="42"/>
        <v>0</v>
      </c>
      <c r="Y62" s="1"/>
      <c r="Z62" s="5">
        <f t="shared" si="43"/>
        <v>0</v>
      </c>
    </row>
    <row r="63" spans="1:26" s="24" customFormat="1" hidden="1" outlineLevel="2" x14ac:dyDescent="0.3">
      <c r="A63" s="29"/>
      <c r="B63" s="11" t="str">
        <f>CONCATENATE("          ", "6401", " - ", "INTEREST EXPENSE")</f>
        <v xml:space="preserve">          6401 - INTEREST EXPENSE</v>
      </c>
      <c r="C63" s="11"/>
      <c r="D63" s="8">
        <v>7253</v>
      </c>
      <c r="E63" s="3"/>
      <c r="F63" s="7">
        <f t="shared" si="36"/>
        <v>0.36812942238752722</v>
      </c>
      <c r="G63" s="3"/>
      <c r="H63" s="8">
        <v>7253</v>
      </c>
      <c r="I63" s="3"/>
      <c r="J63" s="7">
        <f t="shared" si="37"/>
        <v>1.1986448520905635</v>
      </c>
      <c r="K63" s="3"/>
      <c r="L63" s="8">
        <f t="shared" si="38"/>
        <v>0</v>
      </c>
      <c r="M63" s="3"/>
      <c r="N63" s="7">
        <f t="shared" si="39"/>
        <v>0</v>
      </c>
      <c r="O63" s="11"/>
      <c r="P63" s="8">
        <v>7253</v>
      </c>
      <c r="Q63" s="3"/>
      <c r="R63" s="7">
        <f t="shared" si="40"/>
        <v>0.36812942238752722</v>
      </c>
      <c r="S63" s="3"/>
      <c r="T63" s="8">
        <v>7253</v>
      </c>
      <c r="U63" s="3"/>
      <c r="V63" s="7">
        <f t="shared" si="41"/>
        <v>1.1986448520905635</v>
      </c>
      <c r="W63" s="3"/>
      <c r="X63" s="8">
        <f t="shared" si="42"/>
        <v>0</v>
      </c>
      <c r="Y63" s="3"/>
      <c r="Z63" s="7">
        <f t="shared" si="43"/>
        <v>0</v>
      </c>
    </row>
    <row r="64" spans="1:26" s="27" customFormat="1" outlineLevel="1" collapsed="1" x14ac:dyDescent="0.3">
      <c r="A64" s="28"/>
      <c r="B64" s="14" t="str">
        <f>CONCATENATE("     ","Repair and Maintenance                            ")</f>
        <v xml:space="preserve">     Repair and Maintenance                            </v>
      </c>
      <c r="C64" s="14"/>
      <c r="D64" s="1">
        <f>SUM(OSRRefD22_10x_0)</f>
        <v>1171.83</v>
      </c>
      <c r="E64" s="1"/>
      <c r="F64" s="5">
        <f t="shared" si="36"/>
        <v>5.9476782164121875E-2</v>
      </c>
      <c r="G64" s="1"/>
      <c r="H64" s="1">
        <f>SUM(OSRRefH22_10x_0)</f>
        <v>1217</v>
      </c>
      <c r="I64" s="1"/>
      <c r="J64" s="5">
        <f t="shared" si="37"/>
        <v>0.20112378119319121</v>
      </c>
      <c r="K64" s="1"/>
      <c r="L64" s="1">
        <f t="shared" si="38"/>
        <v>-45.170000000000073</v>
      </c>
      <c r="M64" s="1"/>
      <c r="N64" s="5">
        <f t="shared" si="39"/>
        <v>-3.7115858668857908E-2</v>
      </c>
      <c r="O64" s="14"/>
      <c r="P64" s="1">
        <f>SUM(OSRRefP22_10x_0)</f>
        <v>1171.83</v>
      </c>
      <c r="Q64" s="1"/>
      <c r="R64" s="5">
        <f t="shared" si="40"/>
        <v>5.9476782164121875E-2</v>
      </c>
      <c r="S64" s="1"/>
      <c r="T64" s="1">
        <f>SUM(OSRRefT22_10x_0)</f>
        <v>1217</v>
      </c>
      <c r="U64" s="1"/>
      <c r="V64" s="5">
        <f t="shared" si="41"/>
        <v>0.20112378119319121</v>
      </c>
      <c r="W64" s="1"/>
      <c r="X64" s="1">
        <f t="shared" si="42"/>
        <v>-45.170000000000073</v>
      </c>
      <c r="Y64" s="1"/>
      <c r="Z64" s="5">
        <f t="shared" si="43"/>
        <v>-3.7115858668857908E-2</v>
      </c>
    </row>
    <row r="65" spans="1:26" s="24" customFormat="1" hidden="1" outlineLevel="2" x14ac:dyDescent="0.3">
      <c r="A65" s="29"/>
      <c r="B65" s="11" t="str">
        <f>CONCATENATE("          ", "6373", " - ", "MAINTENANCE CONTRACTS")</f>
        <v xml:space="preserve">          6373 - MAINTENANCE CONTRACTS</v>
      </c>
      <c r="C65" s="11"/>
      <c r="D65" s="8"/>
      <c r="E65" s="3"/>
      <c r="F65" s="7">
        <f t="shared" si="36"/>
        <v>0</v>
      </c>
      <c r="G65" s="3"/>
      <c r="H65" s="8">
        <v>380</v>
      </c>
      <c r="I65" s="3"/>
      <c r="J65" s="7">
        <f t="shared" si="37"/>
        <v>6.2799537266567507E-2</v>
      </c>
      <c r="K65" s="3"/>
      <c r="L65" s="8">
        <f t="shared" si="38"/>
        <v>-380</v>
      </c>
      <c r="M65" s="3"/>
      <c r="N65" s="7">
        <f t="shared" si="39"/>
        <v>-1</v>
      </c>
      <c r="O65" s="11"/>
      <c r="P65" s="8"/>
      <c r="Q65" s="3"/>
      <c r="R65" s="7">
        <f t="shared" si="40"/>
        <v>0</v>
      </c>
      <c r="S65" s="3"/>
      <c r="T65" s="8">
        <v>380</v>
      </c>
      <c r="U65" s="3"/>
      <c r="V65" s="7">
        <f t="shared" si="41"/>
        <v>6.2799537266567507E-2</v>
      </c>
      <c r="W65" s="3"/>
      <c r="X65" s="8">
        <f t="shared" si="42"/>
        <v>-380</v>
      </c>
      <c r="Y65" s="3"/>
      <c r="Z65" s="7">
        <f t="shared" si="43"/>
        <v>-1</v>
      </c>
    </row>
    <row r="66" spans="1:26" s="24" customFormat="1" hidden="1" outlineLevel="2" x14ac:dyDescent="0.3">
      <c r="A66" s="29"/>
      <c r="B66" s="11" t="str">
        <f>CONCATENATE("          ", "6375", " - ", "OUTSIDE REPAIRS &amp; MAINTENANCE")</f>
        <v xml:space="preserve">          6375 - OUTSIDE REPAIRS &amp; MAINTENANCE</v>
      </c>
      <c r="C66" s="11"/>
      <c r="D66" s="8">
        <v>1171.83</v>
      </c>
      <c r="E66" s="3"/>
      <c r="F66" s="7">
        <f t="shared" si="36"/>
        <v>5.9476782164121875E-2</v>
      </c>
      <c r="G66" s="3"/>
      <c r="H66" s="8">
        <v>837</v>
      </c>
      <c r="I66" s="3"/>
      <c r="J66" s="7">
        <f t="shared" si="37"/>
        <v>0.13832424392662371</v>
      </c>
      <c r="K66" s="3"/>
      <c r="L66" s="8">
        <f t="shared" si="38"/>
        <v>334.82999999999993</v>
      </c>
      <c r="M66" s="3"/>
      <c r="N66" s="7">
        <f t="shared" si="39"/>
        <v>0.40003584229390671</v>
      </c>
      <c r="O66" s="11"/>
      <c r="P66" s="8">
        <v>1171.83</v>
      </c>
      <c r="Q66" s="3"/>
      <c r="R66" s="7">
        <f t="shared" si="40"/>
        <v>5.9476782164121875E-2</v>
      </c>
      <c r="S66" s="3"/>
      <c r="T66" s="8">
        <v>837</v>
      </c>
      <c r="U66" s="3"/>
      <c r="V66" s="7">
        <f t="shared" si="41"/>
        <v>0.13832424392662371</v>
      </c>
      <c r="W66" s="3"/>
      <c r="X66" s="8">
        <f t="shared" si="42"/>
        <v>334.82999999999993</v>
      </c>
      <c r="Y66" s="3"/>
      <c r="Z66" s="7">
        <f t="shared" si="43"/>
        <v>0.40003584229390671</v>
      </c>
    </row>
    <row r="67" spans="1:26" s="27" customFormat="1" outlineLevel="1" collapsed="1" x14ac:dyDescent="0.3">
      <c r="A67" s="28"/>
      <c r="B67" s="14" t="str">
        <f>CONCATENATE("     ","Services                                          ")</f>
        <v xml:space="preserve">     Services                                          </v>
      </c>
      <c r="C67" s="14"/>
      <c r="D67" s="1">
        <f>SUM(OSRRefD22_11x_0)</f>
        <v>3919.13</v>
      </c>
      <c r="E67" s="1"/>
      <c r="F67" s="5">
        <f t="shared" ref="F67:F71" si="44">IF(D$12=0,0,D67/D$12)</f>
        <v>0.1989172843184378</v>
      </c>
      <c r="G67" s="1"/>
      <c r="H67" s="1">
        <f>SUM(OSRRefH22_11x_0)</f>
        <v>4979</v>
      </c>
      <c r="I67" s="1"/>
      <c r="J67" s="5">
        <f t="shared" ref="J67:J71" si="45">IF(H$12=0,0,H67/H$12)</f>
        <v>0.82283920013220957</v>
      </c>
      <c r="K67" s="1"/>
      <c r="L67" s="1">
        <f t="shared" ref="L67:L71" si="46">+D67-H67</f>
        <v>-1059.8699999999999</v>
      </c>
      <c r="M67" s="1"/>
      <c r="N67" s="5">
        <f t="shared" ref="N67:N71" si="47">IF(H67=0,0,L67/H67)</f>
        <v>-0.21286804579232776</v>
      </c>
      <c r="O67" s="14"/>
      <c r="P67" s="1">
        <f>SUM(OSRRefP22_11x_0)</f>
        <v>3919.13</v>
      </c>
      <c r="Q67" s="1"/>
      <c r="R67" s="5">
        <f t="shared" ref="R67:R71" si="48">IF(P$12=0,0,P67/P$12)</f>
        <v>0.1989172843184378</v>
      </c>
      <c r="S67" s="1"/>
      <c r="T67" s="1">
        <f>SUM(OSRRefT22_11x_0)</f>
        <v>4979</v>
      </c>
      <c r="U67" s="1"/>
      <c r="V67" s="5">
        <f t="shared" ref="V67:V71" si="49">IF(T$12=0,0,T67/T$12)</f>
        <v>0.82283920013220957</v>
      </c>
      <c r="W67" s="1"/>
      <c r="X67" s="1">
        <f t="shared" ref="X67:X71" si="50">+P67-T67</f>
        <v>-1059.8699999999999</v>
      </c>
      <c r="Y67" s="1"/>
      <c r="Z67" s="5">
        <f t="shared" ref="Z67:Z71" si="51">IF(T67=0,0,X67/T67)</f>
        <v>-0.21286804579232776</v>
      </c>
    </row>
    <row r="68" spans="1:26" s="24" customFormat="1" hidden="1" outlineLevel="2" x14ac:dyDescent="0.3">
      <c r="A68" s="29"/>
      <c r="B68" s="11" t="str">
        <f>CONCATENATE("          ", "6282", " - ", "JANITORIAL/EXTERMINATOR EXPENS")</f>
        <v xml:space="preserve">          6282 - JANITORIAL/EXTERMINATOR EXPENS</v>
      </c>
      <c r="C68" s="11"/>
      <c r="D68" s="8"/>
      <c r="E68" s="3"/>
      <c r="F68" s="7">
        <f t="shared" si="44"/>
        <v>0</v>
      </c>
      <c r="G68" s="3"/>
      <c r="H68" s="8">
        <v>328</v>
      </c>
      <c r="I68" s="3"/>
      <c r="J68" s="7">
        <f t="shared" si="45"/>
        <v>5.4205916377458273E-2</v>
      </c>
      <c r="K68" s="3"/>
      <c r="L68" s="8">
        <f t="shared" si="46"/>
        <v>-328</v>
      </c>
      <c r="M68" s="3"/>
      <c r="N68" s="7">
        <f t="shared" si="47"/>
        <v>-1</v>
      </c>
      <c r="O68" s="11"/>
      <c r="P68" s="8"/>
      <c r="Q68" s="3"/>
      <c r="R68" s="7">
        <f t="shared" si="48"/>
        <v>0</v>
      </c>
      <c r="S68" s="3"/>
      <c r="T68" s="8">
        <v>328</v>
      </c>
      <c r="U68" s="3"/>
      <c r="V68" s="7">
        <f t="shared" si="49"/>
        <v>5.4205916377458273E-2</v>
      </c>
      <c r="W68" s="3"/>
      <c r="X68" s="8">
        <f t="shared" si="50"/>
        <v>-328</v>
      </c>
      <c r="Y68" s="3"/>
      <c r="Z68" s="7">
        <f t="shared" si="51"/>
        <v>-1</v>
      </c>
    </row>
    <row r="69" spans="1:26" s="24" customFormat="1" hidden="1" outlineLevel="2" x14ac:dyDescent="0.3">
      <c r="A69" s="29"/>
      <c r="B69" s="11" t="str">
        <f>CONCATENATE("          ", "6284", " - ", "TRASH REMOVAL EXPENSE")</f>
        <v xml:space="preserve">          6284 - TRASH REMOVAL EXPENSE</v>
      </c>
      <c r="C69" s="11"/>
      <c r="D69" s="8"/>
      <c r="E69" s="3"/>
      <c r="F69" s="7">
        <f t="shared" si="44"/>
        <v>0</v>
      </c>
      <c r="G69" s="3"/>
      <c r="H69" s="8">
        <v>1000</v>
      </c>
      <c r="I69" s="3"/>
      <c r="J69" s="7">
        <f t="shared" si="45"/>
        <v>0.16526194017517765</v>
      </c>
      <c r="K69" s="3"/>
      <c r="L69" s="8">
        <f t="shared" si="46"/>
        <v>-1000</v>
      </c>
      <c r="M69" s="3"/>
      <c r="N69" s="7">
        <f t="shared" si="47"/>
        <v>-1</v>
      </c>
      <c r="O69" s="11"/>
      <c r="P69" s="8"/>
      <c r="Q69" s="3"/>
      <c r="R69" s="7">
        <f t="shared" si="48"/>
        <v>0</v>
      </c>
      <c r="S69" s="3"/>
      <c r="T69" s="8">
        <v>1000</v>
      </c>
      <c r="U69" s="3"/>
      <c r="V69" s="7">
        <f t="shared" si="49"/>
        <v>0.16526194017517765</v>
      </c>
      <c r="W69" s="3"/>
      <c r="X69" s="8">
        <f t="shared" si="50"/>
        <v>-1000</v>
      </c>
      <c r="Y69" s="3"/>
      <c r="Z69" s="7">
        <f t="shared" si="51"/>
        <v>-1</v>
      </c>
    </row>
    <row r="70" spans="1:26" s="24" customFormat="1" hidden="1" outlineLevel="2" x14ac:dyDescent="0.3">
      <c r="A70" s="29"/>
      <c r="B70" s="11" t="str">
        <f>CONCATENATE("          ", "6285", " - ", "JANITORIAL SERVICES")</f>
        <v xml:space="preserve">          6285 - JANITORIAL SERVICES</v>
      </c>
      <c r="C70" s="11"/>
      <c r="D70" s="8">
        <v>3759.39</v>
      </c>
      <c r="E70" s="3"/>
      <c r="F70" s="7">
        <f t="shared" si="44"/>
        <v>0.19080960557416873</v>
      </c>
      <c r="G70" s="3"/>
      <c r="H70" s="8">
        <v>3041</v>
      </c>
      <c r="I70" s="3"/>
      <c r="J70" s="7">
        <f t="shared" si="45"/>
        <v>0.50256156007271524</v>
      </c>
      <c r="K70" s="3"/>
      <c r="L70" s="8">
        <f t="shared" si="46"/>
        <v>718.38999999999987</v>
      </c>
      <c r="M70" s="3"/>
      <c r="N70" s="7">
        <f t="shared" si="47"/>
        <v>0.23623479118710947</v>
      </c>
      <c r="O70" s="11"/>
      <c r="P70" s="8">
        <v>3759.39</v>
      </c>
      <c r="Q70" s="3"/>
      <c r="R70" s="7">
        <f t="shared" si="48"/>
        <v>0.19080960557416873</v>
      </c>
      <c r="S70" s="3"/>
      <c r="T70" s="8">
        <v>3041</v>
      </c>
      <c r="U70" s="3"/>
      <c r="V70" s="7">
        <f t="shared" si="49"/>
        <v>0.50256156007271524</v>
      </c>
      <c r="W70" s="3"/>
      <c r="X70" s="8">
        <f t="shared" si="50"/>
        <v>718.38999999999987</v>
      </c>
      <c r="Y70" s="3"/>
      <c r="Z70" s="7">
        <f t="shared" si="51"/>
        <v>0.23623479118710947</v>
      </c>
    </row>
    <row r="71" spans="1:26" s="24" customFormat="1" hidden="1" outlineLevel="2" x14ac:dyDescent="0.3">
      <c r="A71" s="29"/>
      <c r="B71" s="11" t="str">
        <f>CONCATENATE("          ", "6286", " - ", "LAUNDRY EXPENSE")</f>
        <v xml:space="preserve">          6286 - LAUNDRY EXPENSE</v>
      </c>
      <c r="C71" s="11"/>
      <c r="D71" s="8">
        <v>159.74</v>
      </c>
      <c r="E71" s="3"/>
      <c r="F71" s="7">
        <f t="shared" si="44"/>
        <v>8.1076787442690753E-3</v>
      </c>
      <c r="G71" s="3"/>
      <c r="H71" s="8">
        <v>610</v>
      </c>
      <c r="I71" s="3"/>
      <c r="J71" s="7">
        <f t="shared" si="45"/>
        <v>0.10080978350685837</v>
      </c>
      <c r="K71" s="3"/>
      <c r="L71" s="8">
        <f t="shared" si="46"/>
        <v>-450.26</v>
      </c>
      <c r="M71" s="3"/>
      <c r="N71" s="7">
        <f t="shared" si="47"/>
        <v>-0.73813114754098363</v>
      </c>
      <c r="O71" s="11"/>
      <c r="P71" s="8">
        <v>159.74</v>
      </c>
      <c r="Q71" s="3"/>
      <c r="R71" s="7">
        <f t="shared" si="48"/>
        <v>8.1076787442690753E-3</v>
      </c>
      <c r="S71" s="3"/>
      <c r="T71" s="8">
        <v>610</v>
      </c>
      <c r="U71" s="3"/>
      <c r="V71" s="7">
        <f t="shared" si="49"/>
        <v>0.10080978350685837</v>
      </c>
      <c r="W71" s="3"/>
      <c r="X71" s="8">
        <f t="shared" si="50"/>
        <v>-450.26</v>
      </c>
      <c r="Y71" s="3"/>
      <c r="Z71" s="7">
        <f t="shared" si="51"/>
        <v>-0.73813114754098363</v>
      </c>
    </row>
    <row r="72" spans="1:26" s="27" customFormat="1" outlineLevel="1" collapsed="1" x14ac:dyDescent="0.3">
      <c r="A72" s="28"/>
      <c r="B72" s="14" t="str">
        <f>CONCATENATE("     ","Subscriptions &amp; Dues                              ")</f>
        <v xml:space="preserve">     Subscriptions &amp; Dues                              </v>
      </c>
      <c r="C72" s="14"/>
      <c r="D72" s="1">
        <f>SUM(OSRRefD22_12x_0)</f>
        <v>130.66999999999999</v>
      </c>
      <c r="E72" s="1"/>
      <c r="F72" s="5">
        <f t="shared" ref="F72:F78" si="52">IF(D$12=0,0,D72/D$12)</f>
        <v>6.6322172374711393E-3</v>
      </c>
      <c r="G72" s="1"/>
      <c r="H72" s="1">
        <f>SUM(OSRRefH22_12x_0)</f>
        <v>380</v>
      </c>
      <c r="I72" s="1"/>
      <c r="J72" s="5">
        <f t="shared" ref="J72:J78" si="53">IF(H$12=0,0,H72/H$12)</f>
        <v>6.2799537266567507E-2</v>
      </c>
      <c r="K72" s="1"/>
      <c r="L72" s="1">
        <f t="shared" ref="L72:L78" si="54">+D72-H72</f>
        <v>-249.33</v>
      </c>
      <c r="M72" s="1"/>
      <c r="N72" s="5">
        <f t="shared" ref="N72:N78" si="55">IF(H72=0,0,L72/H72)</f>
        <v>-0.6561315789473684</v>
      </c>
      <c r="O72" s="14"/>
      <c r="P72" s="1">
        <f>SUM(OSRRefP22_12x_0)</f>
        <v>130.66999999999999</v>
      </c>
      <c r="Q72" s="1"/>
      <c r="R72" s="5">
        <f t="shared" ref="R72:R78" si="56">IF(P$12=0,0,P72/P$12)</f>
        <v>6.6322172374711393E-3</v>
      </c>
      <c r="S72" s="1"/>
      <c r="T72" s="1">
        <f>SUM(OSRRefT22_12x_0)</f>
        <v>380</v>
      </c>
      <c r="U72" s="1"/>
      <c r="V72" s="5">
        <f t="shared" ref="V72:V78" si="57">IF(T$12=0,0,T72/T$12)</f>
        <v>6.2799537266567507E-2</v>
      </c>
      <c r="W72" s="1"/>
      <c r="X72" s="1">
        <f t="shared" ref="X72:X78" si="58">+P72-T72</f>
        <v>-249.33</v>
      </c>
      <c r="Y72" s="1"/>
      <c r="Z72" s="5">
        <f t="shared" ref="Z72:Z78" si="59">IF(T72=0,0,X72/T72)</f>
        <v>-0.6561315789473684</v>
      </c>
    </row>
    <row r="73" spans="1:26" s="24" customFormat="1" hidden="1" outlineLevel="2" x14ac:dyDescent="0.3">
      <c r="A73" s="29"/>
      <c r="B73" s="11" t="str">
        <f>CONCATENATE("          ", "6275", " - ", "SUBSCRIPTIONS")</f>
        <v xml:space="preserve">          6275 - SUBSCRIPTIONS</v>
      </c>
      <c r="C73" s="11"/>
      <c r="D73" s="8">
        <v>130.66999999999999</v>
      </c>
      <c r="E73" s="3"/>
      <c r="F73" s="7">
        <f t="shared" si="52"/>
        <v>6.6322172374711393E-3</v>
      </c>
      <c r="G73" s="3"/>
      <c r="H73" s="8">
        <v>380</v>
      </c>
      <c r="I73" s="3"/>
      <c r="J73" s="7">
        <f t="shared" si="53"/>
        <v>6.2799537266567507E-2</v>
      </c>
      <c r="K73" s="3"/>
      <c r="L73" s="8">
        <f t="shared" si="54"/>
        <v>-249.33</v>
      </c>
      <c r="M73" s="3"/>
      <c r="N73" s="7">
        <f t="shared" si="55"/>
        <v>-0.6561315789473684</v>
      </c>
      <c r="O73" s="11"/>
      <c r="P73" s="8">
        <v>130.66999999999999</v>
      </c>
      <c r="Q73" s="3"/>
      <c r="R73" s="7">
        <f t="shared" si="56"/>
        <v>6.6322172374711393E-3</v>
      </c>
      <c r="S73" s="3"/>
      <c r="T73" s="8">
        <v>380</v>
      </c>
      <c r="U73" s="3"/>
      <c r="V73" s="7">
        <f t="shared" si="57"/>
        <v>6.2799537266567507E-2</v>
      </c>
      <c r="W73" s="3"/>
      <c r="X73" s="8">
        <f t="shared" si="58"/>
        <v>-249.33</v>
      </c>
      <c r="Y73" s="3"/>
      <c r="Z73" s="7">
        <f t="shared" si="59"/>
        <v>-0.6561315789473684</v>
      </c>
    </row>
    <row r="74" spans="1:26" s="27" customFormat="1" outlineLevel="1" collapsed="1" x14ac:dyDescent="0.3">
      <c r="A74" s="28"/>
      <c r="B74" s="14" t="str">
        <f>CONCATENATE("     ","Supplies                                          ")</f>
        <v xml:space="preserve">     Supplies                                          </v>
      </c>
      <c r="C74" s="14"/>
      <c r="D74" s="1">
        <f>SUM(OSRRefD22_13x_0)</f>
        <v>1208.58</v>
      </c>
      <c r="E74" s="1"/>
      <c r="F74" s="5">
        <f t="shared" si="52"/>
        <v>6.1342045678907706E-2</v>
      </c>
      <c r="G74" s="1"/>
      <c r="H74" s="1">
        <f>SUM(OSRRefH22_13x_0)</f>
        <v>989</v>
      </c>
      <c r="I74" s="1"/>
      <c r="J74" s="5">
        <f t="shared" si="53"/>
        <v>0.16344405883325069</v>
      </c>
      <c r="K74" s="1"/>
      <c r="L74" s="1">
        <f t="shared" si="54"/>
        <v>219.57999999999993</v>
      </c>
      <c r="M74" s="1"/>
      <c r="N74" s="5">
        <f t="shared" si="55"/>
        <v>0.22202224469160761</v>
      </c>
      <c r="O74" s="14"/>
      <c r="P74" s="1">
        <f>SUM(OSRRefP22_13x_0)</f>
        <v>1208.58</v>
      </c>
      <c r="Q74" s="1"/>
      <c r="R74" s="5">
        <f t="shared" si="56"/>
        <v>6.1342045678907706E-2</v>
      </c>
      <c r="S74" s="1"/>
      <c r="T74" s="1">
        <f>SUM(OSRRefT22_13x_0)</f>
        <v>989</v>
      </c>
      <c r="U74" s="1"/>
      <c r="V74" s="5">
        <f t="shared" si="57"/>
        <v>0.16344405883325069</v>
      </c>
      <c r="W74" s="1"/>
      <c r="X74" s="1">
        <f t="shared" si="58"/>
        <v>219.57999999999993</v>
      </c>
      <c r="Y74" s="1"/>
      <c r="Z74" s="5">
        <f t="shared" si="59"/>
        <v>0.22202224469160761</v>
      </c>
    </row>
    <row r="75" spans="1:26" s="24" customFormat="1" hidden="1" outlineLevel="2" x14ac:dyDescent="0.3">
      <c r="A75" s="29"/>
      <c r="B75" s="11" t="str">
        <f>CONCATENATE("          ", "6237", " - ", "JANITORIAL SUPPLIES")</f>
        <v xml:space="preserve">          6237 - JANITORIAL SUPPLIES</v>
      </c>
      <c r="C75" s="11"/>
      <c r="D75" s="8">
        <v>1002.17</v>
      </c>
      <c r="E75" s="3"/>
      <c r="F75" s="7">
        <f t="shared" si="52"/>
        <v>5.0865609159535106E-2</v>
      </c>
      <c r="G75" s="3"/>
      <c r="H75" s="8">
        <v>523</v>
      </c>
      <c r="I75" s="3"/>
      <c r="J75" s="7">
        <f t="shared" si="53"/>
        <v>8.6431994711617915E-2</v>
      </c>
      <c r="K75" s="3"/>
      <c r="L75" s="8">
        <f t="shared" si="54"/>
        <v>479.16999999999996</v>
      </c>
      <c r="M75" s="3"/>
      <c r="N75" s="7">
        <f t="shared" si="55"/>
        <v>0.91619502868068825</v>
      </c>
      <c r="O75" s="11"/>
      <c r="P75" s="8">
        <v>1002.17</v>
      </c>
      <c r="Q75" s="3"/>
      <c r="R75" s="7">
        <f t="shared" si="56"/>
        <v>5.0865609159535106E-2</v>
      </c>
      <c r="S75" s="3"/>
      <c r="T75" s="8">
        <v>523</v>
      </c>
      <c r="U75" s="3"/>
      <c r="V75" s="7">
        <f t="shared" si="57"/>
        <v>8.6431994711617915E-2</v>
      </c>
      <c r="W75" s="3"/>
      <c r="X75" s="8">
        <f t="shared" si="58"/>
        <v>479.16999999999996</v>
      </c>
      <c r="Y75" s="3"/>
      <c r="Z75" s="7">
        <f t="shared" si="59"/>
        <v>0.91619502868068825</v>
      </c>
    </row>
    <row r="76" spans="1:26" s="24" customFormat="1" hidden="1" outlineLevel="2" x14ac:dyDescent="0.3">
      <c r="A76" s="29"/>
      <c r="B76" s="11" t="str">
        <f>CONCATENATE("          ", "6239", " - ", "KITCHEN SUPPLIES")</f>
        <v xml:space="preserve">          6239 - KITCHEN SUPPLIES</v>
      </c>
      <c r="C76" s="11"/>
      <c r="D76" s="8">
        <v>32.03</v>
      </c>
      <c r="E76" s="3"/>
      <c r="F76" s="7">
        <f t="shared" si="52"/>
        <v>1.6256976973766024E-3</v>
      </c>
      <c r="G76" s="3"/>
      <c r="H76" s="8">
        <v>63</v>
      </c>
      <c r="I76" s="3"/>
      <c r="J76" s="7">
        <f t="shared" si="53"/>
        <v>1.0411502231036193E-2</v>
      </c>
      <c r="K76" s="3"/>
      <c r="L76" s="8">
        <f t="shared" si="54"/>
        <v>-30.97</v>
      </c>
      <c r="M76" s="3"/>
      <c r="N76" s="7">
        <f t="shared" si="55"/>
        <v>-0.49158730158730157</v>
      </c>
      <c r="O76" s="11"/>
      <c r="P76" s="8">
        <v>32.03</v>
      </c>
      <c r="Q76" s="3"/>
      <c r="R76" s="7">
        <f t="shared" si="56"/>
        <v>1.6256976973766024E-3</v>
      </c>
      <c r="S76" s="3"/>
      <c r="T76" s="8">
        <v>63</v>
      </c>
      <c r="U76" s="3"/>
      <c r="V76" s="7">
        <f t="shared" si="57"/>
        <v>1.0411502231036193E-2</v>
      </c>
      <c r="W76" s="3"/>
      <c r="X76" s="8">
        <f t="shared" si="58"/>
        <v>-30.97</v>
      </c>
      <c r="Y76" s="3"/>
      <c r="Z76" s="7">
        <f t="shared" si="59"/>
        <v>-0.49158730158730157</v>
      </c>
    </row>
    <row r="77" spans="1:26" s="24" customFormat="1" hidden="1" outlineLevel="2" x14ac:dyDescent="0.3">
      <c r="A77" s="29"/>
      <c r="B77" s="11" t="str">
        <f>CONCATENATE("          ", "6241", " - ", "OFFICE EXPENSE")</f>
        <v xml:space="preserve">          6241 - OFFICE EXPENSE</v>
      </c>
      <c r="C77" s="11"/>
      <c r="D77" s="8">
        <v>9</v>
      </c>
      <c r="E77" s="3"/>
      <c r="F77" s="7">
        <f t="shared" si="52"/>
        <v>4.5679922811081548E-4</v>
      </c>
      <c r="G77" s="3"/>
      <c r="H77" s="8">
        <v>44</v>
      </c>
      <c r="I77" s="3"/>
      <c r="J77" s="7">
        <f t="shared" si="53"/>
        <v>7.2715253677078165E-3</v>
      </c>
      <c r="K77" s="3"/>
      <c r="L77" s="8">
        <f t="shared" si="54"/>
        <v>-35</v>
      </c>
      <c r="M77" s="3"/>
      <c r="N77" s="7">
        <f t="shared" si="55"/>
        <v>-0.79545454545454541</v>
      </c>
      <c r="O77" s="11"/>
      <c r="P77" s="8">
        <v>9</v>
      </c>
      <c r="Q77" s="3"/>
      <c r="R77" s="7">
        <f t="shared" si="56"/>
        <v>4.5679922811081548E-4</v>
      </c>
      <c r="S77" s="3"/>
      <c r="T77" s="8">
        <v>44</v>
      </c>
      <c r="U77" s="3"/>
      <c r="V77" s="7">
        <f t="shared" si="57"/>
        <v>7.2715253677078165E-3</v>
      </c>
      <c r="W77" s="3"/>
      <c r="X77" s="8">
        <f t="shared" si="58"/>
        <v>-35</v>
      </c>
      <c r="Y77" s="3"/>
      <c r="Z77" s="7">
        <f t="shared" si="59"/>
        <v>-0.79545454545454541</v>
      </c>
    </row>
    <row r="78" spans="1:26" s="24" customFormat="1" hidden="1" outlineLevel="2" x14ac:dyDescent="0.3">
      <c r="A78" s="29"/>
      <c r="B78" s="11" t="str">
        <f>CONCATENATE("          ", "6243", " - ", "PAPER SUPPLIES")</f>
        <v xml:space="preserve">          6243 - PAPER SUPPLIES</v>
      </c>
      <c r="C78" s="11"/>
      <c r="D78" s="8">
        <v>165.38</v>
      </c>
      <c r="E78" s="3"/>
      <c r="F78" s="7">
        <f t="shared" si="52"/>
        <v>8.3939395938851854E-3</v>
      </c>
      <c r="G78" s="3"/>
      <c r="H78" s="8">
        <v>359</v>
      </c>
      <c r="I78" s="3"/>
      <c r="J78" s="7">
        <f t="shared" si="53"/>
        <v>5.9329036522888776E-2</v>
      </c>
      <c r="K78" s="3"/>
      <c r="L78" s="8">
        <f t="shared" si="54"/>
        <v>-193.62</v>
      </c>
      <c r="M78" s="3"/>
      <c r="N78" s="7">
        <f t="shared" si="55"/>
        <v>-0.53933147632311984</v>
      </c>
      <c r="O78" s="11"/>
      <c r="P78" s="8">
        <v>165.38</v>
      </c>
      <c r="Q78" s="3"/>
      <c r="R78" s="7">
        <f t="shared" si="56"/>
        <v>8.3939395938851854E-3</v>
      </c>
      <c r="S78" s="3"/>
      <c r="T78" s="8">
        <v>359</v>
      </c>
      <c r="U78" s="3"/>
      <c r="V78" s="7">
        <f t="shared" si="57"/>
        <v>5.9329036522888776E-2</v>
      </c>
      <c r="W78" s="3"/>
      <c r="X78" s="8">
        <f t="shared" si="58"/>
        <v>-193.62</v>
      </c>
      <c r="Y78" s="3"/>
      <c r="Z78" s="7">
        <f t="shared" si="59"/>
        <v>-0.53933147632311984</v>
      </c>
    </row>
    <row r="79" spans="1:26" s="27" customFormat="1" outlineLevel="1" collapsed="1" x14ac:dyDescent="0.3">
      <c r="A79" s="28"/>
      <c r="B79" s="14" t="str">
        <f>CONCATENATE("     ","Telephone/Data Lines                              ")</f>
        <v xml:space="preserve">     Telephone/Data Lines                              </v>
      </c>
      <c r="C79" s="14"/>
      <c r="D79" s="1">
        <f>SUM(OSRRefD22_14x_0)</f>
        <v>307</v>
      </c>
      <c r="E79" s="1"/>
      <c r="F79" s="5">
        <f t="shared" ref="F79:F81" si="60">IF(D$12=0,0,D79/D$12)</f>
        <v>1.5581929225557817E-2</v>
      </c>
      <c r="G79" s="1"/>
      <c r="H79" s="1">
        <f>SUM(OSRRefH22_14x_0)</f>
        <v>135</v>
      </c>
      <c r="I79" s="1"/>
      <c r="J79" s="5">
        <f t="shared" ref="J79:J81" si="61">IF(H$12=0,0,H79/H$12)</f>
        <v>2.2310361923648984E-2</v>
      </c>
      <c r="K79" s="1"/>
      <c r="L79" s="1">
        <f t="shared" ref="L79:L81" si="62">+D79-H79</f>
        <v>172</v>
      </c>
      <c r="M79" s="1"/>
      <c r="N79" s="5">
        <f t="shared" ref="N79:N81" si="63">IF(H79=0,0,L79/H79)</f>
        <v>1.2740740740740741</v>
      </c>
      <c r="O79" s="14"/>
      <c r="P79" s="1">
        <f>SUM(OSRRefP22_14x_0)</f>
        <v>307</v>
      </c>
      <c r="Q79" s="1"/>
      <c r="R79" s="5">
        <f t="shared" ref="R79:R81" si="64">IF(P$12=0,0,P79/P$12)</f>
        <v>1.5581929225557817E-2</v>
      </c>
      <c r="S79" s="1"/>
      <c r="T79" s="1">
        <f>SUM(OSRRefT22_14x_0)</f>
        <v>135</v>
      </c>
      <c r="U79" s="1"/>
      <c r="V79" s="5">
        <f t="shared" ref="V79:V81" si="65">IF(T$12=0,0,T79/T$12)</f>
        <v>2.2310361923648984E-2</v>
      </c>
      <c r="W79" s="1"/>
      <c r="X79" s="1">
        <f t="shared" ref="X79:X81" si="66">+P79-T79</f>
        <v>172</v>
      </c>
      <c r="Y79" s="1"/>
      <c r="Z79" s="5">
        <f t="shared" ref="Z79:Z81" si="67">IF(T79=0,0,X79/T79)</f>
        <v>1.2740740740740741</v>
      </c>
    </row>
    <row r="80" spans="1:26" s="24" customFormat="1" hidden="1" outlineLevel="2" x14ac:dyDescent="0.3">
      <c r="A80" s="29"/>
      <c r="B80" s="11" t="str">
        <f>CONCATENATE("          ", "6303", " - ", "DATA PHONE LINES")</f>
        <v xml:space="preserve">          6303 - DATA PHONE LINES</v>
      </c>
      <c r="C80" s="11"/>
      <c r="D80" s="8"/>
      <c r="E80" s="3"/>
      <c r="F80" s="7">
        <f t="shared" si="60"/>
        <v>0</v>
      </c>
      <c r="G80" s="3"/>
      <c r="H80" s="8">
        <v>60</v>
      </c>
      <c r="I80" s="3"/>
      <c r="J80" s="7">
        <f t="shared" si="61"/>
        <v>9.91571641051066E-3</v>
      </c>
      <c r="K80" s="3"/>
      <c r="L80" s="8">
        <f t="shared" si="62"/>
        <v>-60</v>
      </c>
      <c r="M80" s="3"/>
      <c r="N80" s="7">
        <f t="shared" si="63"/>
        <v>-1</v>
      </c>
      <c r="O80" s="11"/>
      <c r="P80" s="8"/>
      <c r="Q80" s="3"/>
      <c r="R80" s="7">
        <f t="shared" si="64"/>
        <v>0</v>
      </c>
      <c r="S80" s="3"/>
      <c r="T80" s="8">
        <v>60</v>
      </c>
      <c r="U80" s="3"/>
      <c r="V80" s="7">
        <f t="shared" si="65"/>
        <v>9.91571641051066E-3</v>
      </c>
      <c r="W80" s="3"/>
      <c r="X80" s="8">
        <f t="shared" si="66"/>
        <v>-60</v>
      </c>
      <c r="Y80" s="3"/>
      <c r="Z80" s="7">
        <f t="shared" si="67"/>
        <v>-1</v>
      </c>
    </row>
    <row r="81" spans="1:26" s="24" customFormat="1" hidden="1" outlineLevel="2" x14ac:dyDescent="0.3">
      <c r="A81" s="29"/>
      <c r="B81" s="11" t="str">
        <f>CONCATENATE("          ", "6309", " - ", "TELEPHONE")</f>
        <v xml:space="preserve">          6309 - TELEPHONE</v>
      </c>
      <c r="C81" s="11"/>
      <c r="D81" s="8">
        <v>307</v>
      </c>
      <c r="E81" s="3"/>
      <c r="F81" s="7">
        <f t="shared" si="60"/>
        <v>1.5581929225557817E-2</v>
      </c>
      <c r="G81" s="3"/>
      <c r="H81" s="8">
        <v>75</v>
      </c>
      <c r="I81" s="3"/>
      <c r="J81" s="7">
        <f t="shared" si="61"/>
        <v>1.2394645513138325E-2</v>
      </c>
      <c r="K81" s="3"/>
      <c r="L81" s="8">
        <f t="shared" si="62"/>
        <v>232</v>
      </c>
      <c r="M81" s="3"/>
      <c r="N81" s="7">
        <f t="shared" si="63"/>
        <v>3.0933333333333333</v>
      </c>
      <c r="O81" s="11"/>
      <c r="P81" s="8">
        <v>307</v>
      </c>
      <c r="Q81" s="3"/>
      <c r="R81" s="7">
        <f t="shared" si="64"/>
        <v>1.5581929225557817E-2</v>
      </c>
      <c r="S81" s="3"/>
      <c r="T81" s="8">
        <v>75</v>
      </c>
      <c r="U81" s="3"/>
      <c r="V81" s="7">
        <f t="shared" si="65"/>
        <v>1.2394645513138325E-2</v>
      </c>
      <c r="W81" s="3"/>
      <c r="X81" s="8">
        <f t="shared" si="66"/>
        <v>232</v>
      </c>
      <c r="Y81" s="3"/>
      <c r="Z81" s="7">
        <f t="shared" si="67"/>
        <v>3.0933333333333333</v>
      </c>
    </row>
    <row r="82" spans="1:26" s="27" customFormat="1" outlineLevel="1" collapsed="1" x14ac:dyDescent="0.3">
      <c r="A82" s="28"/>
      <c r="B82" s="14" t="str">
        <f>CONCATENATE("     ","Training                                          ")</f>
        <v xml:space="preserve">     Training                                          </v>
      </c>
      <c r="C82" s="14"/>
      <c r="D82" s="1">
        <f>SUM(OSRRefD22_15x_0)</f>
        <v>0</v>
      </c>
      <c r="E82" s="1"/>
      <c r="F82" s="5">
        <f t="shared" ref="F82:F85" si="68">IF(D$12=0,0,D82/D$12)</f>
        <v>0</v>
      </c>
      <c r="G82" s="1"/>
      <c r="H82" s="1">
        <f>SUM(OSRRefH22_15x_0)</f>
        <v>120</v>
      </c>
      <c r="I82" s="1"/>
      <c r="J82" s="5">
        <f t="shared" ref="J82:J85" si="69">IF(H$12=0,0,H82/H$12)</f>
        <v>1.983143282102132E-2</v>
      </c>
      <c r="K82" s="1"/>
      <c r="L82" s="1">
        <f t="shared" ref="L82:L85" si="70">+D82-H82</f>
        <v>-120</v>
      </c>
      <c r="M82" s="1"/>
      <c r="N82" s="5">
        <f t="shared" ref="N82:N85" si="71">IF(H82=0,0,L82/H82)</f>
        <v>-1</v>
      </c>
      <c r="O82" s="14"/>
      <c r="P82" s="1">
        <f>SUM(OSRRefP22_15x_0)</f>
        <v>0</v>
      </c>
      <c r="Q82" s="1"/>
      <c r="R82" s="5">
        <f t="shared" ref="R82:R85" si="72">IF(P$12=0,0,P82/P$12)</f>
        <v>0</v>
      </c>
      <c r="S82" s="1"/>
      <c r="T82" s="1">
        <f>SUM(OSRRefT22_15x_0)</f>
        <v>120</v>
      </c>
      <c r="U82" s="1"/>
      <c r="V82" s="5">
        <f t="shared" ref="V82:V85" si="73">IF(T$12=0,0,T82/T$12)</f>
        <v>1.983143282102132E-2</v>
      </c>
      <c r="W82" s="1"/>
      <c r="X82" s="1">
        <f t="shared" ref="X82:X85" si="74">+P82-T82</f>
        <v>-120</v>
      </c>
      <c r="Y82" s="1"/>
      <c r="Z82" s="5">
        <f t="shared" ref="Z82:Z85" si="75">IF(T82=0,0,X82/T82)</f>
        <v>-1</v>
      </c>
    </row>
    <row r="83" spans="1:26" s="24" customFormat="1" hidden="1" outlineLevel="2" x14ac:dyDescent="0.3">
      <c r="A83" s="29"/>
      <c r="B83" s="11" t="str">
        <f>CONCATENATE("          ", "6376", " - ", "TRAINING")</f>
        <v xml:space="preserve">          6376 - TRAINING</v>
      </c>
      <c r="C83" s="11"/>
      <c r="D83" s="8"/>
      <c r="E83" s="3"/>
      <c r="F83" s="7">
        <f t="shared" si="68"/>
        <v>0</v>
      </c>
      <c r="G83" s="3"/>
      <c r="H83" s="8">
        <v>120</v>
      </c>
      <c r="I83" s="3"/>
      <c r="J83" s="7">
        <f t="shared" si="69"/>
        <v>1.983143282102132E-2</v>
      </c>
      <c r="K83" s="3"/>
      <c r="L83" s="8">
        <f t="shared" si="70"/>
        <v>-120</v>
      </c>
      <c r="M83" s="3"/>
      <c r="N83" s="7">
        <f t="shared" si="71"/>
        <v>-1</v>
      </c>
      <c r="O83" s="11"/>
      <c r="P83" s="8"/>
      <c r="Q83" s="3"/>
      <c r="R83" s="7">
        <f t="shared" si="72"/>
        <v>0</v>
      </c>
      <c r="S83" s="3"/>
      <c r="T83" s="8">
        <v>120</v>
      </c>
      <c r="U83" s="3"/>
      <c r="V83" s="7">
        <f t="shared" si="73"/>
        <v>1.983143282102132E-2</v>
      </c>
      <c r="W83" s="3"/>
      <c r="X83" s="8">
        <f t="shared" si="74"/>
        <v>-120</v>
      </c>
      <c r="Y83" s="3"/>
      <c r="Z83" s="7">
        <f t="shared" si="75"/>
        <v>-1</v>
      </c>
    </row>
    <row r="84" spans="1:26" s="27" customFormat="1" outlineLevel="1" collapsed="1" x14ac:dyDescent="0.3">
      <c r="A84" s="28"/>
      <c r="B84" s="14" t="str">
        <f>CONCATENATE("     ","Utilities                                         ")</f>
        <v xml:space="preserve">     Utilities                                         </v>
      </c>
      <c r="C84" s="14"/>
      <c r="D84" s="1">
        <f>SUM(OSRRefD22_16x_0)</f>
        <v>2400</v>
      </c>
      <c r="E84" s="1"/>
      <c r="F84" s="5">
        <f t="shared" si="68"/>
        <v>0.12181312749621746</v>
      </c>
      <c r="G84" s="1"/>
      <c r="H84" s="1">
        <f>SUM(OSRRefH22_16x_0)</f>
        <v>2417</v>
      </c>
      <c r="I84" s="1"/>
      <c r="J84" s="5">
        <f t="shared" si="69"/>
        <v>0.39943810940340441</v>
      </c>
      <c r="K84" s="1"/>
      <c r="L84" s="1">
        <f t="shared" si="70"/>
        <v>-17</v>
      </c>
      <c r="M84" s="1"/>
      <c r="N84" s="5">
        <f t="shared" si="71"/>
        <v>-7.0335126189491103E-3</v>
      </c>
      <c r="O84" s="14"/>
      <c r="P84" s="1">
        <f>SUM(OSRRefP22_16x_0)</f>
        <v>2400</v>
      </c>
      <c r="Q84" s="1"/>
      <c r="R84" s="5">
        <f t="shared" si="72"/>
        <v>0.12181312749621746</v>
      </c>
      <c r="S84" s="1"/>
      <c r="T84" s="1">
        <f>SUM(OSRRefT22_16x_0)</f>
        <v>2417</v>
      </c>
      <c r="U84" s="1"/>
      <c r="V84" s="5">
        <f t="shared" si="73"/>
        <v>0.39943810940340441</v>
      </c>
      <c r="W84" s="1"/>
      <c r="X84" s="1">
        <f t="shared" si="74"/>
        <v>-17</v>
      </c>
      <c r="Y84" s="1"/>
      <c r="Z84" s="5">
        <f t="shared" si="75"/>
        <v>-7.0335126189491103E-3</v>
      </c>
    </row>
    <row r="85" spans="1:26" s="24" customFormat="1" hidden="1" outlineLevel="2" x14ac:dyDescent="0.3">
      <c r="A85" s="29"/>
      <c r="B85" s="11" t="str">
        <f>CONCATENATE("          ", "6274", " - ", "UTILITIES")</f>
        <v xml:space="preserve">          6274 - UTILITIES</v>
      </c>
      <c r="C85" s="11"/>
      <c r="D85" s="8">
        <v>2400</v>
      </c>
      <c r="E85" s="3"/>
      <c r="F85" s="7">
        <f t="shared" si="68"/>
        <v>0.12181312749621746</v>
      </c>
      <c r="G85" s="3"/>
      <c r="H85" s="8">
        <v>2417</v>
      </c>
      <c r="I85" s="3"/>
      <c r="J85" s="7">
        <f t="shared" si="69"/>
        <v>0.39943810940340441</v>
      </c>
      <c r="K85" s="3"/>
      <c r="L85" s="8">
        <f t="shared" si="70"/>
        <v>-17</v>
      </c>
      <c r="M85" s="3"/>
      <c r="N85" s="7">
        <f t="shared" si="71"/>
        <v>-7.0335126189491103E-3</v>
      </c>
      <c r="O85" s="11"/>
      <c r="P85" s="8">
        <v>2400</v>
      </c>
      <c r="Q85" s="3"/>
      <c r="R85" s="7">
        <f t="shared" si="72"/>
        <v>0.12181312749621746</v>
      </c>
      <c r="S85" s="3"/>
      <c r="T85" s="8">
        <v>2417</v>
      </c>
      <c r="U85" s="3"/>
      <c r="V85" s="7">
        <f t="shared" si="73"/>
        <v>0.39943810940340441</v>
      </c>
      <c r="W85" s="3"/>
      <c r="X85" s="8">
        <f t="shared" si="74"/>
        <v>-17</v>
      </c>
      <c r="Y85" s="3"/>
      <c r="Z85" s="7">
        <f t="shared" si="75"/>
        <v>-7.0335126189491103E-3</v>
      </c>
    </row>
    <row r="86" spans="1:26" s="62" customFormat="1" x14ac:dyDescent="0.3">
      <c r="A86" s="36"/>
      <c r="B86" s="36"/>
      <c r="C86" s="36"/>
      <c r="D86" s="1"/>
      <c r="E86" s="1"/>
      <c r="F86" s="5"/>
      <c r="G86" s="1"/>
      <c r="H86" s="1"/>
      <c r="I86" s="1"/>
      <c r="J86" s="5"/>
      <c r="K86" s="1"/>
      <c r="L86" s="1"/>
      <c r="M86" s="1"/>
      <c r="N86" s="5"/>
      <c r="O86" s="36"/>
      <c r="P86" s="1"/>
      <c r="Q86" s="1"/>
      <c r="R86" s="5"/>
      <c r="S86" s="1"/>
      <c r="T86" s="1"/>
      <c r="U86" s="1"/>
      <c r="V86" s="5"/>
      <c r="W86" s="1"/>
      <c r="X86" s="1"/>
      <c r="Y86" s="1"/>
      <c r="Z86" s="5"/>
    </row>
    <row r="87" spans="1:26" s="23" customFormat="1" collapsed="1" x14ac:dyDescent="0.3">
      <c r="A87" s="10"/>
      <c r="B87" s="25" t="s">
        <v>293</v>
      </c>
      <c r="C87" s="10"/>
      <c r="D87" s="4">
        <f>SUM(OSRRefD25x_0)</f>
        <v>2.33</v>
      </c>
      <c r="E87" s="4"/>
      <c r="F87" s="12">
        <f t="shared" ref="F87:F88" si="76">IF(D$12=0,0,D87/D$12)</f>
        <v>1.1826024461091113E-4</v>
      </c>
      <c r="G87" s="4"/>
      <c r="H87" s="4">
        <f>SUM(OSRRefH25x_0)</f>
        <v>0</v>
      </c>
      <c r="I87" s="4"/>
      <c r="J87" s="12">
        <f t="shared" ref="J87:J88" si="77">IF(H$12=0,0,H87/H$12)</f>
        <v>0</v>
      </c>
      <c r="K87" s="4"/>
      <c r="L87" s="4">
        <f t="shared" ref="L87:L88" si="78">+D87-H87</f>
        <v>2.33</v>
      </c>
      <c r="M87" s="4"/>
      <c r="N87" s="12">
        <f t="shared" ref="N87:N88" si="79">IF(H87=0,0,L87/H87)</f>
        <v>0</v>
      </c>
      <c r="O87" s="10"/>
      <c r="P87" s="4">
        <f>SUM(OSRRefP25x_0)</f>
        <v>2.33</v>
      </c>
      <c r="Q87" s="4"/>
      <c r="R87" s="12">
        <f t="shared" ref="R87:R88" si="80">IF(P$12=0,0,P87/P$12)</f>
        <v>1.1826024461091113E-4</v>
      </c>
      <c r="S87" s="4"/>
      <c r="T87" s="4">
        <f>SUM(OSRRefT25x_0)</f>
        <v>0</v>
      </c>
      <c r="U87" s="4"/>
      <c r="V87" s="12">
        <f t="shared" ref="V87:V88" si="81">IF(T$12=0,0,T87/T$12)</f>
        <v>0</v>
      </c>
      <c r="W87" s="4"/>
      <c r="X87" s="4">
        <f t="shared" ref="X87:X88" si="82">+P87-T87</f>
        <v>2.33</v>
      </c>
      <c r="Y87" s="4"/>
      <c r="Z87" s="12">
        <f t="shared" ref="Z87:Z88" si="83">IF(T87=0,0,X87/T87)</f>
        <v>0</v>
      </c>
    </row>
    <row r="88" spans="1:26" s="24" customFormat="1" hidden="1" outlineLevel="1" x14ac:dyDescent="0.3">
      <c r="A88" s="44"/>
      <c r="B88" s="11" t="str">
        <f>CONCATENATE("          ", "9150", " - ", "MISC. INCOME")</f>
        <v xml:space="preserve">          9150 - MISC. INCOME</v>
      </c>
      <c r="C88" s="11"/>
      <c r="D88" s="3">
        <f>--2.33</f>
        <v>2.33</v>
      </c>
      <c r="E88" s="3"/>
      <c r="F88" s="19">
        <f t="shared" si="76"/>
        <v>1.1826024461091113E-4</v>
      </c>
      <c r="G88" s="3"/>
      <c r="H88" s="3"/>
      <c r="I88" s="3"/>
      <c r="J88" s="19">
        <f t="shared" si="77"/>
        <v>0</v>
      </c>
      <c r="K88" s="3"/>
      <c r="L88" s="3">
        <f t="shared" si="78"/>
        <v>2.33</v>
      </c>
      <c r="M88" s="3"/>
      <c r="N88" s="19">
        <f t="shared" si="79"/>
        <v>0</v>
      </c>
      <c r="O88" s="11"/>
      <c r="P88" s="3">
        <f>--2.33</f>
        <v>2.33</v>
      </c>
      <c r="Q88" s="3"/>
      <c r="R88" s="19">
        <f t="shared" si="80"/>
        <v>1.1826024461091113E-4</v>
      </c>
      <c r="S88" s="3"/>
      <c r="T88" s="3"/>
      <c r="U88" s="3"/>
      <c r="V88" s="19">
        <f t="shared" si="81"/>
        <v>0</v>
      </c>
      <c r="W88" s="3"/>
      <c r="X88" s="3">
        <f t="shared" si="82"/>
        <v>2.33</v>
      </c>
      <c r="Y88" s="3"/>
      <c r="Z88" s="19">
        <f t="shared" si="83"/>
        <v>0</v>
      </c>
    </row>
    <row r="89" spans="1:26" x14ac:dyDescent="0.3">
      <c r="A89" s="9"/>
      <c r="B89" s="10"/>
      <c r="C89" s="10"/>
      <c r="D89" s="2"/>
      <c r="E89" s="2"/>
      <c r="F89" s="6"/>
      <c r="G89" s="2"/>
      <c r="H89" s="2"/>
      <c r="I89" s="2"/>
      <c r="J89" s="6"/>
      <c r="K89" s="2"/>
      <c r="L89" s="2"/>
      <c r="M89" s="2"/>
      <c r="N89" s="6"/>
      <c r="O89" s="10"/>
      <c r="P89" s="2"/>
      <c r="Q89" s="2"/>
      <c r="R89" s="6"/>
      <c r="S89" s="2"/>
      <c r="T89" s="2"/>
      <c r="U89" s="2"/>
      <c r="V89" s="6"/>
      <c r="W89" s="2"/>
      <c r="X89" s="2"/>
      <c r="Y89" s="2"/>
      <c r="Z89" s="6"/>
    </row>
    <row r="90" spans="1:26" s="23" customFormat="1" x14ac:dyDescent="0.3">
      <c r="A90" s="10"/>
      <c r="B90" s="26" t="s">
        <v>277</v>
      </c>
      <c r="C90" s="26"/>
      <c r="D90" s="21">
        <f>+D23-D25+D87</f>
        <v>-46410.609999999986</v>
      </c>
      <c r="E90" s="13"/>
      <c r="F90" s="22">
        <f>IF(D$12=0,0,D90/D$12)</f>
        <v>-2.3555923137946766</v>
      </c>
      <c r="G90" s="13"/>
      <c r="H90" s="21">
        <f>+H23-H25+H87</f>
        <v>-49361.557698378849</v>
      </c>
      <c r="I90" s="13"/>
      <c r="J90" s="22">
        <f>IF(H$12=0,0,H90/H$12)</f>
        <v>-8.1575867953030645</v>
      </c>
      <c r="K90" s="16"/>
      <c r="L90" s="21">
        <f>+D90-H90</f>
        <v>2950.9476983788627</v>
      </c>
      <c r="M90" s="16"/>
      <c r="N90" s="22">
        <f>IF(H90=0,0,L90/H90)</f>
        <v>-5.9782305015787192E-2</v>
      </c>
      <c r="O90" s="25"/>
      <c r="P90" s="21">
        <f>+P23-P25+P87</f>
        <v>-46410.609999999986</v>
      </c>
      <c r="Q90" s="13"/>
      <c r="R90" s="22">
        <f>IF(P$12=0,0,P90/P$12)</f>
        <v>-2.3555923137946766</v>
      </c>
      <c r="S90" s="13"/>
      <c r="T90" s="21">
        <f>+T23-T25+T87</f>
        <v>-49361.557698378849</v>
      </c>
      <c r="U90" s="13"/>
      <c r="V90" s="22">
        <f>IF(T$12=0,0,T90/T$12)</f>
        <v>-8.1575867953030645</v>
      </c>
      <c r="W90" s="16"/>
      <c r="X90" s="21">
        <f>+P90-T90</f>
        <v>2950.9476983788627</v>
      </c>
      <c r="Y90" s="16"/>
      <c r="Z90" s="22">
        <f>IF(T90=0,0,X90/T90)</f>
        <v>-5.9782305015787192E-2</v>
      </c>
    </row>
    <row r="91" spans="1:26" x14ac:dyDescent="0.3">
      <c r="A91" s="9"/>
      <c r="B91" s="10"/>
      <c r="C91" s="9"/>
      <c r="D91" s="2"/>
      <c r="E91" s="2"/>
      <c r="F91" s="6"/>
      <c r="G91" s="2"/>
      <c r="H91" s="2"/>
      <c r="I91" s="2"/>
      <c r="J91" s="6"/>
      <c r="K91" s="2"/>
      <c r="L91" s="2"/>
      <c r="M91" s="2"/>
      <c r="N91" s="6"/>
      <c r="P91" s="2"/>
      <c r="Q91" s="2"/>
      <c r="R91" s="6"/>
      <c r="S91" s="2"/>
      <c r="T91" s="2"/>
      <c r="U91" s="2"/>
      <c r="V91" s="6"/>
      <c r="W91" s="2"/>
      <c r="X91" s="2"/>
      <c r="Y91" s="2"/>
      <c r="Z91" s="6"/>
    </row>
    <row r="92" spans="1:26" s="23" customFormat="1" x14ac:dyDescent="0.3">
      <c r="A92" s="52"/>
      <c r="B92" s="10" t="s">
        <v>128</v>
      </c>
      <c r="C92" s="10"/>
      <c r="D92" s="4">
        <v>9102.39</v>
      </c>
      <c r="E92" s="4"/>
      <c r="F92" s="12">
        <f>IF(D$12=0,0,D92/D$12)</f>
        <v>0.46199608066262282</v>
      </c>
      <c r="G92" s="4"/>
      <c r="H92" s="4">
        <v>2191</v>
      </c>
      <c r="I92" s="4"/>
      <c r="J92" s="12">
        <f>IF(H$12=0,0,H92/H$12)</f>
        <v>0.36208891092381423</v>
      </c>
      <c r="K92" s="4"/>
      <c r="L92" s="4">
        <f>+D92-H92</f>
        <v>6911.3899999999994</v>
      </c>
      <c r="M92" s="4"/>
      <c r="N92" s="12">
        <f>IF(H92=0,0,L92/H92)</f>
        <v>3.1544454586946595</v>
      </c>
      <c r="O92" s="10"/>
      <c r="P92" s="4">
        <v>9102.39</v>
      </c>
      <c r="Q92" s="4"/>
      <c r="R92" s="12">
        <f>IF(P$12=0,0,P92/P$12)</f>
        <v>0.46199608066262282</v>
      </c>
      <c r="S92" s="4"/>
      <c r="T92" s="4">
        <v>2191</v>
      </c>
      <c r="U92" s="4"/>
      <c r="V92" s="12">
        <f>IF(T$12=0,0,T92/T$12)</f>
        <v>0.36208891092381423</v>
      </c>
      <c r="W92" s="4"/>
      <c r="X92" s="4">
        <f>+P92-T92</f>
        <v>6911.3899999999994</v>
      </c>
      <c r="Y92" s="4"/>
      <c r="Z92" s="12">
        <f>IF(T92=0,0,X92/T92)</f>
        <v>3.1544454586946595</v>
      </c>
    </row>
    <row r="93" spans="1:26" x14ac:dyDescent="0.3">
      <c r="A93" s="9"/>
      <c r="B93" s="10"/>
      <c r="C93" s="10"/>
      <c r="D93" s="2"/>
      <c r="E93" s="2"/>
      <c r="F93" s="6"/>
      <c r="G93" s="2"/>
      <c r="H93" s="2"/>
      <c r="I93" s="2"/>
      <c r="J93" s="6"/>
      <c r="K93" s="2"/>
      <c r="L93" s="2"/>
      <c r="M93" s="2"/>
      <c r="N93" s="6"/>
      <c r="O93" s="10"/>
      <c r="P93" s="2"/>
      <c r="Q93" s="2"/>
      <c r="R93" s="6"/>
      <c r="S93" s="2"/>
      <c r="T93" s="2"/>
      <c r="U93" s="2"/>
      <c r="V93" s="6"/>
      <c r="W93" s="2"/>
      <c r="X93" s="2"/>
      <c r="Y93" s="2"/>
      <c r="Z93" s="6"/>
    </row>
    <row r="94" spans="1:26" s="23" customFormat="1" ht="15" thickBot="1" x14ac:dyDescent="0.35">
      <c r="A94" s="10"/>
      <c r="B94" s="26" t="s">
        <v>126</v>
      </c>
      <c r="C94" s="26"/>
      <c r="D94" s="35">
        <f>+D90-D92</f>
        <v>-55512.999999999985</v>
      </c>
      <c r="E94" s="13"/>
      <c r="F94" s="30">
        <f>IF(D$12=0,0,D94/D$12)</f>
        <v>-2.8175883944572995</v>
      </c>
      <c r="G94" s="13"/>
      <c r="H94" s="35">
        <f>+H90-H92</f>
        <v>-51552.557698378849</v>
      </c>
      <c r="I94" s="13"/>
      <c r="J94" s="30">
        <f>IF(H$12=0,0,H94/H$12)</f>
        <v>-8.5196757062268791</v>
      </c>
      <c r="K94" s="16"/>
      <c r="L94" s="35">
        <f>D94-H94</f>
        <v>-3960.4423016211367</v>
      </c>
      <c r="M94" s="16"/>
      <c r="N94" s="30">
        <f>IF(H94=0,0,L94/H94)</f>
        <v>7.6823391087454798E-2</v>
      </c>
      <c r="O94" s="25"/>
      <c r="P94" s="35">
        <f>+P90-P92</f>
        <v>-55512.999999999985</v>
      </c>
      <c r="Q94" s="13"/>
      <c r="R94" s="30">
        <f>IF(P$12=0,0,P94/P$12)</f>
        <v>-2.8175883944572995</v>
      </c>
      <c r="S94" s="13"/>
      <c r="T94" s="35">
        <f>+T90-T92</f>
        <v>-51552.557698378849</v>
      </c>
      <c r="U94" s="13"/>
      <c r="V94" s="30">
        <f>IF(T$12=0,0,T94/T$12)</f>
        <v>-8.5196757062268791</v>
      </c>
      <c r="W94" s="16"/>
      <c r="X94" s="35">
        <f>P94-T94</f>
        <v>-3960.4423016211367</v>
      </c>
      <c r="Y94" s="16"/>
      <c r="Z94" s="30">
        <f>IF(T94=0,0,X94/T94)</f>
        <v>7.6823391087454798E-2</v>
      </c>
    </row>
    <row r="95" spans="1:26" ht="15" thickTop="1" x14ac:dyDescent="0.3">
      <c r="A95" s="9"/>
      <c r="B95" s="9"/>
      <c r="C95" s="9"/>
      <c r="D95" s="2"/>
      <c r="E95" s="2"/>
      <c r="F95" s="6"/>
      <c r="G95" s="2"/>
      <c r="H95" s="2"/>
      <c r="I95" s="2"/>
      <c r="J95" s="6"/>
      <c r="K95" s="2"/>
      <c r="L95" s="2"/>
      <c r="M95" s="2"/>
      <c r="N95" s="6"/>
      <c r="P95" s="2"/>
      <c r="Q95" s="2"/>
      <c r="R95" s="6"/>
      <c r="S95" s="2"/>
      <c r="T95" s="2"/>
      <c r="U95" s="2"/>
      <c r="V95" s="6"/>
      <c r="W95" s="2"/>
      <c r="X95" s="2"/>
      <c r="Y95" s="2"/>
      <c r="Z95" s="6"/>
    </row>
    <row r="96" spans="1:26" x14ac:dyDescent="0.3">
      <c r="A96" s="9"/>
      <c r="B96" s="9"/>
      <c r="C96" s="9"/>
      <c r="D96" s="2"/>
      <c r="E96" s="2"/>
      <c r="F96" s="6"/>
      <c r="G96" s="2"/>
      <c r="H96" s="2"/>
      <c r="I96" s="2"/>
      <c r="J96" s="6"/>
      <c r="K96" s="2"/>
      <c r="L96" s="2"/>
      <c r="M96" s="2"/>
      <c r="N96" s="6"/>
      <c r="P96" s="2"/>
      <c r="Q96" s="2"/>
      <c r="R96" s="6"/>
      <c r="S96" s="2"/>
      <c r="T96" s="2"/>
      <c r="U96" s="2"/>
      <c r="V96" s="6"/>
      <c r="W96" s="2"/>
      <c r="X96" s="2"/>
      <c r="Y96" s="2"/>
      <c r="Z96" s="6"/>
    </row>
    <row r="97" spans="1:26" s="23" customFormat="1" ht="15" thickBot="1" x14ac:dyDescent="0.35">
      <c r="A97" s="10"/>
      <c r="B97" s="26" t="s">
        <v>294</v>
      </c>
      <c r="C97" s="26"/>
      <c r="D97" s="33">
        <f>SUM(D94:D96)</f>
        <v>-55512.999999999985</v>
      </c>
      <c r="E97" s="13"/>
      <c r="F97" s="31">
        <f>IF(D$12=0,0,D97/D$12)</f>
        <v>-2.8175883944572995</v>
      </c>
      <c r="G97" s="13"/>
      <c r="H97" s="33">
        <f>SUM(H94:H96)</f>
        <v>-51552.557698378849</v>
      </c>
      <c r="I97" s="13"/>
      <c r="J97" s="31">
        <f>IF(H$12=0,0,H97/H$12)</f>
        <v>-8.5196757062268791</v>
      </c>
      <c r="K97" s="16"/>
      <c r="L97" s="33">
        <f>+D97-H97</f>
        <v>-3960.4423016211367</v>
      </c>
      <c r="M97" s="16"/>
      <c r="N97" s="31">
        <f>IF(H97=0,0,L97/H97)</f>
        <v>7.6823391087454798E-2</v>
      </c>
      <c r="O97" s="25"/>
      <c r="P97" s="33">
        <f>SUM(P94:P96)</f>
        <v>-55512.999999999985</v>
      </c>
      <c r="Q97" s="13"/>
      <c r="R97" s="31">
        <f>IF(P$12=0,0,P97/P$12)</f>
        <v>-2.8175883944572995</v>
      </c>
      <c r="S97" s="13"/>
      <c r="T97" s="33">
        <f>SUM(T94:T96)</f>
        <v>-51552.557698378849</v>
      </c>
      <c r="U97" s="13"/>
      <c r="V97" s="31">
        <f>IF(T$12=0,0,T97/T$12)</f>
        <v>-8.5196757062268791</v>
      </c>
      <c r="W97" s="16"/>
      <c r="X97" s="33">
        <f>+P97-T97</f>
        <v>-3960.4423016211367</v>
      </c>
      <c r="Y97" s="16"/>
      <c r="Z97" s="31">
        <f>IF(T97=0,0,X97/T97)</f>
        <v>7.6823391087454798E-2</v>
      </c>
    </row>
    <row r="98" spans="1:26" ht="15" thickTop="1" x14ac:dyDescent="0.3">
      <c r="A98" s="9"/>
      <c r="C98" s="9"/>
      <c r="D98" s="18"/>
      <c r="E98" s="18"/>
      <c r="G98" s="18"/>
      <c r="H98" s="18"/>
      <c r="I98" s="18"/>
      <c r="J98" s="43"/>
      <c r="K98" s="18"/>
      <c r="L98" s="18"/>
      <c r="M98" s="18"/>
      <c r="P98" s="18"/>
      <c r="Q98" s="18"/>
      <c r="R98" s="43"/>
      <c r="S98" s="18"/>
      <c r="T98" s="18"/>
      <c r="U98" s="18"/>
      <c r="V98" s="43"/>
      <c r="W98" s="18"/>
      <c r="X98" s="18"/>
    </row>
    <row r="99" spans="1:26" x14ac:dyDescent="0.3">
      <c r="A99" s="9"/>
      <c r="B99" s="54">
        <v>44462.64548684028</v>
      </c>
      <c r="D99" s="18"/>
      <c r="E99" s="18"/>
      <c r="G99" s="18"/>
      <c r="H99" s="18"/>
      <c r="I99" s="18"/>
      <c r="J99" s="43"/>
      <c r="K99" s="18"/>
      <c r="L99" s="18"/>
      <c r="M99" s="18"/>
      <c r="P99" s="18"/>
      <c r="Q99" s="18"/>
      <c r="R99" s="43"/>
      <c r="S99" s="18"/>
      <c r="T99" s="18"/>
      <c r="U99" s="18"/>
      <c r="V99" s="43"/>
      <c r="W99" s="18"/>
      <c r="X99" s="18"/>
    </row>
    <row r="100" spans="1:26" x14ac:dyDescent="0.3">
      <c r="A100" s="9"/>
      <c r="B100" s="59" t="s">
        <v>56</v>
      </c>
      <c r="D100" s="18"/>
      <c r="E100" s="18"/>
      <c r="G100" s="18"/>
      <c r="H100" s="18"/>
      <c r="I100" s="18"/>
      <c r="J100" s="43"/>
      <c r="K100" s="18"/>
      <c r="L100" s="18"/>
      <c r="M100" s="18"/>
      <c r="P100" s="18"/>
      <c r="Q100" s="18"/>
      <c r="R100" s="43"/>
      <c r="S100" s="18"/>
      <c r="T100" s="18"/>
      <c r="U100" s="18"/>
      <c r="V100" s="43"/>
      <c r="W100" s="18"/>
      <c r="X100" s="18"/>
    </row>
    <row r="101" spans="1:26" x14ac:dyDescent="0.3">
      <c r="A101" s="9"/>
      <c r="B101" s="55"/>
      <c r="D101" s="18"/>
      <c r="E101" s="18"/>
      <c r="G101" s="18"/>
      <c r="H101" s="18"/>
      <c r="I101" s="18"/>
      <c r="J101" s="43"/>
      <c r="K101" s="18"/>
      <c r="L101" s="18"/>
      <c r="M101" s="18"/>
      <c r="P101" s="18"/>
      <c r="Q101" s="18"/>
      <c r="R101" s="43"/>
      <c r="S101" s="18"/>
      <c r="T101" s="18"/>
      <c r="U101" s="18"/>
      <c r="V101" s="43"/>
      <c r="W101" s="18"/>
      <c r="X101" s="18"/>
    </row>
    <row r="102" spans="1:26" x14ac:dyDescent="0.3">
      <c r="D102" s="18"/>
      <c r="E102" s="18"/>
      <c r="G102" s="18"/>
      <c r="H102" s="18"/>
      <c r="I102" s="18"/>
      <c r="J102" s="43"/>
      <c r="K102" s="18"/>
      <c r="L102" s="18"/>
      <c r="M102" s="18"/>
      <c r="P102" s="18"/>
      <c r="Q102" s="18"/>
      <c r="R102" s="43"/>
      <c r="S102" s="18"/>
      <c r="T102" s="18"/>
      <c r="U102" s="18"/>
      <c r="V102" s="43"/>
      <c r="W102" s="18"/>
      <c r="X102" s="18"/>
    </row>
  </sheetData>
  <pageMargins left="0.25" right="0.25" top="0.75" bottom="0.75" header="0.3" footer="0.3"/>
  <pageSetup scale="55" fitToWidth="2" orientation="landscape"/>
  <drawing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>
    <tabColor rgb="FF92D050"/>
    <outlinePr summaryBelow="0" summaryRight="0"/>
  </sheetPr>
  <dimension ref="A2:Z92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50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7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50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7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7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7" customWidth="1" outlineLevel="1"/>
  </cols>
  <sheetData>
    <row r="2" spans="1:26" x14ac:dyDescent="0.3">
      <c r="D2" s="57" t="s">
        <v>23</v>
      </c>
    </row>
    <row r="3" spans="1:26" x14ac:dyDescent="0.3">
      <c r="D3" s="57" t="s">
        <v>237</v>
      </c>
      <c r="E3" s="17"/>
      <c r="F3" s="51"/>
      <c r="G3" s="17"/>
      <c r="H3" s="17"/>
      <c r="I3" s="17"/>
      <c r="J3" s="39"/>
      <c r="K3" s="17"/>
      <c r="L3" s="17"/>
      <c r="M3" s="17"/>
      <c r="N3" s="51"/>
      <c r="O3" s="61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3">
      <c r="D4" s="57" t="str">
        <f>CONCATENATE("Period ",RIGHT(202201,2),", ",2022)</f>
        <v>Period 01, 2022</v>
      </c>
      <c r="E4" s="17"/>
      <c r="F4" s="51"/>
      <c r="G4" s="17"/>
      <c r="H4" s="17"/>
      <c r="I4" s="17"/>
      <c r="J4" s="39"/>
      <c r="K4" s="17"/>
      <c r="L4" s="17"/>
      <c r="M4" s="17"/>
      <c r="N4" s="51"/>
      <c r="O4" s="61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3">
      <c r="A5" s="23"/>
      <c r="D5" s="64">
        <v>44408</v>
      </c>
      <c r="E5" s="17"/>
      <c r="F5" s="51"/>
      <c r="G5" s="17"/>
      <c r="H5" s="17"/>
      <c r="I5" s="17"/>
      <c r="J5" s="39"/>
      <c r="K5" s="17"/>
      <c r="L5" s="17"/>
      <c r="M5" s="17"/>
      <c r="N5" s="51"/>
      <c r="O5" s="61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3">
      <c r="A6" s="23"/>
      <c r="B6" s="47"/>
      <c r="C6" s="47"/>
      <c r="D6" s="23" t="str">
        <f>CONCATENATE("Department ","418", " - ", "Nugget")</f>
        <v>Department 418 - Nugget</v>
      </c>
      <c r="E6" s="17"/>
      <c r="F6" s="51"/>
      <c r="G6" s="17"/>
      <c r="H6" s="17"/>
      <c r="I6" s="17"/>
      <c r="J6" s="39"/>
      <c r="K6" s="17"/>
      <c r="L6" s="17"/>
      <c r="M6" s="17"/>
      <c r="N6" s="51"/>
      <c r="O6" s="60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3">
      <c r="B7" s="63"/>
    </row>
    <row r="8" spans="1:26" x14ac:dyDescent="0.3">
      <c r="B8" s="63"/>
    </row>
    <row r="9" spans="1:26" x14ac:dyDescent="0.3">
      <c r="B9" s="9"/>
      <c r="C9" s="9"/>
      <c r="D9" s="15" t="s">
        <v>292</v>
      </c>
      <c r="E9" s="15"/>
      <c r="F9" s="38"/>
      <c r="G9" s="15"/>
      <c r="H9" s="15"/>
      <c r="I9" s="15"/>
      <c r="J9" s="49"/>
      <c r="K9" s="15"/>
      <c r="L9" s="15"/>
      <c r="M9" s="15"/>
      <c r="N9" s="38"/>
      <c r="P9" s="15" t="s">
        <v>39</v>
      </c>
      <c r="Q9" s="15"/>
      <c r="R9" s="38"/>
      <c r="S9" s="15"/>
      <c r="T9" s="15"/>
      <c r="U9" s="15"/>
      <c r="V9" s="49"/>
      <c r="W9" s="15"/>
      <c r="X9" s="15"/>
      <c r="Y9" s="15"/>
      <c r="Z9" s="38"/>
    </row>
    <row r="10" spans="1:26" x14ac:dyDescent="0.3">
      <c r="A10" s="10"/>
      <c r="B10" s="53"/>
      <c r="C10" s="10"/>
      <c r="D10" s="42" t="s">
        <v>57</v>
      </c>
      <c r="E10" s="34"/>
      <c r="F10" s="40" t="s">
        <v>40</v>
      </c>
      <c r="G10" s="34"/>
      <c r="H10" s="45" t="s">
        <v>238</v>
      </c>
      <c r="I10" s="34"/>
      <c r="J10" s="48" t="s">
        <v>58</v>
      </c>
      <c r="K10" s="10"/>
      <c r="L10" s="42" t="s">
        <v>127</v>
      </c>
      <c r="M10" s="10"/>
      <c r="N10" s="40" t="s">
        <v>258</v>
      </c>
      <c r="O10" s="10"/>
      <c r="P10" s="56" t="s">
        <v>57</v>
      </c>
      <c r="Q10" s="34"/>
      <c r="R10" s="40" t="s">
        <v>40</v>
      </c>
      <c r="S10" s="34"/>
      <c r="T10" s="45" t="s">
        <v>238</v>
      </c>
      <c r="U10" s="34"/>
      <c r="V10" s="48" t="s">
        <v>58</v>
      </c>
      <c r="W10" s="10"/>
      <c r="X10" s="42" t="s">
        <v>127</v>
      </c>
      <c r="Y10" s="10"/>
      <c r="Z10" s="40" t="s">
        <v>258</v>
      </c>
    </row>
    <row r="11" spans="1:26" ht="15.6" x14ac:dyDescent="0.3">
      <c r="A11" s="9"/>
      <c r="B11" s="58"/>
      <c r="C11" s="9"/>
      <c r="D11" s="9"/>
      <c r="E11" s="9"/>
      <c r="F11" s="6"/>
      <c r="G11" s="9"/>
      <c r="H11" s="9"/>
      <c r="I11" s="9"/>
      <c r="J11" s="46"/>
      <c r="K11" s="9"/>
      <c r="L11" s="9"/>
      <c r="M11" s="9"/>
      <c r="N11" s="6"/>
      <c r="P11" s="9"/>
      <c r="Q11" s="9"/>
      <c r="R11" s="6"/>
      <c r="S11" s="9"/>
      <c r="T11" s="9"/>
      <c r="U11" s="9"/>
      <c r="V11" s="46"/>
      <c r="W11" s="9"/>
      <c r="X11" s="9"/>
      <c r="Y11" s="9"/>
      <c r="Z11" s="6"/>
    </row>
    <row r="12" spans="1:26" s="23" customFormat="1" collapsed="1" x14ac:dyDescent="0.3">
      <c r="A12" s="10"/>
      <c r="B12" s="25" t="s">
        <v>140</v>
      </c>
      <c r="C12" s="10"/>
      <c r="D12" s="4">
        <f>SUM(OSRRefD13x_0)</f>
        <v>0</v>
      </c>
      <c r="E12" s="4"/>
      <c r="F12" s="12"/>
      <c r="G12" s="4"/>
      <c r="H12" s="4">
        <f>SUM(OSRRefH13x_0)</f>
        <v>2464</v>
      </c>
      <c r="I12" s="4"/>
      <c r="J12" s="12"/>
      <c r="K12" s="4"/>
      <c r="L12" s="4">
        <f t="shared" ref="L12:L14" si="0">+D12-H12</f>
        <v>-2464</v>
      </c>
      <c r="M12" s="4"/>
      <c r="N12" s="12">
        <f t="shared" ref="N12:N14" si="1">IF(H12=0,0,L12/H12)</f>
        <v>-1</v>
      </c>
      <c r="O12" s="10"/>
      <c r="P12" s="4">
        <f>SUM(OSRRefP13x_0)</f>
        <v>0</v>
      </c>
      <c r="Q12" s="4"/>
      <c r="R12" s="12"/>
      <c r="S12" s="4"/>
      <c r="T12" s="4">
        <f>SUM(OSRRefT13x_0)</f>
        <v>2464</v>
      </c>
      <c r="U12" s="4"/>
      <c r="V12" s="12"/>
      <c r="W12" s="4"/>
      <c r="X12" s="4">
        <f t="shared" ref="X12:X14" si="2">+P12-T12</f>
        <v>-2464</v>
      </c>
      <c r="Y12" s="4"/>
      <c r="Z12" s="12">
        <f t="shared" ref="Z12:Z14" si="3">IF(T12=0,0,X12/T12)</f>
        <v>-1</v>
      </c>
    </row>
    <row r="13" spans="1:26" s="24" customFormat="1" hidden="1" outlineLevel="1" x14ac:dyDescent="0.3">
      <c r="A13" s="44"/>
      <c r="B13" s="11" t="str">
        <f>CONCATENATE("          ", "4000", " - ", "TAXABLE SALES")</f>
        <v xml:space="preserve">          4000 - TAXABLE SALES</v>
      </c>
      <c r="C13" s="11"/>
      <c r="D13" s="3">
        <f t="shared" ref="D13:D14" si="4">0</f>
        <v>0</v>
      </c>
      <c r="E13" s="3"/>
      <c r="F13" s="19"/>
      <c r="G13" s="3"/>
      <c r="H13" s="3">
        <v>880</v>
      </c>
      <c r="I13" s="3"/>
      <c r="J13" s="19"/>
      <c r="K13" s="3"/>
      <c r="L13" s="3">
        <f t="shared" si="0"/>
        <v>-880</v>
      </c>
      <c r="M13" s="3"/>
      <c r="N13" s="19">
        <f t="shared" si="1"/>
        <v>-1</v>
      </c>
      <c r="O13" s="11"/>
      <c r="P13" s="3">
        <f t="shared" ref="P13:P14" si="5">0</f>
        <v>0</v>
      </c>
      <c r="Q13" s="3"/>
      <c r="R13" s="19"/>
      <c r="S13" s="3"/>
      <c r="T13" s="3">
        <v>880</v>
      </c>
      <c r="U13" s="3"/>
      <c r="V13" s="19"/>
      <c r="W13" s="3"/>
      <c r="X13" s="3">
        <f t="shared" si="2"/>
        <v>-880</v>
      </c>
      <c r="Y13" s="3"/>
      <c r="Z13" s="19">
        <f t="shared" si="3"/>
        <v>-1</v>
      </c>
    </row>
    <row r="14" spans="1:26" s="24" customFormat="1" hidden="1" outlineLevel="1" x14ac:dyDescent="0.3">
      <c r="A14" s="44"/>
      <c r="B14" s="11" t="str">
        <f>CONCATENATE("          ", "4100", " - ", "NON-TAXABLE SALES")</f>
        <v xml:space="preserve">          4100 - NON-TAXABLE SALES</v>
      </c>
      <c r="C14" s="11"/>
      <c r="D14" s="3">
        <f t="shared" si="4"/>
        <v>0</v>
      </c>
      <c r="E14" s="3"/>
      <c r="F14" s="19"/>
      <c r="G14" s="3"/>
      <c r="H14" s="3">
        <v>1584</v>
      </c>
      <c r="I14" s="3"/>
      <c r="J14" s="19"/>
      <c r="K14" s="3"/>
      <c r="L14" s="3">
        <f t="shared" si="0"/>
        <v>-1584</v>
      </c>
      <c r="M14" s="3"/>
      <c r="N14" s="19">
        <f t="shared" si="1"/>
        <v>-1</v>
      </c>
      <c r="O14" s="11"/>
      <c r="P14" s="3">
        <f t="shared" si="5"/>
        <v>0</v>
      </c>
      <c r="Q14" s="3"/>
      <c r="R14" s="19"/>
      <c r="S14" s="3"/>
      <c r="T14" s="3">
        <v>1584</v>
      </c>
      <c r="U14" s="3"/>
      <c r="V14" s="19"/>
      <c r="W14" s="3"/>
      <c r="X14" s="3">
        <f t="shared" si="2"/>
        <v>-1584</v>
      </c>
      <c r="Y14" s="3"/>
      <c r="Z14" s="19">
        <f t="shared" si="3"/>
        <v>-1</v>
      </c>
    </row>
    <row r="15" spans="1:26" x14ac:dyDescent="0.3">
      <c r="A15" s="9"/>
      <c r="B15" s="10"/>
      <c r="C15" s="9"/>
      <c r="D15" s="2"/>
      <c r="E15" s="2"/>
      <c r="F15" s="6"/>
      <c r="G15" s="2"/>
      <c r="H15" s="2"/>
      <c r="I15" s="2"/>
      <c r="J15" s="6"/>
      <c r="K15" s="2"/>
      <c r="L15" s="2"/>
      <c r="M15" s="2"/>
      <c r="N15" s="6"/>
      <c r="P15" s="2"/>
      <c r="Q15" s="2"/>
      <c r="R15" s="6"/>
      <c r="S15" s="2"/>
      <c r="T15" s="2"/>
      <c r="U15" s="2"/>
      <c r="V15" s="6"/>
      <c r="W15" s="2"/>
      <c r="X15" s="2"/>
      <c r="Y15" s="2"/>
      <c r="Z15" s="6"/>
    </row>
    <row r="16" spans="1:26" s="23" customFormat="1" collapsed="1" x14ac:dyDescent="0.3">
      <c r="A16" s="10"/>
      <c r="B16" s="25" t="s">
        <v>257</v>
      </c>
      <c r="C16" s="10"/>
      <c r="D16" s="4">
        <f>SUM(OSRRefD16x_0)</f>
        <v>0</v>
      </c>
      <c r="E16" s="4"/>
      <c r="F16" s="12">
        <f t="shared" ref="F16:F17" si="6">IF(D$12=0,0,D16/D$12)</f>
        <v>0</v>
      </c>
      <c r="G16" s="4"/>
      <c r="H16" s="4">
        <f>SUM(OSRRefH16x_0)</f>
        <v>950</v>
      </c>
      <c r="I16" s="4"/>
      <c r="J16" s="12">
        <f t="shared" ref="J16:J17" si="7">IF(H$12=0,0,H16/H$12)</f>
        <v>0.38555194805194803</v>
      </c>
      <c r="K16" s="4"/>
      <c r="L16" s="4">
        <f t="shared" ref="L16:L17" si="8">+D16-H16</f>
        <v>-950</v>
      </c>
      <c r="M16" s="4"/>
      <c r="N16" s="12">
        <f t="shared" ref="N16:N17" si="9">IF(H16=0,0,L16/H16)</f>
        <v>-1</v>
      </c>
      <c r="O16" s="10"/>
      <c r="P16" s="4">
        <f>SUM(OSRRefP16x_0)</f>
        <v>0</v>
      </c>
      <c r="Q16" s="4"/>
      <c r="R16" s="12">
        <f t="shared" ref="R16:R17" si="10">IF(P$12=0,0,P16/P$12)</f>
        <v>0</v>
      </c>
      <c r="S16" s="4"/>
      <c r="T16" s="4">
        <f>SUM(OSRRefT16x_0)</f>
        <v>950</v>
      </c>
      <c r="U16" s="4"/>
      <c r="V16" s="12">
        <f t="shared" ref="V16:V17" si="11">IF(T$12=0,0,T16/T$12)</f>
        <v>0.38555194805194803</v>
      </c>
      <c r="W16" s="4"/>
      <c r="X16" s="4">
        <f t="shared" ref="X16:X17" si="12">+P16-T16</f>
        <v>-950</v>
      </c>
      <c r="Y16" s="4"/>
      <c r="Z16" s="12">
        <f t="shared" ref="Z16:Z17" si="13">IF(T16=0,0,X16/T16)</f>
        <v>-1</v>
      </c>
    </row>
    <row r="17" spans="1:26" s="24" customFormat="1" hidden="1" outlineLevel="1" x14ac:dyDescent="0.3">
      <c r="A17" s="44"/>
      <c r="B17" s="11" t="str">
        <f>CONCATENATE("          ", "5000", " - ", "PURCHASES @ COST")</f>
        <v xml:space="preserve">          5000 - PURCHASES @ COST</v>
      </c>
      <c r="C17" s="11"/>
      <c r="D17" s="3"/>
      <c r="E17" s="3"/>
      <c r="F17" s="19">
        <f t="shared" si="6"/>
        <v>0</v>
      </c>
      <c r="G17" s="3"/>
      <c r="H17" s="3">
        <v>950</v>
      </c>
      <c r="I17" s="3"/>
      <c r="J17" s="19">
        <f t="shared" si="7"/>
        <v>0.38555194805194803</v>
      </c>
      <c r="K17" s="3"/>
      <c r="L17" s="3">
        <f t="shared" si="8"/>
        <v>-950</v>
      </c>
      <c r="M17" s="3"/>
      <c r="N17" s="19">
        <f t="shared" si="9"/>
        <v>-1</v>
      </c>
      <c r="O17" s="11"/>
      <c r="P17" s="3"/>
      <c r="Q17" s="3"/>
      <c r="R17" s="19">
        <f t="shared" si="10"/>
        <v>0</v>
      </c>
      <c r="S17" s="3"/>
      <c r="T17" s="3">
        <v>950</v>
      </c>
      <c r="U17" s="3"/>
      <c r="V17" s="19">
        <f t="shared" si="11"/>
        <v>0.38555194805194803</v>
      </c>
      <c r="W17" s="3"/>
      <c r="X17" s="3">
        <f t="shared" si="12"/>
        <v>-950</v>
      </c>
      <c r="Y17" s="3"/>
      <c r="Z17" s="19">
        <f t="shared" si="13"/>
        <v>-1</v>
      </c>
    </row>
    <row r="18" spans="1:26" x14ac:dyDescent="0.3">
      <c r="A18" s="9"/>
      <c r="B18" s="10"/>
      <c r="C18" s="10"/>
      <c r="D18" s="2"/>
      <c r="E18" s="2"/>
      <c r="F18" s="6"/>
      <c r="G18" s="2"/>
      <c r="H18" s="2"/>
      <c r="I18" s="2"/>
      <c r="J18" s="6"/>
      <c r="K18" s="2"/>
      <c r="L18" s="2"/>
      <c r="M18" s="2"/>
      <c r="N18" s="6"/>
      <c r="O18" s="10"/>
      <c r="P18" s="2"/>
      <c r="Q18" s="2"/>
      <c r="R18" s="6"/>
      <c r="S18" s="2"/>
      <c r="T18" s="2"/>
      <c r="U18" s="2"/>
      <c r="V18" s="6"/>
      <c r="W18" s="2"/>
      <c r="X18" s="2"/>
      <c r="Y18" s="2"/>
      <c r="Z18" s="6"/>
    </row>
    <row r="19" spans="1:26" s="23" customFormat="1" x14ac:dyDescent="0.3">
      <c r="A19" s="10"/>
      <c r="B19" s="26" t="s">
        <v>108</v>
      </c>
      <c r="C19" s="26"/>
      <c r="D19" s="21">
        <f>D12-D16</f>
        <v>0</v>
      </c>
      <c r="E19" s="13"/>
      <c r="F19" s="22">
        <f>IF(D$12=0,0,D19/D$12)</f>
        <v>0</v>
      </c>
      <c r="G19" s="13"/>
      <c r="H19" s="21">
        <f>H12-H16</f>
        <v>1514</v>
      </c>
      <c r="I19" s="13"/>
      <c r="J19" s="22">
        <f>IF(H$12=0,0,H19/H$12)</f>
        <v>0.61444805194805197</v>
      </c>
      <c r="K19" s="16"/>
      <c r="L19" s="21">
        <f>+D19-H19</f>
        <v>-1514</v>
      </c>
      <c r="M19" s="16"/>
      <c r="N19" s="22">
        <f>IF(H19=0,0,L19/H19)</f>
        <v>-1</v>
      </c>
      <c r="O19" s="25"/>
      <c r="P19" s="21">
        <f>P12-P16</f>
        <v>0</v>
      </c>
      <c r="Q19" s="13"/>
      <c r="R19" s="22">
        <f>IF(P$12=0,0,P19/P$12)</f>
        <v>0</v>
      </c>
      <c r="S19" s="13"/>
      <c r="T19" s="21">
        <f>T12-T16</f>
        <v>1514</v>
      </c>
      <c r="U19" s="13"/>
      <c r="V19" s="22">
        <f>IF(T$12=0,0,T19/T$12)</f>
        <v>0.61444805194805197</v>
      </c>
      <c r="W19" s="16"/>
      <c r="X19" s="21">
        <f>+P19-T19</f>
        <v>-1514</v>
      </c>
      <c r="Y19" s="16"/>
      <c r="Z19" s="22">
        <f>IF(T19=0,0,X19/T19)</f>
        <v>-1</v>
      </c>
    </row>
    <row r="20" spans="1:26" x14ac:dyDescent="0.3">
      <c r="A20" s="9"/>
      <c r="B20" s="10"/>
      <c r="C20" s="9"/>
      <c r="D20" s="1"/>
      <c r="E20" s="1"/>
      <c r="F20" s="5"/>
      <c r="G20" s="1"/>
      <c r="H20" s="1"/>
      <c r="I20" s="1"/>
      <c r="J20" s="5"/>
      <c r="K20" s="1"/>
      <c r="L20" s="1"/>
      <c r="M20" s="1"/>
      <c r="N20" s="5"/>
      <c r="O20" s="36"/>
      <c r="P20" s="1"/>
      <c r="Q20" s="1"/>
      <c r="R20" s="5"/>
      <c r="S20" s="1"/>
      <c r="T20" s="1"/>
      <c r="U20" s="1"/>
      <c r="V20" s="5"/>
      <c r="W20" s="1"/>
      <c r="X20" s="1"/>
      <c r="Y20" s="1"/>
      <c r="Z20" s="5"/>
    </row>
    <row r="21" spans="1:26" s="23" customFormat="1" x14ac:dyDescent="0.3">
      <c r="A21" s="10"/>
      <c r="B21" s="25" t="s">
        <v>295</v>
      </c>
      <c r="C21" s="10"/>
      <c r="D21" s="20">
        <f>SUM(OSRRefD22x_0)</f>
        <v>21761.300000000003</v>
      </c>
      <c r="E21" s="20"/>
      <c r="F21" s="32">
        <f t="shared" ref="F21:F31" si="14">IF(D$12=0,0,D21/D$12)</f>
        <v>0</v>
      </c>
      <c r="G21" s="20"/>
      <c r="H21" s="20">
        <f>SUM(OSRRefH22x_0)</f>
        <v>43218.975544615379</v>
      </c>
      <c r="I21" s="20"/>
      <c r="J21" s="32">
        <f t="shared" ref="J21:J31" si="15">IF(H$12=0,0,H21/H$12)</f>
        <v>17.540168646353646</v>
      </c>
      <c r="K21" s="4"/>
      <c r="L21" s="20">
        <f t="shared" ref="L21:L31" si="16">+D21-H21</f>
        <v>-21457.675544615377</v>
      </c>
      <c r="M21" s="4"/>
      <c r="N21" s="32">
        <f t="shared" ref="N21:N31" si="17">IF(H21=0,0,L21/H21)</f>
        <v>-0.49648737098047141</v>
      </c>
      <c r="O21" s="10"/>
      <c r="P21" s="20">
        <f>SUM(OSRRefP22x_0)</f>
        <v>21761.300000000003</v>
      </c>
      <c r="Q21" s="20"/>
      <c r="R21" s="32">
        <f t="shared" ref="R21:R31" si="18">IF(P$12=0,0,P21/P$12)</f>
        <v>0</v>
      </c>
      <c r="S21" s="20"/>
      <c r="T21" s="20">
        <f>SUM(OSRRefT22x_0)</f>
        <v>43218.975544615379</v>
      </c>
      <c r="U21" s="20"/>
      <c r="V21" s="32">
        <f t="shared" ref="V21:V31" si="19">IF(T$12=0,0,T21/T$12)</f>
        <v>17.540168646353646</v>
      </c>
      <c r="W21" s="4"/>
      <c r="X21" s="20">
        <f t="shared" ref="X21:X31" si="20">+P21-T21</f>
        <v>-21457.675544615377</v>
      </c>
      <c r="Y21" s="4"/>
      <c r="Z21" s="32">
        <f t="shared" ref="Z21:Z31" si="21">IF(T21=0,0,X21/T21)</f>
        <v>-0.49648737098047141</v>
      </c>
    </row>
    <row r="22" spans="1:26" s="27" customFormat="1" outlineLevel="1" collapsed="1" x14ac:dyDescent="0.3">
      <c r="A22" s="28"/>
      <c r="B22" s="14" t="str">
        <f>CONCATENATE("     ","*Benefits                                         ")</f>
        <v xml:space="preserve">     *Benefits                                         </v>
      </c>
      <c r="C22" s="14"/>
      <c r="D22" s="1">
        <f>SUM(OSRRefD22_0x_0)</f>
        <v>5008.0300000000007</v>
      </c>
      <c r="E22" s="1"/>
      <c r="F22" s="5">
        <f t="shared" si="14"/>
        <v>0</v>
      </c>
      <c r="G22" s="1"/>
      <c r="H22" s="1">
        <f>SUM(OSRRefH22_0x_0)</f>
        <v>7782.5755446153789</v>
      </c>
      <c r="I22" s="1"/>
      <c r="J22" s="5">
        <f t="shared" si="15"/>
        <v>3.1585128021977997</v>
      </c>
      <c r="K22" s="1"/>
      <c r="L22" s="1">
        <f t="shared" si="16"/>
        <v>-2774.5455446153783</v>
      </c>
      <c r="M22" s="1"/>
      <c r="N22" s="5">
        <f t="shared" si="17"/>
        <v>-0.35650737069106064</v>
      </c>
      <c r="O22" s="14"/>
      <c r="P22" s="1">
        <f>SUM(OSRRefP22_0x_0)</f>
        <v>5008.0300000000007</v>
      </c>
      <c r="Q22" s="1"/>
      <c r="R22" s="5">
        <f t="shared" si="18"/>
        <v>0</v>
      </c>
      <c r="S22" s="1"/>
      <c r="T22" s="1">
        <f>SUM(OSRRefT22_0x_0)</f>
        <v>7782.5755446153789</v>
      </c>
      <c r="U22" s="1"/>
      <c r="V22" s="5">
        <f t="shared" si="19"/>
        <v>3.1585128021977997</v>
      </c>
      <c r="W22" s="1"/>
      <c r="X22" s="1">
        <f t="shared" si="20"/>
        <v>-2774.5455446153783</v>
      </c>
      <c r="Y22" s="1"/>
      <c r="Z22" s="5">
        <f t="shared" si="21"/>
        <v>-0.35650737069106064</v>
      </c>
    </row>
    <row r="23" spans="1:26" s="24" customFormat="1" hidden="1" outlineLevel="2" x14ac:dyDescent="0.3">
      <c r="A23" s="29"/>
      <c r="B23" s="11" t="str">
        <f>CONCATENATE("          ", "6111", " - ", "F.I.C.A.")</f>
        <v xml:space="preserve">          6111 - F.I.C.A.</v>
      </c>
      <c r="C23" s="11"/>
      <c r="D23" s="8">
        <v>512.97</v>
      </c>
      <c r="E23" s="3"/>
      <c r="F23" s="7">
        <f t="shared" si="14"/>
        <v>0</v>
      </c>
      <c r="G23" s="3"/>
      <c r="H23" s="8">
        <v>694.28016000000002</v>
      </c>
      <c r="I23" s="3"/>
      <c r="J23" s="7">
        <f t="shared" si="15"/>
        <v>0.28176954545454547</v>
      </c>
      <c r="K23" s="3"/>
      <c r="L23" s="8">
        <f t="shared" si="16"/>
        <v>-181.31016</v>
      </c>
      <c r="M23" s="3"/>
      <c r="N23" s="7">
        <f t="shared" si="17"/>
        <v>-0.26114841017493573</v>
      </c>
      <c r="O23" s="11"/>
      <c r="P23" s="8">
        <v>512.97</v>
      </c>
      <c r="Q23" s="3"/>
      <c r="R23" s="7">
        <f t="shared" si="18"/>
        <v>0</v>
      </c>
      <c r="S23" s="3"/>
      <c r="T23" s="8">
        <v>694.28016000000002</v>
      </c>
      <c r="U23" s="3"/>
      <c r="V23" s="7">
        <f t="shared" si="19"/>
        <v>0.28176954545454547</v>
      </c>
      <c r="W23" s="3"/>
      <c r="X23" s="8">
        <f t="shared" si="20"/>
        <v>-181.31016</v>
      </c>
      <c r="Y23" s="3"/>
      <c r="Z23" s="7">
        <f t="shared" si="21"/>
        <v>-0.26114841017493573</v>
      </c>
    </row>
    <row r="24" spans="1:26" s="24" customFormat="1" hidden="1" outlineLevel="2" x14ac:dyDescent="0.3">
      <c r="A24" s="29"/>
      <c r="B24" s="11" t="str">
        <f>CONCATENATE("          ", "6112", " - ", "COMPENSATION INSURANCE")</f>
        <v xml:space="preserve">          6112 - COMPENSATION INSURANCE</v>
      </c>
      <c r="C24" s="11"/>
      <c r="D24" s="8">
        <v>240.59</v>
      </c>
      <c r="E24" s="3"/>
      <c r="F24" s="7">
        <f t="shared" si="14"/>
        <v>0</v>
      </c>
      <c r="G24" s="3"/>
      <c r="H24" s="8">
        <v>343.8288</v>
      </c>
      <c r="I24" s="3"/>
      <c r="J24" s="7">
        <f t="shared" si="15"/>
        <v>0.1395409090909091</v>
      </c>
      <c r="K24" s="3"/>
      <c r="L24" s="8">
        <f t="shared" si="16"/>
        <v>-103.2388</v>
      </c>
      <c r="M24" s="3"/>
      <c r="N24" s="7">
        <f t="shared" si="17"/>
        <v>-0.30026222352519627</v>
      </c>
      <c r="O24" s="11"/>
      <c r="P24" s="8">
        <v>240.59</v>
      </c>
      <c r="Q24" s="3"/>
      <c r="R24" s="7">
        <f t="shared" si="18"/>
        <v>0</v>
      </c>
      <c r="S24" s="3"/>
      <c r="T24" s="8">
        <v>343.8288</v>
      </c>
      <c r="U24" s="3"/>
      <c r="V24" s="7">
        <f t="shared" si="19"/>
        <v>0.1395409090909091</v>
      </c>
      <c r="W24" s="3"/>
      <c r="X24" s="8">
        <f t="shared" si="20"/>
        <v>-103.2388</v>
      </c>
      <c r="Y24" s="3"/>
      <c r="Z24" s="7">
        <f t="shared" si="21"/>
        <v>-0.30026222352519627</v>
      </c>
    </row>
    <row r="25" spans="1:26" s="24" customFormat="1" hidden="1" outlineLevel="2" x14ac:dyDescent="0.3">
      <c r="A25" s="29"/>
      <c r="B25" s="11" t="str">
        <f>CONCATENATE("          ", "6113", " - ", "GROUP INSURANCE")</f>
        <v xml:space="preserve">          6113 - GROUP INSURANCE</v>
      </c>
      <c r="C25" s="11"/>
      <c r="D25" s="8">
        <v>3353.46</v>
      </c>
      <c r="E25" s="3"/>
      <c r="F25" s="7">
        <f t="shared" si="14"/>
        <v>0</v>
      </c>
      <c r="G25" s="3"/>
      <c r="H25" s="8">
        <v>5171.81538461538</v>
      </c>
      <c r="I25" s="3"/>
      <c r="J25" s="7">
        <f t="shared" si="15"/>
        <v>2.0989510489510472</v>
      </c>
      <c r="K25" s="3"/>
      <c r="L25" s="8">
        <f t="shared" si="16"/>
        <v>-1818.35538461538</v>
      </c>
      <c r="M25" s="3"/>
      <c r="N25" s="7">
        <f t="shared" si="17"/>
        <v>-0.35158938387948824</v>
      </c>
      <c r="O25" s="11"/>
      <c r="P25" s="8">
        <v>3353.46</v>
      </c>
      <c r="Q25" s="3"/>
      <c r="R25" s="7">
        <f t="shared" si="18"/>
        <v>0</v>
      </c>
      <c r="S25" s="3"/>
      <c r="T25" s="8">
        <v>5171.81538461538</v>
      </c>
      <c r="U25" s="3"/>
      <c r="V25" s="7">
        <f t="shared" si="19"/>
        <v>2.0989510489510472</v>
      </c>
      <c r="W25" s="3"/>
      <c r="X25" s="8">
        <f t="shared" si="20"/>
        <v>-1818.35538461538</v>
      </c>
      <c r="Y25" s="3"/>
      <c r="Z25" s="7">
        <f t="shared" si="21"/>
        <v>-0.35158938387948824</v>
      </c>
    </row>
    <row r="26" spans="1:26" s="24" customFormat="1" hidden="1" outlineLevel="2" x14ac:dyDescent="0.3">
      <c r="A26" s="29"/>
      <c r="B26" s="11" t="str">
        <f>CONCATENATE("          ", "6114", " - ", "STATE UNEMPLOYMENT INSURANCE")</f>
        <v xml:space="preserve">          6114 - STATE UNEMPLOYMENT INSURANCE</v>
      </c>
      <c r="C26" s="11"/>
      <c r="D26" s="8">
        <v>17.43</v>
      </c>
      <c r="E26" s="3"/>
      <c r="F26" s="7">
        <f t="shared" si="14"/>
        <v>0</v>
      </c>
      <c r="G26" s="3"/>
      <c r="H26" s="8">
        <v>19.051200000000001</v>
      </c>
      <c r="I26" s="3"/>
      <c r="J26" s="7">
        <f t="shared" si="15"/>
        <v>7.7318181818181826E-3</v>
      </c>
      <c r="K26" s="3"/>
      <c r="L26" s="8">
        <f t="shared" si="16"/>
        <v>-1.6212000000000018</v>
      </c>
      <c r="M26" s="3"/>
      <c r="N26" s="7">
        <f t="shared" si="17"/>
        <v>-8.5097001763668509E-2</v>
      </c>
      <c r="O26" s="11"/>
      <c r="P26" s="8">
        <v>17.43</v>
      </c>
      <c r="Q26" s="3"/>
      <c r="R26" s="7">
        <f t="shared" si="18"/>
        <v>0</v>
      </c>
      <c r="S26" s="3"/>
      <c r="T26" s="8">
        <v>19.051200000000001</v>
      </c>
      <c r="U26" s="3"/>
      <c r="V26" s="7">
        <f t="shared" si="19"/>
        <v>7.7318181818181826E-3</v>
      </c>
      <c r="W26" s="3"/>
      <c r="X26" s="8">
        <f t="shared" si="20"/>
        <v>-1.6212000000000018</v>
      </c>
      <c r="Y26" s="3"/>
      <c r="Z26" s="7">
        <f t="shared" si="21"/>
        <v>-8.5097001763668509E-2</v>
      </c>
    </row>
    <row r="27" spans="1:26" s="24" customFormat="1" hidden="1" outlineLevel="2" x14ac:dyDescent="0.3">
      <c r="A27" s="29"/>
      <c r="B27" s="11" t="str">
        <f>CONCATENATE("          ", "6115", " - ", "P.E.R.S.")</f>
        <v xml:space="preserve">          6115 - P.E.R.S.</v>
      </c>
      <c r="C27" s="11"/>
      <c r="D27" s="8"/>
      <c r="E27" s="3"/>
      <c r="F27" s="7">
        <f t="shared" si="14"/>
        <v>0</v>
      </c>
      <c r="G27" s="3"/>
      <c r="H27" s="8">
        <v>0</v>
      </c>
      <c r="I27" s="3"/>
      <c r="J27" s="7">
        <f t="shared" si="15"/>
        <v>0</v>
      </c>
      <c r="K27" s="3"/>
      <c r="L27" s="8">
        <f t="shared" si="16"/>
        <v>0</v>
      </c>
      <c r="M27" s="3"/>
      <c r="N27" s="7">
        <f t="shared" si="17"/>
        <v>0</v>
      </c>
      <c r="O27" s="11"/>
      <c r="P27" s="8"/>
      <c r="Q27" s="3"/>
      <c r="R27" s="7">
        <f t="shared" si="18"/>
        <v>0</v>
      </c>
      <c r="S27" s="3"/>
      <c r="T27" s="8">
        <v>0</v>
      </c>
      <c r="U27" s="3"/>
      <c r="V27" s="7">
        <f t="shared" si="19"/>
        <v>0</v>
      </c>
      <c r="W27" s="3"/>
      <c r="X27" s="8">
        <f t="shared" si="20"/>
        <v>0</v>
      </c>
      <c r="Y27" s="3"/>
      <c r="Z27" s="7">
        <f t="shared" si="21"/>
        <v>0</v>
      </c>
    </row>
    <row r="28" spans="1:26" s="24" customFormat="1" hidden="1" outlineLevel="2" x14ac:dyDescent="0.3">
      <c r="A28" s="29"/>
      <c r="B28" s="11" t="str">
        <f>CONCATENATE("          ", "6116", " - ", "EDUCATIONAL BENEFITS")</f>
        <v xml:space="preserve">          6116 - EDUCATIONAL BENEFITS</v>
      </c>
      <c r="C28" s="11"/>
      <c r="D28" s="8"/>
      <c r="E28" s="3"/>
      <c r="F28" s="7">
        <f t="shared" si="14"/>
        <v>0</v>
      </c>
      <c r="G28" s="3"/>
      <c r="H28" s="8">
        <v>0</v>
      </c>
      <c r="I28" s="3"/>
      <c r="J28" s="7">
        <f t="shared" si="15"/>
        <v>0</v>
      </c>
      <c r="K28" s="3"/>
      <c r="L28" s="8">
        <f t="shared" si="16"/>
        <v>0</v>
      </c>
      <c r="M28" s="3"/>
      <c r="N28" s="7">
        <f t="shared" si="17"/>
        <v>0</v>
      </c>
      <c r="O28" s="11"/>
      <c r="P28" s="8"/>
      <c r="Q28" s="3"/>
      <c r="R28" s="7">
        <f t="shared" si="18"/>
        <v>0</v>
      </c>
      <c r="S28" s="3"/>
      <c r="T28" s="8">
        <v>0</v>
      </c>
      <c r="U28" s="3"/>
      <c r="V28" s="7">
        <f t="shared" si="19"/>
        <v>0</v>
      </c>
      <c r="W28" s="3"/>
      <c r="X28" s="8">
        <f t="shared" si="20"/>
        <v>0</v>
      </c>
      <c r="Y28" s="3"/>
      <c r="Z28" s="7">
        <f t="shared" si="21"/>
        <v>0</v>
      </c>
    </row>
    <row r="29" spans="1:26" s="24" customFormat="1" hidden="1" outlineLevel="2" x14ac:dyDescent="0.3">
      <c r="A29" s="29"/>
      <c r="B29" s="11" t="str">
        <f>CONCATENATE("          ", "6118", " - ", "VACATION")</f>
        <v xml:space="preserve">          6118 - VACATION</v>
      </c>
      <c r="C29" s="11"/>
      <c r="D29" s="8">
        <v>277.64</v>
      </c>
      <c r="E29" s="3"/>
      <c r="F29" s="7">
        <f t="shared" si="14"/>
        <v>0</v>
      </c>
      <c r="G29" s="3"/>
      <c r="H29" s="8">
        <v>272.16000000000003</v>
      </c>
      <c r="I29" s="3"/>
      <c r="J29" s="7">
        <f t="shared" si="15"/>
        <v>0.11045454545454546</v>
      </c>
      <c r="K29" s="3"/>
      <c r="L29" s="8">
        <f t="shared" si="16"/>
        <v>5.4799999999999613</v>
      </c>
      <c r="M29" s="3"/>
      <c r="N29" s="7">
        <f t="shared" si="17"/>
        <v>2.0135214579658882E-2</v>
      </c>
      <c r="O29" s="11"/>
      <c r="P29" s="8">
        <v>277.64</v>
      </c>
      <c r="Q29" s="3"/>
      <c r="R29" s="7">
        <f t="shared" si="18"/>
        <v>0</v>
      </c>
      <c r="S29" s="3"/>
      <c r="T29" s="8">
        <v>272.16000000000003</v>
      </c>
      <c r="U29" s="3"/>
      <c r="V29" s="7">
        <f t="shared" si="19"/>
        <v>0.11045454545454546</v>
      </c>
      <c r="W29" s="3"/>
      <c r="X29" s="8">
        <f t="shared" si="20"/>
        <v>5.4799999999999613</v>
      </c>
      <c r="Y29" s="3"/>
      <c r="Z29" s="7">
        <f t="shared" si="21"/>
        <v>2.0135214579658882E-2</v>
      </c>
    </row>
    <row r="30" spans="1:26" s="24" customFormat="1" hidden="1" outlineLevel="2" x14ac:dyDescent="0.3">
      <c r="A30" s="29"/>
      <c r="B30" s="11" t="str">
        <f>CONCATENATE("          ", "6119", " - ", "SICK LEAVE")</f>
        <v xml:space="preserve">          6119 - SICK LEAVE</v>
      </c>
      <c r="C30" s="11"/>
      <c r="D30" s="8">
        <v>263.87</v>
      </c>
      <c r="E30" s="3"/>
      <c r="F30" s="7">
        <f t="shared" si="14"/>
        <v>0</v>
      </c>
      <c r="G30" s="3"/>
      <c r="H30" s="8">
        <v>181.44</v>
      </c>
      <c r="I30" s="3"/>
      <c r="J30" s="7">
        <f t="shared" si="15"/>
        <v>7.3636363636363639E-2</v>
      </c>
      <c r="K30" s="3"/>
      <c r="L30" s="8">
        <f t="shared" si="16"/>
        <v>82.43</v>
      </c>
      <c r="M30" s="3"/>
      <c r="N30" s="7">
        <f t="shared" si="17"/>
        <v>0.45430996472663143</v>
      </c>
      <c r="O30" s="11"/>
      <c r="P30" s="8">
        <v>263.87</v>
      </c>
      <c r="Q30" s="3"/>
      <c r="R30" s="7">
        <f t="shared" si="18"/>
        <v>0</v>
      </c>
      <c r="S30" s="3"/>
      <c r="T30" s="8">
        <v>181.44</v>
      </c>
      <c r="U30" s="3"/>
      <c r="V30" s="7">
        <f t="shared" si="19"/>
        <v>7.3636363636363639E-2</v>
      </c>
      <c r="W30" s="3"/>
      <c r="X30" s="8">
        <f t="shared" si="20"/>
        <v>82.43</v>
      </c>
      <c r="Y30" s="3"/>
      <c r="Z30" s="7">
        <f t="shared" si="21"/>
        <v>0.45430996472663143</v>
      </c>
    </row>
    <row r="31" spans="1:26" s="24" customFormat="1" hidden="1" outlineLevel="2" x14ac:dyDescent="0.3">
      <c r="A31" s="29"/>
      <c r="B31" s="11" t="str">
        <f>CONCATENATE("          ", "6156", " - ", "EMPLOYEE MEALS")</f>
        <v xml:space="preserve">          6156 - EMPLOYEE MEALS</v>
      </c>
      <c r="C31" s="11"/>
      <c r="D31" s="8">
        <v>342.07</v>
      </c>
      <c r="E31" s="3"/>
      <c r="F31" s="7">
        <f t="shared" si="14"/>
        <v>0</v>
      </c>
      <c r="G31" s="3"/>
      <c r="H31" s="8">
        <v>1100</v>
      </c>
      <c r="I31" s="3"/>
      <c r="J31" s="7">
        <f t="shared" si="15"/>
        <v>0.44642857142857145</v>
      </c>
      <c r="K31" s="3"/>
      <c r="L31" s="8">
        <f t="shared" si="16"/>
        <v>-757.93000000000006</v>
      </c>
      <c r="M31" s="3"/>
      <c r="N31" s="7">
        <f t="shared" si="17"/>
        <v>-0.68902727272727282</v>
      </c>
      <c r="O31" s="11"/>
      <c r="P31" s="8">
        <v>342.07</v>
      </c>
      <c r="Q31" s="3"/>
      <c r="R31" s="7">
        <f t="shared" si="18"/>
        <v>0</v>
      </c>
      <c r="S31" s="3"/>
      <c r="T31" s="8">
        <v>1100</v>
      </c>
      <c r="U31" s="3"/>
      <c r="V31" s="7">
        <f t="shared" si="19"/>
        <v>0.44642857142857145</v>
      </c>
      <c r="W31" s="3"/>
      <c r="X31" s="8">
        <f t="shared" si="20"/>
        <v>-757.93000000000006</v>
      </c>
      <c r="Y31" s="3"/>
      <c r="Z31" s="7">
        <f t="shared" si="21"/>
        <v>-0.68902727272727282</v>
      </c>
    </row>
    <row r="32" spans="1:26" s="27" customFormat="1" outlineLevel="1" collapsed="1" x14ac:dyDescent="0.3">
      <c r="A32" s="28"/>
      <c r="B32" s="14" t="str">
        <f>CONCATENATE("     ","*Payroll                                          ")</f>
        <v xml:space="preserve">     *Payroll                                          </v>
      </c>
      <c r="C32" s="14"/>
      <c r="D32" s="1">
        <f>SUM(OSRRefD22_1x_0)</f>
        <v>8439.6</v>
      </c>
      <c r="E32" s="1"/>
      <c r="F32" s="5">
        <f t="shared" ref="F32:F42" si="22">IF(D$12=0,0,D32/D$12)</f>
        <v>0</v>
      </c>
      <c r="G32" s="1"/>
      <c r="H32" s="1">
        <f>SUM(OSRRefH22_1x_0)</f>
        <v>8618.4</v>
      </c>
      <c r="I32" s="1"/>
      <c r="J32" s="5">
        <f t="shared" ref="J32:J42" si="23">IF(H$12=0,0,H32/H$12)</f>
        <v>3.4977272727272726</v>
      </c>
      <c r="K32" s="1"/>
      <c r="L32" s="1">
        <f t="shared" ref="L32:L42" si="24">+D32-H32</f>
        <v>-178.79999999999927</v>
      </c>
      <c r="M32" s="1"/>
      <c r="N32" s="5">
        <f t="shared" ref="N32:N42" si="25">IF(H32=0,0,L32/H32)</f>
        <v>-2.0746310219994346E-2</v>
      </c>
      <c r="O32" s="14"/>
      <c r="P32" s="1">
        <f>SUM(OSRRefP22_1x_0)</f>
        <v>8439.6</v>
      </c>
      <c r="Q32" s="1"/>
      <c r="R32" s="5">
        <f t="shared" ref="R32:R42" si="26">IF(P$12=0,0,P32/P$12)</f>
        <v>0</v>
      </c>
      <c r="S32" s="1"/>
      <c r="T32" s="1">
        <f>SUM(OSRRefT22_1x_0)</f>
        <v>8618.4</v>
      </c>
      <c r="U32" s="1"/>
      <c r="V32" s="5">
        <f t="shared" ref="V32:V42" si="27">IF(T$12=0,0,T32/T$12)</f>
        <v>3.4977272727272726</v>
      </c>
      <c r="W32" s="1"/>
      <c r="X32" s="1">
        <f t="shared" ref="X32:X42" si="28">+P32-T32</f>
        <v>-178.79999999999927</v>
      </c>
      <c r="Y32" s="1"/>
      <c r="Z32" s="5">
        <f t="shared" ref="Z32:Z42" si="29">IF(T32=0,0,X32/T32)</f>
        <v>-2.0746310219994346E-2</v>
      </c>
    </row>
    <row r="33" spans="1:26" s="24" customFormat="1" hidden="1" outlineLevel="2" x14ac:dyDescent="0.3">
      <c r="A33" s="29"/>
      <c r="B33" s="11" t="str">
        <f>CONCATENATE("          ", "6001", " - ", "ADMINISTRATIVE SALARIES")</f>
        <v xml:space="preserve">          6001 - ADMINISTRATIVE SALARIES</v>
      </c>
      <c r="C33" s="11"/>
      <c r="D33" s="8"/>
      <c r="E33" s="3"/>
      <c r="F33" s="7">
        <f t="shared" si="22"/>
        <v>0</v>
      </c>
      <c r="G33" s="3"/>
      <c r="H33" s="8">
        <v>0</v>
      </c>
      <c r="I33" s="3"/>
      <c r="J33" s="7">
        <f t="shared" si="23"/>
        <v>0</v>
      </c>
      <c r="K33" s="3"/>
      <c r="L33" s="8">
        <f t="shared" si="24"/>
        <v>0</v>
      </c>
      <c r="M33" s="3"/>
      <c r="N33" s="7">
        <f t="shared" si="25"/>
        <v>0</v>
      </c>
      <c r="O33" s="11"/>
      <c r="P33" s="8"/>
      <c r="Q33" s="3"/>
      <c r="R33" s="7">
        <f t="shared" si="26"/>
        <v>0</v>
      </c>
      <c r="S33" s="3"/>
      <c r="T33" s="8">
        <v>0</v>
      </c>
      <c r="U33" s="3"/>
      <c r="V33" s="7">
        <f t="shared" si="27"/>
        <v>0</v>
      </c>
      <c r="W33" s="3"/>
      <c r="X33" s="8">
        <f t="shared" si="28"/>
        <v>0</v>
      </c>
      <c r="Y33" s="3"/>
      <c r="Z33" s="7">
        <f t="shared" si="29"/>
        <v>0</v>
      </c>
    </row>
    <row r="34" spans="1:26" s="24" customFormat="1" hidden="1" outlineLevel="2" x14ac:dyDescent="0.3">
      <c r="A34" s="29"/>
      <c r="B34" s="11" t="str">
        <f>CONCATENATE("          ", "6002", " - ", "STAFF SALARIES")</f>
        <v xml:space="preserve">          6002 - STAFF SALARIES</v>
      </c>
      <c r="C34" s="11"/>
      <c r="D34" s="8"/>
      <c r="E34" s="3"/>
      <c r="F34" s="7">
        <f t="shared" si="22"/>
        <v>0</v>
      </c>
      <c r="G34" s="3"/>
      <c r="H34" s="8">
        <v>0</v>
      </c>
      <c r="I34" s="3"/>
      <c r="J34" s="7">
        <f t="shared" si="23"/>
        <v>0</v>
      </c>
      <c r="K34" s="3"/>
      <c r="L34" s="8">
        <f t="shared" si="24"/>
        <v>0</v>
      </c>
      <c r="M34" s="3"/>
      <c r="N34" s="7">
        <f t="shared" si="25"/>
        <v>0</v>
      </c>
      <c r="O34" s="11"/>
      <c r="P34" s="8"/>
      <c r="Q34" s="3"/>
      <c r="R34" s="7">
        <f t="shared" si="26"/>
        <v>0</v>
      </c>
      <c r="S34" s="3"/>
      <c r="T34" s="8">
        <v>0</v>
      </c>
      <c r="U34" s="3"/>
      <c r="V34" s="7">
        <f t="shared" si="27"/>
        <v>0</v>
      </c>
      <c r="W34" s="3"/>
      <c r="X34" s="8">
        <f t="shared" si="28"/>
        <v>0</v>
      </c>
      <c r="Y34" s="3"/>
      <c r="Z34" s="7">
        <f t="shared" si="29"/>
        <v>0</v>
      </c>
    </row>
    <row r="35" spans="1:26" s="24" customFormat="1" hidden="1" outlineLevel="2" x14ac:dyDescent="0.3">
      <c r="A35" s="29"/>
      <c r="B35" s="11" t="str">
        <f>CONCATENATE("          ", "6003", " - ", "STAFF HOURLY-9 MONTH")</f>
        <v xml:space="preserve">          6003 - STAFF HOURLY-9 MONTH</v>
      </c>
      <c r="C35" s="11"/>
      <c r="D35" s="8"/>
      <c r="E35" s="3"/>
      <c r="F35" s="7">
        <f t="shared" si="22"/>
        <v>0</v>
      </c>
      <c r="G35" s="3"/>
      <c r="H35" s="8">
        <v>0</v>
      </c>
      <c r="I35" s="3"/>
      <c r="J35" s="7">
        <f t="shared" si="23"/>
        <v>0</v>
      </c>
      <c r="K35" s="3"/>
      <c r="L35" s="8">
        <f t="shared" si="24"/>
        <v>0</v>
      </c>
      <c r="M35" s="3"/>
      <c r="N35" s="7">
        <f t="shared" si="25"/>
        <v>0</v>
      </c>
      <c r="O35" s="11"/>
      <c r="P35" s="8"/>
      <c r="Q35" s="3"/>
      <c r="R35" s="7">
        <f t="shared" si="26"/>
        <v>0</v>
      </c>
      <c r="S35" s="3"/>
      <c r="T35" s="8">
        <v>0</v>
      </c>
      <c r="U35" s="3"/>
      <c r="V35" s="7">
        <f t="shared" si="27"/>
        <v>0</v>
      </c>
      <c r="W35" s="3"/>
      <c r="X35" s="8">
        <f t="shared" si="28"/>
        <v>0</v>
      </c>
      <c r="Y35" s="3"/>
      <c r="Z35" s="7">
        <f t="shared" si="29"/>
        <v>0</v>
      </c>
    </row>
    <row r="36" spans="1:26" s="24" customFormat="1" hidden="1" outlineLevel="2" x14ac:dyDescent="0.3">
      <c r="A36" s="29"/>
      <c r="B36" s="11" t="str">
        <f>CONCATENATE("          ", "6004", " - ", "STAFF HOURLY")</f>
        <v xml:space="preserve">          6004 - STAFF HOURLY</v>
      </c>
      <c r="C36" s="11"/>
      <c r="D36" s="8">
        <v>4731.2700000000004</v>
      </c>
      <c r="E36" s="3"/>
      <c r="F36" s="7">
        <f t="shared" si="22"/>
        <v>0</v>
      </c>
      <c r="G36" s="3"/>
      <c r="H36" s="8">
        <v>8618.4</v>
      </c>
      <c r="I36" s="3"/>
      <c r="J36" s="7">
        <f t="shared" si="23"/>
        <v>3.4977272727272726</v>
      </c>
      <c r="K36" s="3"/>
      <c r="L36" s="8">
        <f t="shared" si="24"/>
        <v>-3887.1299999999992</v>
      </c>
      <c r="M36" s="3"/>
      <c r="N36" s="7">
        <f t="shared" si="25"/>
        <v>-0.451026872737399</v>
      </c>
      <c r="O36" s="11"/>
      <c r="P36" s="8">
        <v>4731.2700000000004</v>
      </c>
      <c r="Q36" s="3"/>
      <c r="R36" s="7">
        <f t="shared" si="26"/>
        <v>0</v>
      </c>
      <c r="S36" s="3"/>
      <c r="T36" s="8">
        <v>8618.4</v>
      </c>
      <c r="U36" s="3"/>
      <c r="V36" s="7">
        <f t="shared" si="27"/>
        <v>3.4977272727272726</v>
      </c>
      <c r="W36" s="3"/>
      <c r="X36" s="8">
        <f t="shared" si="28"/>
        <v>-3887.1299999999992</v>
      </c>
      <c r="Y36" s="3"/>
      <c r="Z36" s="7">
        <f t="shared" si="29"/>
        <v>-0.451026872737399</v>
      </c>
    </row>
    <row r="37" spans="1:26" s="24" customFormat="1" hidden="1" outlineLevel="2" x14ac:dyDescent="0.3">
      <c r="A37" s="29"/>
      <c r="B37" s="11" t="str">
        <f>CONCATENATE("          ", "6005", " - ", "TEMPORARY WAGES-HOURLY")</f>
        <v xml:space="preserve">          6005 - TEMPORARY WAGES-HOURLY</v>
      </c>
      <c r="C37" s="11"/>
      <c r="D37" s="8">
        <v>1542.33</v>
      </c>
      <c r="E37" s="3"/>
      <c r="F37" s="7">
        <f t="shared" si="22"/>
        <v>0</v>
      </c>
      <c r="G37" s="3"/>
      <c r="H37" s="8">
        <v>0</v>
      </c>
      <c r="I37" s="3"/>
      <c r="J37" s="7">
        <f t="shared" si="23"/>
        <v>0</v>
      </c>
      <c r="K37" s="3"/>
      <c r="L37" s="8">
        <f t="shared" si="24"/>
        <v>1542.33</v>
      </c>
      <c r="M37" s="3"/>
      <c r="N37" s="7">
        <f t="shared" si="25"/>
        <v>0</v>
      </c>
      <c r="O37" s="11"/>
      <c r="P37" s="8">
        <v>1542.33</v>
      </c>
      <c r="Q37" s="3"/>
      <c r="R37" s="7">
        <f t="shared" si="26"/>
        <v>0</v>
      </c>
      <c r="S37" s="3"/>
      <c r="T37" s="8">
        <v>0</v>
      </c>
      <c r="U37" s="3"/>
      <c r="V37" s="7">
        <f t="shared" si="27"/>
        <v>0</v>
      </c>
      <c r="W37" s="3"/>
      <c r="X37" s="8">
        <f t="shared" si="28"/>
        <v>1542.33</v>
      </c>
      <c r="Y37" s="3"/>
      <c r="Z37" s="7">
        <f t="shared" si="29"/>
        <v>0</v>
      </c>
    </row>
    <row r="38" spans="1:26" s="24" customFormat="1" hidden="1" outlineLevel="2" x14ac:dyDescent="0.3">
      <c r="A38" s="29"/>
      <c r="B38" s="11" t="str">
        <f>CONCATENATE("          ", "6006", " - ", "TEMPORARY PART TIME")</f>
        <v xml:space="preserve">          6006 - TEMPORARY PART TIME</v>
      </c>
      <c r="C38" s="11"/>
      <c r="D38" s="8"/>
      <c r="E38" s="3"/>
      <c r="F38" s="7">
        <f t="shared" si="22"/>
        <v>0</v>
      </c>
      <c r="G38" s="3"/>
      <c r="H38" s="8">
        <v>0</v>
      </c>
      <c r="I38" s="3"/>
      <c r="J38" s="7">
        <f t="shared" si="23"/>
        <v>0</v>
      </c>
      <c r="K38" s="3"/>
      <c r="L38" s="8">
        <f t="shared" si="24"/>
        <v>0</v>
      </c>
      <c r="M38" s="3"/>
      <c r="N38" s="7">
        <f t="shared" si="25"/>
        <v>0</v>
      </c>
      <c r="O38" s="11"/>
      <c r="P38" s="8"/>
      <c r="Q38" s="3"/>
      <c r="R38" s="7">
        <f t="shared" si="26"/>
        <v>0</v>
      </c>
      <c r="S38" s="3"/>
      <c r="T38" s="8">
        <v>0</v>
      </c>
      <c r="U38" s="3"/>
      <c r="V38" s="7">
        <f t="shared" si="27"/>
        <v>0</v>
      </c>
      <c r="W38" s="3"/>
      <c r="X38" s="8">
        <f t="shared" si="28"/>
        <v>0</v>
      </c>
      <c r="Y38" s="3"/>
      <c r="Z38" s="7">
        <f t="shared" si="29"/>
        <v>0</v>
      </c>
    </row>
    <row r="39" spans="1:26" s="24" customFormat="1" hidden="1" outlineLevel="2" x14ac:dyDescent="0.3">
      <c r="A39" s="29"/>
      <c r="B39" s="11" t="str">
        <f>CONCATENATE("          ", "6007", " - ", "STUDENT HOURLY")</f>
        <v xml:space="preserve">          6007 - STUDENT HOURLY</v>
      </c>
      <c r="C39" s="11"/>
      <c r="D39" s="8">
        <v>2166</v>
      </c>
      <c r="E39" s="3"/>
      <c r="F39" s="7">
        <f t="shared" si="22"/>
        <v>0</v>
      </c>
      <c r="G39" s="3"/>
      <c r="H39" s="8">
        <v>0</v>
      </c>
      <c r="I39" s="3"/>
      <c r="J39" s="7">
        <f t="shared" si="23"/>
        <v>0</v>
      </c>
      <c r="K39" s="3"/>
      <c r="L39" s="8">
        <f t="shared" si="24"/>
        <v>2166</v>
      </c>
      <c r="M39" s="3"/>
      <c r="N39" s="7">
        <f t="shared" si="25"/>
        <v>0</v>
      </c>
      <c r="O39" s="11"/>
      <c r="P39" s="8">
        <v>2166</v>
      </c>
      <c r="Q39" s="3"/>
      <c r="R39" s="7">
        <f t="shared" si="26"/>
        <v>0</v>
      </c>
      <c r="S39" s="3"/>
      <c r="T39" s="8">
        <v>0</v>
      </c>
      <c r="U39" s="3"/>
      <c r="V39" s="7">
        <f t="shared" si="27"/>
        <v>0</v>
      </c>
      <c r="W39" s="3"/>
      <c r="X39" s="8">
        <f t="shared" si="28"/>
        <v>2166</v>
      </c>
      <c r="Y39" s="3"/>
      <c r="Z39" s="7">
        <f t="shared" si="29"/>
        <v>0</v>
      </c>
    </row>
    <row r="40" spans="1:26" s="24" customFormat="1" hidden="1" outlineLevel="2" x14ac:dyDescent="0.3">
      <c r="A40" s="29"/>
      <c r="B40" s="11" t="str">
        <f>CONCATENATE("          ", "6008", " - ", "STUDENT HOURLY-FICA EXEMPT")</f>
        <v xml:space="preserve">          6008 - STUDENT HOURLY-FICA EXEMPT</v>
      </c>
      <c r="C40" s="11"/>
      <c r="D40" s="8"/>
      <c r="E40" s="3"/>
      <c r="F40" s="7">
        <f t="shared" si="22"/>
        <v>0</v>
      </c>
      <c r="G40" s="3"/>
      <c r="H40" s="8">
        <v>0</v>
      </c>
      <c r="I40" s="3"/>
      <c r="J40" s="7">
        <f t="shared" si="23"/>
        <v>0</v>
      </c>
      <c r="K40" s="3"/>
      <c r="L40" s="8">
        <f t="shared" si="24"/>
        <v>0</v>
      </c>
      <c r="M40" s="3"/>
      <c r="N40" s="7">
        <f t="shared" si="25"/>
        <v>0</v>
      </c>
      <c r="O40" s="11"/>
      <c r="P40" s="8"/>
      <c r="Q40" s="3"/>
      <c r="R40" s="7">
        <f t="shared" si="26"/>
        <v>0</v>
      </c>
      <c r="S40" s="3"/>
      <c r="T40" s="8">
        <v>0</v>
      </c>
      <c r="U40" s="3"/>
      <c r="V40" s="7">
        <f t="shared" si="27"/>
        <v>0</v>
      </c>
      <c r="W40" s="3"/>
      <c r="X40" s="8">
        <f t="shared" si="28"/>
        <v>0</v>
      </c>
      <c r="Y40" s="3"/>
      <c r="Z40" s="7">
        <f t="shared" si="29"/>
        <v>0</v>
      </c>
    </row>
    <row r="41" spans="1:26" s="24" customFormat="1" hidden="1" outlineLevel="2" x14ac:dyDescent="0.3">
      <c r="A41" s="29"/>
      <c r="B41" s="11" t="str">
        <f>CONCATENATE("          ", "6009", " - ", "TEMPORARY-SEASONAL")</f>
        <v xml:space="preserve">          6009 - TEMPORARY-SEASONAL</v>
      </c>
      <c r="C41" s="11"/>
      <c r="D41" s="8"/>
      <c r="E41" s="3"/>
      <c r="F41" s="7">
        <f t="shared" si="22"/>
        <v>0</v>
      </c>
      <c r="G41" s="3"/>
      <c r="H41" s="8">
        <v>0</v>
      </c>
      <c r="I41" s="3"/>
      <c r="J41" s="7">
        <f t="shared" si="23"/>
        <v>0</v>
      </c>
      <c r="K41" s="3"/>
      <c r="L41" s="8">
        <f t="shared" si="24"/>
        <v>0</v>
      </c>
      <c r="M41" s="3"/>
      <c r="N41" s="7">
        <f t="shared" si="25"/>
        <v>0</v>
      </c>
      <c r="O41" s="11"/>
      <c r="P41" s="8"/>
      <c r="Q41" s="3"/>
      <c r="R41" s="7">
        <f t="shared" si="26"/>
        <v>0</v>
      </c>
      <c r="S41" s="3"/>
      <c r="T41" s="8">
        <v>0</v>
      </c>
      <c r="U41" s="3"/>
      <c r="V41" s="7">
        <f t="shared" si="27"/>
        <v>0</v>
      </c>
      <c r="W41" s="3"/>
      <c r="X41" s="8">
        <f t="shared" si="28"/>
        <v>0</v>
      </c>
      <c r="Y41" s="3"/>
      <c r="Z41" s="7">
        <f t="shared" si="29"/>
        <v>0</v>
      </c>
    </row>
    <row r="42" spans="1:26" s="24" customFormat="1" hidden="1" outlineLevel="2" x14ac:dyDescent="0.3">
      <c r="A42" s="29"/>
      <c r="B42" s="11" t="str">
        <f>CONCATENATE("          ", "6010", " - ", "GRATUITY")</f>
        <v xml:space="preserve">          6010 - GRATUITY</v>
      </c>
      <c r="C42" s="11"/>
      <c r="D42" s="8"/>
      <c r="E42" s="3"/>
      <c r="F42" s="7">
        <f t="shared" si="22"/>
        <v>0</v>
      </c>
      <c r="G42" s="3"/>
      <c r="H42" s="8">
        <v>0</v>
      </c>
      <c r="I42" s="3"/>
      <c r="J42" s="7">
        <f t="shared" si="23"/>
        <v>0</v>
      </c>
      <c r="K42" s="3"/>
      <c r="L42" s="8">
        <f t="shared" si="24"/>
        <v>0</v>
      </c>
      <c r="M42" s="3"/>
      <c r="N42" s="7">
        <f t="shared" si="25"/>
        <v>0</v>
      </c>
      <c r="O42" s="11"/>
      <c r="P42" s="8"/>
      <c r="Q42" s="3"/>
      <c r="R42" s="7">
        <f t="shared" si="26"/>
        <v>0</v>
      </c>
      <c r="S42" s="3"/>
      <c r="T42" s="8">
        <v>0</v>
      </c>
      <c r="U42" s="3"/>
      <c r="V42" s="7">
        <f t="shared" si="27"/>
        <v>0</v>
      </c>
      <c r="W42" s="3"/>
      <c r="X42" s="8">
        <f t="shared" si="28"/>
        <v>0</v>
      </c>
      <c r="Y42" s="3"/>
      <c r="Z42" s="7">
        <f t="shared" si="29"/>
        <v>0</v>
      </c>
    </row>
    <row r="43" spans="1:26" s="27" customFormat="1" outlineLevel="1" collapsed="1" x14ac:dyDescent="0.3">
      <c r="A43" s="28"/>
      <c r="B43" s="14" t="str">
        <f>CONCATENATE("     ","Advertising/Promo                                 ")</f>
        <v xml:space="preserve">     Advertising/Promo                                 </v>
      </c>
      <c r="C43" s="14"/>
      <c r="D43" s="1">
        <f>SUM(OSRRefD22_2x_0)</f>
        <v>249.32</v>
      </c>
      <c r="E43" s="1"/>
      <c r="F43" s="5">
        <f t="shared" ref="F43:F49" si="30">IF(D$12=0,0,D43/D$12)</f>
        <v>0</v>
      </c>
      <c r="G43" s="1"/>
      <c r="H43" s="1">
        <f>SUM(OSRRefH22_2x_0)</f>
        <v>0</v>
      </c>
      <c r="I43" s="1"/>
      <c r="J43" s="5">
        <f t="shared" ref="J43:J49" si="31">IF(H$12=0,0,H43/H$12)</f>
        <v>0</v>
      </c>
      <c r="K43" s="1"/>
      <c r="L43" s="1">
        <f t="shared" ref="L43:L49" si="32">+D43-H43</f>
        <v>249.32</v>
      </c>
      <c r="M43" s="1"/>
      <c r="N43" s="5">
        <f t="shared" ref="N43:N49" si="33">IF(H43=0,0,L43/H43)</f>
        <v>0</v>
      </c>
      <c r="O43" s="14"/>
      <c r="P43" s="1">
        <f>SUM(OSRRefP22_2x_0)</f>
        <v>249.32</v>
      </c>
      <c r="Q43" s="1"/>
      <c r="R43" s="5">
        <f t="shared" ref="R43:R49" si="34">IF(P$12=0,0,P43/P$12)</f>
        <v>0</v>
      </c>
      <c r="S43" s="1"/>
      <c r="T43" s="1">
        <f>SUM(OSRRefT22_2x_0)</f>
        <v>0</v>
      </c>
      <c r="U43" s="1"/>
      <c r="V43" s="5">
        <f t="shared" ref="V43:V49" si="35">IF(T$12=0,0,T43/T$12)</f>
        <v>0</v>
      </c>
      <c r="W43" s="1"/>
      <c r="X43" s="1">
        <f t="shared" ref="X43:X49" si="36">+P43-T43</f>
        <v>249.32</v>
      </c>
      <c r="Y43" s="1"/>
      <c r="Z43" s="5">
        <f t="shared" ref="Z43:Z49" si="37">IF(T43=0,0,X43/T43)</f>
        <v>0</v>
      </c>
    </row>
    <row r="44" spans="1:26" s="24" customFormat="1" hidden="1" outlineLevel="2" x14ac:dyDescent="0.3">
      <c r="A44" s="29"/>
      <c r="B44" s="11" t="str">
        <f>CONCATENATE("          ", "6362", " - ", "ADVERTISING EXPENSE")</f>
        <v xml:space="preserve">          6362 - ADVERTISING EXPENSE</v>
      </c>
      <c r="C44" s="11"/>
      <c r="D44" s="8">
        <v>249.32</v>
      </c>
      <c r="E44" s="3"/>
      <c r="F44" s="7">
        <f t="shared" si="30"/>
        <v>0</v>
      </c>
      <c r="G44" s="3"/>
      <c r="H44" s="8"/>
      <c r="I44" s="3"/>
      <c r="J44" s="7">
        <f t="shared" si="31"/>
        <v>0</v>
      </c>
      <c r="K44" s="3"/>
      <c r="L44" s="8">
        <f t="shared" si="32"/>
        <v>249.32</v>
      </c>
      <c r="M44" s="3"/>
      <c r="N44" s="7">
        <f t="shared" si="33"/>
        <v>0</v>
      </c>
      <c r="O44" s="11"/>
      <c r="P44" s="8">
        <v>249.32</v>
      </c>
      <c r="Q44" s="3"/>
      <c r="R44" s="7">
        <f t="shared" si="34"/>
        <v>0</v>
      </c>
      <c r="S44" s="3"/>
      <c r="T44" s="8"/>
      <c r="U44" s="3"/>
      <c r="V44" s="7">
        <f t="shared" si="35"/>
        <v>0</v>
      </c>
      <c r="W44" s="3"/>
      <c r="X44" s="8">
        <f t="shared" si="36"/>
        <v>249.32</v>
      </c>
      <c r="Y44" s="3"/>
      <c r="Z44" s="7">
        <f t="shared" si="37"/>
        <v>0</v>
      </c>
    </row>
    <row r="45" spans="1:26" s="27" customFormat="1" outlineLevel="1" collapsed="1" x14ac:dyDescent="0.3">
      <c r="A45" s="28"/>
      <c r="B45" s="14" t="str">
        <f>CONCATENATE("     ","Bank/card Fees                                    ")</f>
        <v xml:space="preserve">     Bank/card Fees                                    </v>
      </c>
      <c r="C45" s="14"/>
      <c r="D45" s="1">
        <f>SUM(OSRRefD22_3x_0)</f>
        <v>0.1</v>
      </c>
      <c r="E45" s="1"/>
      <c r="F45" s="5">
        <f t="shared" si="30"/>
        <v>0</v>
      </c>
      <c r="G45" s="1"/>
      <c r="H45" s="1">
        <f>SUM(OSRRefH22_3x_0)</f>
        <v>98</v>
      </c>
      <c r="I45" s="1"/>
      <c r="J45" s="5">
        <f t="shared" si="31"/>
        <v>3.9772727272727272E-2</v>
      </c>
      <c r="K45" s="1"/>
      <c r="L45" s="1">
        <f t="shared" si="32"/>
        <v>-97.9</v>
      </c>
      <c r="M45" s="1"/>
      <c r="N45" s="5">
        <f t="shared" si="33"/>
        <v>-0.99897959183673479</v>
      </c>
      <c r="O45" s="14"/>
      <c r="P45" s="1">
        <f>SUM(OSRRefP22_3x_0)</f>
        <v>0.1</v>
      </c>
      <c r="Q45" s="1"/>
      <c r="R45" s="5">
        <f t="shared" si="34"/>
        <v>0</v>
      </c>
      <c r="S45" s="1"/>
      <c r="T45" s="1">
        <f>SUM(OSRRefT22_3x_0)</f>
        <v>98</v>
      </c>
      <c r="U45" s="1"/>
      <c r="V45" s="5">
        <f t="shared" si="35"/>
        <v>3.9772727272727272E-2</v>
      </c>
      <c r="W45" s="1"/>
      <c r="X45" s="1">
        <f t="shared" si="36"/>
        <v>-97.9</v>
      </c>
      <c r="Y45" s="1"/>
      <c r="Z45" s="5">
        <f t="shared" si="37"/>
        <v>-0.99897959183673479</v>
      </c>
    </row>
    <row r="46" spans="1:26" s="24" customFormat="1" hidden="1" outlineLevel="2" x14ac:dyDescent="0.3">
      <c r="A46" s="29"/>
      <c r="B46" s="11" t="str">
        <f>CONCATENATE("          ", "6381", " - ", "BANK/CREDIT CARD FEES")</f>
        <v xml:space="preserve">          6381 - BANK/CREDIT CARD FEES</v>
      </c>
      <c r="C46" s="11"/>
      <c r="D46" s="8">
        <v>0.1</v>
      </c>
      <c r="E46" s="3"/>
      <c r="F46" s="7">
        <f t="shared" si="30"/>
        <v>0</v>
      </c>
      <c r="G46" s="3"/>
      <c r="H46" s="8">
        <v>98</v>
      </c>
      <c r="I46" s="3"/>
      <c r="J46" s="7">
        <f t="shared" si="31"/>
        <v>3.9772727272727272E-2</v>
      </c>
      <c r="K46" s="3"/>
      <c r="L46" s="8">
        <f t="shared" si="32"/>
        <v>-97.9</v>
      </c>
      <c r="M46" s="3"/>
      <c r="N46" s="7">
        <f t="shared" si="33"/>
        <v>-0.99897959183673479</v>
      </c>
      <c r="O46" s="11"/>
      <c r="P46" s="8">
        <v>0.1</v>
      </c>
      <c r="Q46" s="3"/>
      <c r="R46" s="7">
        <f t="shared" si="34"/>
        <v>0</v>
      </c>
      <c r="S46" s="3"/>
      <c r="T46" s="8">
        <v>98</v>
      </c>
      <c r="U46" s="3"/>
      <c r="V46" s="7">
        <f t="shared" si="35"/>
        <v>3.9772727272727272E-2</v>
      </c>
      <c r="W46" s="3"/>
      <c r="X46" s="8">
        <f t="shared" si="36"/>
        <v>-97.9</v>
      </c>
      <c r="Y46" s="3"/>
      <c r="Z46" s="7">
        <f t="shared" si="37"/>
        <v>-0.99897959183673479</v>
      </c>
    </row>
    <row r="47" spans="1:26" s="27" customFormat="1" outlineLevel="1" collapsed="1" x14ac:dyDescent="0.3">
      <c r="A47" s="28"/>
      <c r="B47" s="14" t="str">
        <f>CONCATENATE("     ","Depreciation                                      ")</f>
        <v xml:space="preserve">     Depreciation                                      </v>
      </c>
      <c r="C47" s="14"/>
      <c r="D47" s="1">
        <f>SUM(OSRRefD22_4x_0)</f>
        <v>6745.15</v>
      </c>
      <c r="E47" s="1"/>
      <c r="F47" s="5">
        <f t="shared" si="30"/>
        <v>0</v>
      </c>
      <c r="G47" s="1"/>
      <c r="H47" s="1">
        <f>SUM(OSRRefH22_4x_0)</f>
        <v>6745</v>
      </c>
      <c r="I47" s="1"/>
      <c r="J47" s="5">
        <f t="shared" si="31"/>
        <v>2.737418831168831</v>
      </c>
      <c r="K47" s="1"/>
      <c r="L47" s="1">
        <f t="shared" si="32"/>
        <v>0.1499999999996362</v>
      </c>
      <c r="M47" s="1"/>
      <c r="N47" s="5">
        <f t="shared" si="33"/>
        <v>2.2238695329820044E-5</v>
      </c>
      <c r="O47" s="14"/>
      <c r="P47" s="1">
        <f>SUM(OSRRefP22_4x_0)</f>
        <v>6745.15</v>
      </c>
      <c r="Q47" s="1"/>
      <c r="R47" s="5">
        <f t="shared" si="34"/>
        <v>0</v>
      </c>
      <c r="S47" s="1"/>
      <c r="T47" s="1">
        <f>SUM(OSRRefT22_4x_0)</f>
        <v>6745</v>
      </c>
      <c r="U47" s="1"/>
      <c r="V47" s="5">
        <f t="shared" si="35"/>
        <v>2.737418831168831</v>
      </c>
      <c r="W47" s="1"/>
      <c r="X47" s="1">
        <f t="shared" si="36"/>
        <v>0.1499999999996362</v>
      </c>
      <c r="Y47" s="1"/>
      <c r="Z47" s="5">
        <f t="shared" si="37"/>
        <v>2.2238695329820044E-5</v>
      </c>
    </row>
    <row r="48" spans="1:26" s="24" customFormat="1" hidden="1" outlineLevel="2" x14ac:dyDescent="0.3">
      <c r="A48" s="29"/>
      <c r="B48" s="11" t="str">
        <f>CONCATENATE("          ", "6321", " - ", "BUILDING DEPRECIATION")</f>
        <v xml:space="preserve">          6321 - BUILDING DEPRECIATION</v>
      </c>
      <c r="C48" s="11"/>
      <c r="D48" s="8">
        <v>6537.03</v>
      </c>
      <c r="E48" s="3"/>
      <c r="F48" s="7">
        <f t="shared" si="30"/>
        <v>0</v>
      </c>
      <c r="G48" s="3"/>
      <c r="H48" s="8"/>
      <c r="I48" s="3"/>
      <c r="J48" s="7">
        <f t="shared" si="31"/>
        <v>0</v>
      </c>
      <c r="K48" s="3"/>
      <c r="L48" s="8">
        <f t="shared" si="32"/>
        <v>6537.03</v>
      </c>
      <c r="M48" s="3"/>
      <c r="N48" s="7">
        <f t="shared" si="33"/>
        <v>0</v>
      </c>
      <c r="O48" s="11"/>
      <c r="P48" s="8">
        <v>6537.03</v>
      </c>
      <c r="Q48" s="3"/>
      <c r="R48" s="7">
        <f t="shared" si="34"/>
        <v>0</v>
      </c>
      <c r="S48" s="3"/>
      <c r="T48" s="8"/>
      <c r="U48" s="3"/>
      <c r="V48" s="7">
        <f t="shared" si="35"/>
        <v>0</v>
      </c>
      <c r="W48" s="3"/>
      <c r="X48" s="8">
        <f t="shared" si="36"/>
        <v>6537.03</v>
      </c>
      <c r="Y48" s="3"/>
      <c r="Z48" s="7">
        <f t="shared" si="37"/>
        <v>0</v>
      </c>
    </row>
    <row r="49" spans="1:26" s="24" customFormat="1" hidden="1" outlineLevel="2" x14ac:dyDescent="0.3">
      <c r="A49" s="29"/>
      <c r="B49" s="11" t="str">
        <f>CONCATENATE("          ", "6322", " - ", "EQUIPMENT DEPRECIATION EXPENSE")</f>
        <v xml:space="preserve">          6322 - EQUIPMENT DEPRECIATION EXPENSE</v>
      </c>
      <c r="C49" s="11"/>
      <c r="D49" s="8">
        <v>208.12</v>
      </c>
      <c r="E49" s="3"/>
      <c r="F49" s="7">
        <f t="shared" si="30"/>
        <v>0</v>
      </c>
      <c r="G49" s="3"/>
      <c r="H49" s="8">
        <v>6745</v>
      </c>
      <c r="I49" s="3"/>
      <c r="J49" s="7">
        <f t="shared" si="31"/>
        <v>2.737418831168831</v>
      </c>
      <c r="K49" s="3"/>
      <c r="L49" s="8">
        <f t="shared" si="32"/>
        <v>-6536.88</v>
      </c>
      <c r="M49" s="3"/>
      <c r="N49" s="7">
        <f t="shared" si="33"/>
        <v>-0.96914455151964418</v>
      </c>
      <c r="O49" s="11"/>
      <c r="P49" s="8">
        <v>208.12</v>
      </c>
      <c r="Q49" s="3"/>
      <c r="R49" s="7">
        <f t="shared" si="34"/>
        <v>0</v>
      </c>
      <c r="S49" s="3"/>
      <c r="T49" s="8">
        <v>6745</v>
      </c>
      <c r="U49" s="3"/>
      <c r="V49" s="7">
        <f t="shared" si="35"/>
        <v>2.737418831168831</v>
      </c>
      <c r="W49" s="3"/>
      <c r="X49" s="8">
        <f t="shared" si="36"/>
        <v>-6536.88</v>
      </c>
      <c r="Y49" s="3"/>
      <c r="Z49" s="7">
        <f t="shared" si="37"/>
        <v>-0.96914455151964418</v>
      </c>
    </row>
    <row r="50" spans="1:26" s="27" customFormat="1" outlineLevel="1" collapsed="1" x14ac:dyDescent="0.3">
      <c r="A50" s="28"/>
      <c r="B50" s="14" t="str">
        <f>CONCATENATE("     ","Equipment Rental                                  ")</f>
        <v xml:space="preserve">     Equipment Rental                                  </v>
      </c>
      <c r="C50" s="14"/>
      <c r="D50" s="1">
        <f>SUM(OSRRefD22_5x_0)</f>
        <v>215.47</v>
      </c>
      <c r="E50" s="1"/>
      <c r="F50" s="5">
        <f t="shared" ref="F50:F56" si="38">IF(D$12=0,0,D50/D$12)</f>
        <v>0</v>
      </c>
      <c r="G50" s="1"/>
      <c r="H50" s="1">
        <f>SUM(OSRRefH22_5x_0)</f>
        <v>200</v>
      </c>
      <c r="I50" s="1"/>
      <c r="J50" s="5">
        <f t="shared" ref="J50:J56" si="39">IF(H$12=0,0,H50/H$12)</f>
        <v>8.1168831168831168E-2</v>
      </c>
      <c r="K50" s="1"/>
      <c r="L50" s="1">
        <f t="shared" ref="L50:L56" si="40">+D50-H50</f>
        <v>15.469999999999999</v>
      </c>
      <c r="M50" s="1"/>
      <c r="N50" s="5">
        <f t="shared" ref="N50:N56" si="41">IF(H50=0,0,L50/H50)</f>
        <v>7.7349999999999988E-2</v>
      </c>
      <c r="O50" s="14"/>
      <c r="P50" s="1">
        <f>SUM(OSRRefP22_5x_0)</f>
        <v>215.47</v>
      </c>
      <c r="Q50" s="1"/>
      <c r="R50" s="5">
        <f t="shared" ref="R50:R56" si="42">IF(P$12=0,0,P50/P$12)</f>
        <v>0</v>
      </c>
      <c r="S50" s="1"/>
      <c r="T50" s="1">
        <f>SUM(OSRRefT22_5x_0)</f>
        <v>200</v>
      </c>
      <c r="U50" s="1"/>
      <c r="V50" s="5">
        <f t="shared" ref="V50:V56" si="43">IF(T$12=0,0,T50/T$12)</f>
        <v>8.1168831168831168E-2</v>
      </c>
      <c r="W50" s="1"/>
      <c r="X50" s="1">
        <f t="shared" ref="X50:X56" si="44">+P50-T50</f>
        <v>15.469999999999999</v>
      </c>
      <c r="Y50" s="1"/>
      <c r="Z50" s="5">
        <f t="shared" ref="Z50:Z56" si="45">IF(T50=0,0,X50/T50)</f>
        <v>7.7349999999999988E-2</v>
      </c>
    </row>
    <row r="51" spans="1:26" s="24" customFormat="1" hidden="1" outlineLevel="2" x14ac:dyDescent="0.3">
      <c r="A51" s="29"/>
      <c r="B51" s="11" t="str">
        <f>CONCATENATE("          ", "6351", " - ", "EQUIPMENT RENTAL")</f>
        <v xml:space="preserve">          6351 - EQUIPMENT RENTAL</v>
      </c>
      <c r="C51" s="11"/>
      <c r="D51" s="8">
        <v>215.47</v>
      </c>
      <c r="E51" s="3"/>
      <c r="F51" s="7">
        <f t="shared" si="38"/>
        <v>0</v>
      </c>
      <c r="G51" s="3"/>
      <c r="H51" s="8">
        <v>200</v>
      </c>
      <c r="I51" s="3"/>
      <c r="J51" s="7">
        <f t="shared" si="39"/>
        <v>8.1168831168831168E-2</v>
      </c>
      <c r="K51" s="3"/>
      <c r="L51" s="8">
        <f t="shared" si="40"/>
        <v>15.469999999999999</v>
      </c>
      <c r="M51" s="3"/>
      <c r="N51" s="7">
        <f t="shared" si="41"/>
        <v>7.7349999999999988E-2</v>
      </c>
      <c r="O51" s="11"/>
      <c r="P51" s="8">
        <v>215.47</v>
      </c>
      <c r="Q51" s="3"/>
      <c r="R51" s="7">
        <f t="shared" si="42"/>
        <v>0</v>
      </c>
      <c r="S51" s="3"/>
      <c r="T51" s="8">
        <v>200</v>
      </c>
      <c r="U51" s="3"/>
      <c r="V51" s="7">
        <f t="shared" si="43"/>
        <v>8.1168831168831168E-2</v>
      </c>
      <c r="W51" s="3"/>
      <c r="X51" s="8">
        <f t="shared" si="44"/>
        <v>15.469999999999999</v>
      </c>
      <c r="Y51" s="3"/>
      <c r="Z51" s="7">
        <f t="shared" si="45"/>
        <v>7.7349999999999988E-2</v>
      </c>
    </row>
    <row r="52" spans="1:26" s="27" customFormat="1" outlineLevel="1" collapsed="1" x14ac:dyDescent="0.3">
      <c r="A52" s="28"/>
      <c r="B52" s="14" t="str">
        <f>CONCATENATE("     ","General                                           ")</f>
        <v xml:space="preserve">     General                                           </v>
      </c>
      <c r="C52" s="14"/>
      <c r="D52" s="1">
        <f>SUM(OSRRefD22_6x_0)</f>
        <v>0</v>
      </c>
      <c r="E52" s="1"/>
      <c r="F52" s="5">
        <f t="shared" si="38"/>
        <v>0</v>
      </c>
      <c r="G52" s="1"/>
      <c r="H52" s="1">
        <f>SUM(OSRRefH22_6x_0)</f>
        <v>1400</v>
      </c>
      <c r="I52" s="1"/>
      <c r="J52" s="5">
        <f t="shared" si="39"/>
        <v>0.56818181818181823</v>
      </c>
      <c r="K52" s="1"/>
      <c r="L52" s="1">
        <f t="shared" si="40"/>
        <v>-1400</v>
      </c>
      <c r="M52" s="1"/>
      <c r="N52" s="5">
        <f t="shared" si="41"/>
        <v>-1</v>
      </c>
      <c r="O52" s="14"/>
      <c r="P52" s="1">
        <f>SUM(OSRRefP22_6x_0)</f>
        <v>0</v>
      </c>
      <c r="Q52" s="1"/>
      <c r="R52" s="5">
        <f t="shared" si="42"/>
        <v>0</v>
      </c>
      <c r="S52" s="1"/>
      <c r="T52" s="1">
        <f>SUM(OSRRefT22_6x_0)</f>
        <v>1400</v>
      </c>
      <c r="U52" s="1"/>
      <c r="V52" s="5">
        <f t="shared" si="43"/>
        <v>0.56818181818181823</v>
      </c>
      <c r="W52" s="1"/>
      <c r="X52" s="1">
        <f t="shared" si="44"/>
        <v>-1400</v>
      </c>
      <c r="Y52" s="1"/>
      <c r="Z52" s="5">
        <f t="shared" si="45"/>
        <v>-1</v>
      </c>
    </row>
    <row r="53" spans="1:26" s="24" customFormat="1" hidden="1" outlineLevel="2" x14ac:dyDescent="0.3">
      <c r="A53" s="29"/>
      <c r="B53" s="11" t="str">
        <f>CONCATENATE("          ", "6279", " - ", "GENERAL EXPENSE")</f>
        <v xml:space="preserve">          6279 - GENERAL EXPENSE</v>
      </c>
      <c r="C53" s="11"/>
      <c r="D53" s="8"/>
      <c r="E53" s="3"/>
      <c r="F53" s="7">
        <f t="shared" si="38"/>
        <v>0</v>
      </c>
      <c r="G53" s="3"/>
      <c r="H53" s="8">
        <v>1400</v>
      </c>
      <c r="I53" s="3"/>
      <c r="J53" s="7">
        <f t="shared" si="39"/>
        <v>0.56818181818181823</v>
      </c>
      <c r="K53" s="3"/>
      <c r="L53" s="8">
        <f t="shared" si="40"/>
        <v>-1400</v>
      </c>
      <c r="M53" s="3"/>
      <c r="N53" s="7">
        <f t="shared" si="41"/>
        <v>-1</v>
      </c>
      <c r="O53" s="11"/>
      <c r="P53" s="8"/>
      <c r="Q53" s="3"/>
      <c r="R53" s="7">
        <f t="shared" si="42"/>
        <v>0</v>
      </c>
      <c r="S53" s="3"/>
      <c r="T53" s="8">
        <v>1400</v>
      </c>
      <c r="U53" s="3"/>
      <c r="V53" s="7">
        <f t="shared" si="43"/>
        <v>0.56818181818181823</v>
      </c>
      <c r="W53" s="3"/>
      <c r="X53" s="8">
        <f t="shared" si="44"/>
        <v>-1400</v>
      </c>
      <c r="Y53" s="3"/>
      <c r="Z53" s="7">
        <f t="shared" si="45"/>
        <v>-1</v>
      </c>
    </row>
    <row r="54" spans="1:26" s="27" customFormat="1" outlineLevel="1" collapsed="1" x14ac:dyDescent="0.3">
      <c r="A54" s="28"/>
      <c r="B54" s="14" t="str">
        <f>CONCATENATE("     ","Repair and Maintenance                            ")</f>
        <v xml:space="preserve">     Repair and Maintenance                            </v>
      </c>
      <c r="C54" s="14"/>
      <c r="D54" s="1">
        <f>SUM(OSRRefD22_7x_0)</f>
        <v>951.47</v>
      </c>
      <c r="E54" s="1"/>
      <c r="F54" s="5">
        <f t="shared" si="38"/>
        <v>0</v>
      </c>
      <c r="G54" s="1"/>
      <c r="H54" s="1">
        <f>SUM(OSRRefH22_7x_0)</f>
        <v>10500</v>
      </c>
      <c r="I54" s="1"/>
      <c r="J54" s="5">
        <f t="shared" si="39"/>
        <v>4.2613636363636367</v>
      </c>
      <c r="K54" s="1"/>
      <c r="L54" s="1">
        <f t="shared" si="40"/>
        <v>-9548.5300000000007</v>
      </c>
      <c r="M54" s="1"/>
      <c r="N54" s="5">
        <f t="shared" si="41"/>
        <v>-0.90938380952380959</v>
      </c>
      <c r="O54" s="14"/>
      <c r="P54" s="1">
        <f>SUM(OSRRefP22_7x_0)</f>
        <v>951.47</v>
      </c>
      <c r="Q54" s="1"/>
      <c r="R54" s="5">
        <f t="shared" si="42"/>
        <v>0</v>
      </c>
      <c r="S54" s="1"/>
      <c r="T54" s="1">
        <f>SUM(OSRRefT22_7x_0)</f>
        <v>10500</v>
      </c>
      <c r="U54" s="1"/>
      <c r="V54" s="5">
        <f t="shared" si="43"/>
        <v>4.2613636363636367</v>
      </c>
      <c r="W54" s="1"/>
      <c r="X54" s="1">
        <f t="shared" si="44"/>
        <v>-9548.5300000000007</v>
      </c>
      <c r="Y54" s="1"/>
      <c r="Z54" s="5">
        <f t="shared" si="45"/>
        <v>-0.90938380952380959</v>
      </c>
    </row>
    <row r="55" spans="1:26" s="24" customFormat="1" hidden="1" outlineLevel="2" x14ac:dyDescent="0.3">
      <c r="A55" s="29"/>
      <c r="B55" s="11" t="str">
        <f>CONCATENATE("          ", "6373", " - ", "MAINTENANCE CONTRACTS")</f>
        <v xml:space="preserve">          6373 - MAINTENANCE CONTRACTS</v>
      </c>
      <c r="C55" s="11"/>
      <c r="D55" s="8"/>
      <c r="E55" s="3"/>
      <c r="F55" s="7">
        <f t="shared" si="38"/>
        <v>0</v>
      </c>
      <c r="G55" s="3"/>
      <c r="H55" s="8">
        <v>500</v>
      </c>
      <c r="I55" s="3"/>
      <c r="J55" s="7">
        <f t="shared" si="39"/>
        <v>0.20292207792207792</v>
      </c>
      <c r="K55" s="3"/>
      <c r="L55" s="8">
        <f t="shared" si="40"/>
        <v>-500</v>
      </c>
      <c r="M55" s="3"/>
      <c r="N55" s="7">
        <f t="shared" si="41"/>
        <v>-1</v>
      </c>
      <c r="O55" s="11"/>
      <c r="P55" s="8"/>
      <c r="Q55" s="3"/>
      <c r="R55" s="7">
        <f t="shared" si="42"/>
        <v>0</v>
      </c>
      <c r="S55" s="3"/>
      <c r="T55" s="8">
        <v>500</v>
      </c>
      <c r="U55" s="3"/>
      <c r="V55" s="7">
        <f t="shared" si="43"/>
        <v>0.20292207792207792</v>
      </c>
      <c r="W55" s="3"/>
      <c r="X55" s="8">
        <f t="shared" si="44"/>
        <v>-500</v>
      </c>
      <c r="Y55" s="3"/>
      <c r="Z55" s="7">
        <f t="shared" si="45"/>
        <v>-1</v>
      </c>
    </row>
    <row r="56" spans="1:26" s="24" customFormat="1" hidden="1" outlineLevel="2" x14ac:dyDescent="0.3">
      <c r="A56" s="29"/>
      <c r="B56" s="11" t="str">
        <f>CONCATENATE("          ", "6375", " - ", "OUTSIDE REPAIRS &amp; MAINTENANCE")</f>
        <v xml:space="preserve">          6375 - OUTSIDE REPAIRS &amp; MAINTENANCE</v>
      </c>
      <c r="C56" s="11"/>
      <c r="D56" s="8">
        <v>951.47</v>
      </c>
      <c r="E56" s="3"/>
      <c r="F56" s="7">
        <f t="shared" si="38"/>
        <v>0</v>
      </c>
      <c r="G56" s="3"/>
      <c r="H56" s="8">
        <v>10000</v>
      </c>
      <c r="I56" s="3"/>
      <c r="J56" s="7">
        <f t="shared" si="39"/>
        <v>4.0584415584415581</v>
      </c>
      <c r="K56" s="3"/>
      <c r="L56" s="8">
        <f t="shared" si="40"/>
        <v>-9048.5300000000007</v>
      </c>
      <c r="M56" s="3"/>
      <c r="N56" s="7">
        <f t="shared" si="41"/>
        <v>-0.90485300000000002</v>
      </c>
      <c r="O56" s="11"/>
      <c r="P56" s="8">
        <v>951.47</v>
      </c>
      <c r="Q56" s="3"/>
      <c r="R56" s="7">
        <f t="shared" si="42"/>
        <v>0</v>
      </c>
      <c r="S56" s="3"/>
      <c r="T56" s="8">
        <v>10000</v>
      </c>
      <c r="U56" s="3"/>
      <c r="V56" s="7">
        <f t="shared" si="43"/>
        <v>4.0584415584415581</v>
      </c>
      <c r="W56" s="3"/>
      <c r="X56" s="8">
        <f t="shared" si="44"/>
        <v>-9048.5300000000007</v>
      </c>
      <c r="Y56" s="3"/>
      <c r="Z56" s="7">
        <f t="shared" si="45"/>
        <v>-0.90485300000000002</v>
      </c>
    </row>
    <row r="57" spans="1:26" s="27" customFormat="1" outlineLevel="1" collapsed="1" x14ac:dyDescent="0.3">
      <c r="A57" s="28"/>
      <c r="B57" s="14" t="str">
        <f>CONCATENATE("     ","Services                                          ")</f>
        <v xml:space="preserve">     Services                                          </v>
      </c>
      <c r="C57" s="14"/>
      <c r="D57" s="1">
        <f>SUM(OSRRefD22_8x_0)</f>
        <v>0</v>
      </c>
      <c r="E57" s="1"/>
      <c r="F57" s="5">
        <f t="shared" ref="F57:F60" si="46">IF(D$12=0,0,D57/D$12)</f>
        <v>0</v>
      </c>
      <c r="G57" s="1"/>
      <c r="H57" s="1">
        <f>SUM(OSRRefH22_8x_0)</f>
        <v>300</v>
      </c>
      <c r="I57" s="1"/>
      <c r="J57" s="5">
        <f t="shared" ref="J57:J60" si="47">IF(H$12=0,0,H57/H$12)</f>
        <v>0.12175324675324675</v>
      </c>
      <c r="K57" s="1"/>
      <c r="L57" s="1">
        <f t="shared" ref="L57:L60" si="48">+D57-H57</f>
        <v>-300</v>
      </c>
      <c r="M57" s="1"/>
      <c r="N57" s="5">
        <f t="shared" ref="N57:N60" si="49">IF(H57=0,0,L57/H57)</f>
        <v>-1</v>
      </c>
      <c r="O57" s="14"/>
      <c r="P57" s="1">
        <f>SUM(OSRRefP22_8x_0)</f>
        <v>0</v>
      </c>
      <c r="Q57" s="1"/>
      <c r="R57" s="5">
        <f t="shared" ref="R57:R60" si="50">IF(P$12=0,0,P57/P$12)</f>
        <v>0</v>
      </c>
      <c r="S57" s="1"/>
      <c r="T57" s="1">
        <f>SUM(OSRRefT22_8x_0)</f>
        <v>300</v>
      </c>
      <c r="U57" s="1"/>
      <c r="V57" s="5">
        <f t="shared" ref="V57:V60" si="51">IF(T$12=0,0,T57/T$12)</f>
        <v>0.12175324675324675</v>
      </c>
      <c r="W57" s="1"/>
      <c r="X57" s="1">
        <f t="shared" ref="X57:X60" si="52">+P57-T57</f>
        <v>-300</v>
      </c>
      <c r="Y57" s="1"/>
      <c r="Z57" s="5">
        <f t="shared" ref="Z57:Z60" si="53">IF(T57=0,0,X57/T57)</f>
        <v>-1</v>
      </c>
    </row>
    <row r="58" spans="1:26" s="24" customFormat="1" hidden="1" outlineLevel="2" x14ac:dyDescent="0.3">
      <c r="A58" s="29"/>
      <c r="B58" s="11" t="str">
        <f>CONCATENATE("          ", "6283", " - ", "PLANT SERVICE")</f>
        <v xml:space="preserve">          6283 - PLANT SERVICE</v>
      </c>
      <c r="C58" s="11"/>
      <c r="D58" s="8"/>
      <c r="E58" s="3"/>
      <c r="F58" s="7">
        <f t="shared" si="46"/>
        <v>0</v>
      </c>
      <c r="G58" s="3"/>
      <c r="H58" s="8">
        <v>100</v>
      </c>
      <c r="I58" s="3"/>
      <c r="J58" s="7">
        <f t="shared" si="47"/>
        <v>4.0584415584415584E-2</v>
      </c>
      <c r="K58" s="3"/>
      <c r="L58" s="8">
        <f t="shared" si="48"/>
        <v>-100</v>
      </c>
      <c r="M58" s="3"/>
      <c r="N58" s="7">
        <f t="shared" si="49"/>
        <v>-1</v>
      </c>
      <c r="O58" s="11"/>
      <c r="P58" s="8"/>
      <c r="Q58" s="3"/>
      <c r="R58" s="7">
        <f t="shared" si="50"/>
        <v>0</v>
      </c>
      <c r="S58" s="3"/>
      <c r="T58" s="8">
        <v>100</v>
      </c>
      <c r="U58" s="3"/>
      <c r="V58" s="7">
        <f t="shared" si="51"/>
        <v>4.0584415584415584E-2</v>
      </c>
      <c r="W58" s="3"/>
      <c r="X58" s="8">
        <f t="shared" si="52"/>
        <v>-100</v>
      </c>
      <c r="Y58" s="3"/>
      <c r="Z58" s="7">
        <f t="shared" si="53"/>
        <v>-1</v>
      </c>
    </row>
    <row r="59" spans="1:26" s="24" customFormat="1" hidden="1" outlineLevel="2" x14ac:dyDescent="0.3">
      <c r="A59" s="29"/>
      <c r="B59" s="11" t="str">
        <f>CONCATENATE("          ", "6284", " - ", "TRASH REMOVAL EXPENSE")</f>
        <v xml:space="preserve">          6284 - TRASH REMOVAL EXPENSE</v>
      </c>
      <c r="C59" s="11"/>
      <c r="D59" s="8"/>
      <c r="E59" s="3"/>
      <c r="F59" s="7">
        <f t="shared" si="46"/>
        <v>0</v>
      </c>
      <c r="G59" s="3"/>
      <c r="H59" s="8">
        <v>0</v>
      </c>
      <c r="I59" s="3"/>
      <c r="J59" s="7">
        <f t="shared" si="47"/>
        <v>0</v>
      </c>
      <c r="K59" s="3"/>
      <c r="L59" s="8">
        <f t="shared" si="48"/>
        <v>0</v>
      </c>
      <c r="M59" s="3"/>
      <c r="N59" s="7">
        <f t="shared" si="49"/>
        <v>0</v>
      </c>
      <c r="O59" s="11"/>
      <c r="P59" s="8"/>
      <c r="Q59" s="3"/>
      <c r="R59" s="7">
        <f t="shared" si="50"/>
        <v>0</v>
      </c>
      <c r="S59" s="3"/>
      <c r="T59" s="8">
        <v>0</v>
      </c>
      <c r="U59" s="3"/>
      <c r="V59" s="7">
        <f t="shared" si="51"/>
        <v>0</v>
      </c>
      <c r="W59" s="3"/>
      <c r="X59" s="8">
        <f t="shared" si="52"/>
        <v>0</v>
      </c>
      <c r="Y59" s="3"/>
      <c r="Z59" s="7">
        <f t="shared" si="53"/>
        <v>0</v>
      </c>
    </row>
    <row r="60" spans="1:26" s="24" customFormat="1" hidden="1" outlineLevel="2" x14ac:dyDescent="0.3">
      <c r="A60" s="29"/>
      <c r="B60" s="11" t="str">
        <f>CONCATENATE("          ", "6286", " - ", "LAUNDRY EXPENSE")</f>
        <v xml:space="preserve">          6286 - LAUNDRY EXPENSE</v>
      </c>
      <c r="C60" s="11"/>
      <c r="D60" s="8"/>
      <c r="E60" s="3"/>
      <c r="F60" s="7">
        <f t="shared" si="46"/>
        <v>0</v>
      </c>
      <c r="G60" s="3"/>
      <c r="H60" s="8">
        <v>200</v>
      </c>
      <c r="I60" s="3"/>
      <c r="J60" s="7">
        <f t="shared" si="47"/>
        <v>8.1168831168831168E-2</v>
      </c>
      <c r="K60" s="3"/>
      <c r="L60" s="8">
        <f t="shared" si="48"/>
        <v>-200</v>
      </c>
      <c r="M60" s="3"/>
      <c r="N60" s="7">
        <f t="shared" si="49"/>
        <v>-1</v>
      </c>
      <c r="O60" s="11"/>
      <c r="P60" s="8"/>
      <c r="Q60" s="3"/>
      <c r="R60" s="7">
        <f t="shared" si="50"/>
        <v>0</v>
      </c>
      <c r="S60" s="3"/>
      <c r="T60" s="8">
        <v>200</v>
      </c>
      <c r="U60" s="3"/>
      <c r="V60" s="7">
        <f t="shared" si="51"/>
        <v>8.1168831168831168E-2</v>
      </c>
      <c r="W60" s="3"/>
      <c r="X60" s="8">
        <f t="shared" si="52"/>
        <v>-200</v>
      </c>
      <c r="Y60" s="3"/>
      <c r="Z60" s="7">
        <f t="shared" si="53"/>
        <v>-1</v>
      </c>
    </row>
    <row r="61" spans="1:26" s="27" customFormat="1" outlineLevel="1" collapsed="1" x14ac:dyDescent="0.3">
      <c r="A61" s="28"/>
      <c r="B61" s="14" t="str">
        <f>CONCATENATE("     ","Supplies                                          ")</f>
        <v xml:space="preserve">     Supplies                                          </v>
      </c>
      <c r="C61" s="14"/>
      <c r="D61" s="1">
        <f>SUM(OSRRefD22_9x_0)</f>
        <v>77.16</v>
      </c>
      <c r="E61" s="1"/>
      <c r="F61" s="5">
        <f t="shared" ref="F61:F69" si="54">IF(D$12=0,0,D61/D$12)</f>
        <v>0</v>
      </c>
      <c r="G61" s="1"/>
      <c r="H61" s="1">
        <f>SUM(OSRRefH22_9x_0)</f>
        <v>6650</v>
      </c>
      <c r="I61" s="1"/>
      <c r="J61" s="5">
        <f t="shared" ref="J61:J69" si="55">IF(H$12=0,0,H61/H$12)</f>
        <v>2.6988636363636362</v>
      </c>
      <c r="K61" s="1"/>
      <c r="L61" s="1">
        <f t="shared" ref="L61:L69" si="56">+D61-H61</f>
        <v>-6572.84</v>
      </c>
      <c r="M61" s="1"/>
      <c r="N61" s="5">
        <f t="shared" ref="N61:N69" si="57">IF(H61=0,0,L61/H61)</f>
        <v>-0.98839699248120305</v>
      </c>
      <c r="O61" s="14"/>
      <c r="P61" s="1">
        <f>SUM(OSRRefP22_9x_0)</f>
        <v>77.16</v>
      </c>
      <c r="Q61" s="1"/>
      <c r="R61" s="5">
        <f t="shared" ref="R61:R69" si="58">IF(P$12=0,0,P61/P$12)</f>
        <v>0</v>
      </c>
      <c r="S61" s="1"/>
      <c r="T61" s="1">
        <f>SUM(OSRRefT22_9x_0)</f>
        <v>6650</v>
      </c>
      <c r="U61" s="1"/>
      <c r="V61" s="5">
        <f t="shared" ref="V61:V69" si="59">IF(T$12=0,0,T61/T$12)</f>
        <v>2.6988636363636362</v>
      </c>
      <c r="W61" s="1"/>
      <c r="X61" s="1">
        <f t="shared" ref="X61:X69" si="60">+P61-T61</f>
        <v>-6572.84</v>
      </c>
      <c r="Y61" s="1"/>
      <c r="Z61" s="5">
        <f t="shared" ref="Z61:Z69" si="61">IF(T61=0,0,X61/T61)</f>
        <v>-0.98839699248120305</v>
      </c>
    </row>
    <row r="62" spans="1:26" s="24" customFormat="1" hidden="1" outlineLevel="2" x14ac:dyDescent="0.3">
      <c r="A62" s="29"/>
      <c r="B62" s="11" t="str">
        <f>CONCATENATE("          ", "6235", " - ", "COVID-19 EXPENSES")</f>
        <v xml:space="preserve">          6235 - COVID-19 EXPENSES</v>
      </c>
      <c r="C62" s="11"/>
      <c r="D62" s="8"/>
      <c r="E62" s="3"/>
      <c r="F62" s="7">
        <f t="shared" si="54"/>
        <v>0</v>
      </c>
      <c r="G62" s="3"/>
      <c r="H62" s="8">
        <v>250</v>
      </c>
      <c r="I62" s="3"/>
      <c r="J62" s="7">
        <f t="shared" si="55"/>
        <v>0.10146103896103896</v>
      </c>
      <c r="K62" s="3"/>
      <c r="L62" s="8">
        <f t="shared" si="56"/>
        <v>-250</v>
      </c>
      <c r="M62" s="3"/>
      <c r="N62" s="7">
        <f t="shared" si="57"/>
        <v>-1</v>
      </c>
      <c r="O62" s="11"/>
      <c r="P62" s="8"/>
      <c r="Q62" s="3"/>
      <c r="R62" s="7">
        <f t="shared" si="58"/>
        <v>0</v>
      </c>
      <c r="S62" s="3"/>
      <c r="T62" s="8">
        <v>250</v>
      </c>
      <c r="U62" s="3"/>
      <c r="V62" s="7">
        <f t="shared" si="59"/>
        <v>0.10146103896103896</v>
      </c>
      <c r="W62" s="3"/>
      <c r="X62" s="8">
        <f t="shared" si="60"/>
        <v>-250</v>
      </c>
      <c r="Y62" s="3"/>
      <c r="Z62" s="7">
        <f t="shared" si="61"/>
        <v>-1</v>
      </c>
    </row>
    <row r="63" spans="1:26" s="24" customFormat="1" hidden="1" outlineLevel="2" x14ac:dyDescent="0.3">
      <c r="A63" s="29"/>
      <c r="B63" s="11" t="str">
        <f>CONCATENATE("          ", "6237", " - ", "JANITORIAL SUPPLIES")</f>
        <v xml:space="preserve">          6237 - JANITORIAL SUPPLIES</v>
      </c>
      <c r="C63" s="11"/>
      <c r="D63" s="8"/>
      <c r="E63" s="3"/>
      <c r="F63" s="7">
        <f t="shared" si="54"/>
        <v>0</v>
      </c>
      <c r="G63" s="3"/>
      <c r="H63" s="8">
        <v>250</v>
      </c>
      <c r="I63" s="3"/>
      <c r="J63" s="7">
        <f t="shared" si="55"/>
        <v>0.10146103896103896</v>
      </c>
      <c r="K63" s="3"/>
      <c r="L63" s="8">
        <f t="shared" si="56"/>
        <v>-250</v>
      </c>
      <c r="M63" s="3"/>
      <c r="N63" s="7">
        <f t="shared" si="57"/>
        <v>-1</v>
      </c>
      <c r="O63" s="11"/>
      <c r="P63" s="8"/>
      <c r="Q63" s="3"/>
      <c r="R63" s="7">
        <f t="shared" si="58"/>
        <v>0</v>
      </c>
      <c r="S63" s="3"/>
      <c r="T63" s="8">
        <v>250</v>
      </c>
      <c r="U63" s="3"/>
      <c r="V63" s="7">
        <f t="shared" si="59"/>
        <v>0.10146103896103896</v>
      </c>
      <c r="W63" s="3"/>
      <c r="X63" s="8">
        <f t="shared" si="60"/>
        <v>-250</v>
      </c>
      <c r="Y63" s="3"/>
      <c r="Z63" s="7">
        <f t="shared" si="61"/>
        <v>-1</v>
      </c>
    </row>
    <row r="64" spans="1:26" s="24" customFormat="1" hidden="1" outlineLevel="2" x14ac:dyDescent="0.3">
      <c r="A64" s="29"/>
      <c r="B64" s="11" t="str">
        <f>CONCATENATE("          ", "6239", " - ", "KITCHEN SUPPLIES")</f>
        <v xml:space="preserve">          6239 - KITCHEN SUPPLIES</v>
      </c>
      <c r="C64" s="11"/>
      <c r="D64" s="8"/>
      <c r="E64" s="3"/>
      <c r="F64" s="7">
        <f t="shared" si="54"/>
        <v>0</v>
      </c>
      <c r="G64" s="3"/>
      <c r="H64" s="8">
        <v>5000</v>
      </c>
      <c r="I64" s="3"/>
      <c r="J64" s="7">
        <f t="shared" si="55"/>
        <v>2.029220779220779</v>
      </c>
      <c r="K64" s="3"/>
      <c r="L64" s="8">
        <f t="shared" si="56"/>
        <v>-5000</v>
      </c>
      <c r="M64" s="3"/>
      <c r="N64" s="7">
        <f t="shared" si="57"/>
        <v>-1</v>
      </c>
      <c r="O64" s="11"/>
      <c r="P64" s="8"/>
      <c r="Q64" s="3"/>
      <c r="R64" s="7">
        <f t="shared" si="58"/>
        <v>0</v>
      </c>
      <c r="S64" s="3"/>
      <c r="T64" s="8">
        <v>5000</v>
      </c>
      <c r="U64" s="3"/>
      <c r="V64" s="7">
        <f t="shared" si="59"/>
        <v>2.029220779220779</v>
      </c>
      <c r="W64" s="3"/>
      <c r="X64" s="8">
        <f t="shared" si="60"/>
        <v>-5000</v>
      </c>
      <c r="Y64" s="3"/>
      <c r="Z64" s="7">
        <f t="shared" si="61"/>
        <v>-1</v>
      </c>
    </row>
    <row r="65" spans="1:26" s="24" customFormat="1" hidden="1" outlineLevel="2" x14ac:dyDescent="0.3">
      <c r="A65" s="29"/>
      <c r="B65" s="11" t="str">
        <f>CONCATENATE("          ", "6241", " - ", "OFFICE EXPENSE")</f>
        <v xml:space="preserve">          6241 - OFFICE EXPENSE</v>
      </c>
      <c r="C65" s="11"/>
      <c r="D65" s="8">
        <v>77.16</v>
      </c>
      <c r="E65" s="3"/>
      <c r="F65" s="7">
        <f t="shared" si="54"/>
        <v>0</v>
      </c>
      <c r="G65" s="3"/>
      <c r="H65" s="8"/>
      <c r="I65" s="3"/>
      <c r="J65" s="7">
        <f t="shared" si="55"/>
        <v>0</v>
      </c>
      <c r="K65" s="3"/>
      <c r="L65" s="8">
        <f t="shared" si="56"/>
        <v>77.16</v>
      </c>
      <c r="M65" s="3"/>
      <c r="N65" s="7">
        <f t="shared" si="57"/>
        <v>0</v>
      </c>
      <c r="O65" s="11"/>
      <c r="P65" s="8">
        <v>77.16</v>
      </c>
      <c r="Q65" s="3"/>
      <c r="R65" s="7">
        <f t="shared" si="58"/>
        <v>0</v>
      </c>
      <c r="S65" s="3"/>
      <c r="T65" s="8"/>
      <c r="U65" s="3"/>
      <c r="V65" s="7">
        <f t="shared" si="59"/>
        <v>0</v>
      </c>
      <c r="W65" s="3"/>
      <c r="X65" s="8">
        <f t="shared" si="60"/>
        <v>77.16</v>
      </c>
      <c r="Y65" s="3"/>
      <c r="Z65" s="7">
        <f t="shared" si="61"/>
        <v>0</v>
      </c>
    </row>
    <row r="66" spans="1:26" s="24" customFormat="1" hidden="1" outlineLevel="2" x14ac:dyDescent="0.3">
      <c r="A66" s="29"/>
      <c r="B66" s="11" t="str">
        <f>CONCATENATE("          ", "6243", " - ", "PAPER SUPPLIES")</f>
        <v xml:space="preserve">          6243 - PAPER SUPPLIES</v>
      </c>
      <c r="C66" s="11"/>
      <c r="D66" s="8"/>
      <c r="E66" s="3"/>
      <c r="F66" s="7">
        <f t="shared" si="54"/>
        <v>0</v>
      </c>
      <c r="G66" s="3"/>
      <c r="H66" s="8">
        <v>150</v>
      </c>
      <c r="I66" s="3"/>
      <c r="J66" s="7">
        <f t="shared" si="55"/>
        <v>6.0876623376623376E-2</v>
      </c>
      <c r="K66" s="3"/>
      <c r="L66" s="8">
        <f t="shared" si="56"/>
        <v>-150</v>
      </c>
      <c r="M66" s="3"/>
      <c r="N66" s="7">
        <f t="shared" si="57"/>
        <v>-1</v>
      </c>
      <c r="O66" s="11"/>
      <c r="P66" s="8"/>
      <c r="Q66" s="3"/>
      <c r="R66" s="7">
        <f t="shared" si="58"/>
        <v>0</v>
      </c>
      <c r="S66" s="3"/>
      <c r="T66" s="8">
        <v>150</v>
      </c>
      <c r="U66" s="3"/>
      <c r="V66" s="7">
        <f t="shared" si="59"/>
        <v>6.0876623376623376E-2</v>
      </c>
      <c r="W66" s="3"/>
      <c r="X66" s="8">
        <f t="shared" si="60"/>
        <v>-150</v>
      </c>
      <c r="Y66" s="3"/>
      <c r="Z66" s="7">
        <f t="shared" si="61"/>
        <v>-1</v>
      </c>
    </row>
    <row r="67" spans="1:26" s="24" customFormat="1" hidden="1" outlineLevel="2" x14ac:dyDescent="0.3">
      <c r="A67" s="29"/>
      <c r="B67" s="11" t="str">
        <f>CONCATENATE("          ", "6244", " - ", "SAFETY SUPPLY EXPENSE")</f>
        <v xml:space="preserve">          6244 - SAFETY SUPPLY EXPENSE</v>
      </c>
      <c r="C67" s="11"/>
      <c r="D67" s="8"/>
      <c r="E67" s="3"/>
      <c r="F67" s="7">
        <f t="shared" si="54"/>
        <v>0</v>
      </c>
      <c r="G67" s="3"/>
      <c r="H67" s="8">
        <v>50</v>
      </c>
      <c r="I67" s="3"/>
      <c r="J67" s="7">
        <f t="shared" si="55"/>
        <v>2.0292207792207792E-2</v>
      </c>
      <c r="K67" s="3"/>
      <c r="L67" s="8">
        <f t="shared" si="56"/>
        <v>-50</v>
      </c>
      <c r="M67" s="3"/>
      <c r="N67" s="7">
        <f t="shared" si="57"/>
        <v>-1</v>
      </c>
      <c r="O67" s="11"/>
      <c r="P67" s="8"/>
      <c r="Q67" s="3"/>
      <c r="R67" s="7">
        <f t="shared" si="58"/>
        <v>0</v>
      </c>
      <c r="S67" s="3"/>
      <c r="T67" s="8">
        <v>50</v>
      </c>
      <c r="U67" s="3"/>
      <c r="V67" s="7">
        <f t="shared" si="59"/>
        <v>2.0292207792207792E-2</v>
      </c>
      <c r="W67" s="3"/>
      <c r="X67" s="8">
        <f t="shared" si="60"/>
        <v>-50</v>
      </c>
      <c r="Y67" s="3"/>
      <c r="Z67" s="7">
        <f t="shared" si="61"/>
        <v>-1</v>
      </c>
    </row>
    <row r="68" spans="1:26" s="24" customFormat="1" hidden="1" outlineLevel="2" x14ac:dyDescent="0.3">
      <c r="A68" s="29"/>
      <c r="B68" s="11" t="str">
        <f>CONCATENATE("          ", "6245", " - ", "PRINTING")</f>
        <v xml:space="preserve">          6245 - PRINTING</v>
      </c>
      <c r="C68" s="11"/>
      <c r="D68" s="8"/>
      <c r="E68" s="3"/>
      <c r="F68" s="7">
        <f t="shared" si="54"/>
        <v>0</v>
      </c>
      <c r="G68" s="3"/>
      <c r="H68" s="8">
        <v>150</v>
      </c>
      <c r="I68" s="3"/>
      <c r="J68" s="7">
        <f t="shared" si="55"/>
        <v>6.0876623376623376E-2</v>
      </c>
      <c r="K68" s="3"/>
      <c r="L68" s="8">
        <f t="shared" si="56"/>
        <v>-150</v>
      </c>
      <c r="M68" s="3"/>
      <c r="N68" s="7">
        <f t="shared" si="57"/>
        <v>-1</v>
      </c>
      <c r="O68" s="11"/>
      <c r="P68" s="8"/>
      <c r="Q68" s="3"/>
      <c r="R68" s="7">
        <f t="shared" si="58"/>
        <v>0</v>
      </c>
      <c r="S68" s="3"/>
      <c r="T68" s="8">
        <v>150</v>
      </c>
      <c r="U68" s="3"/>
      <c r="V68" s="7">
        <f t="shared" si="59"/>
        <v>6.0876623376623376E-2</v>
      </c>
      <c r="W68" s="3"/>
      <c r="X68" s="8">
        <f t="shared" si="60"/>
        <v>-150</v>
      </c>
      <c r="Y68" s="3"/>
      <c r="Z68" s="7">
        <f t="shared" si="61"/>
        <v>-1</v>
      </c>
    </row>
    <row r="69" spans="1:26" s="24" customFormat="1" hidden="1" outlineLevel="2" x14ac:dyDescent="0.3">
      <c r="A69" s="29"/>
      <c r="B69" s="11" t="str">
        <f>CONCATENATE("          ", "6248", " - ", "UNIFORMS")</f>
        <v xml:space="preserve">          6248 - UNIFORMS</v>
      </c>
      <c r="C69" s="11"/>
      <c r="D69" s="8"/>
      <c r="E69" s="3"/>
      <c r="F69" s="7">
        <f t="shared" si="54"/>
        <v>0</v>
      </c>
      <c r="G69" s="3"/>
      <c r="H69" s="8">
        <v>800</v>
      </c>
      <c r="I69" s="3"/>
      <c r="J69" s="7">
        <f t="shared" si="55"/>
        <v>0.32467532467532467</v>
      </c>
      <c r="K69" s="3"/>
      <c r="L69" s="8">
        <f t="shared" si="56"/>
        <v>-800</v>
      </c>
      <c r="M69" s="3"/>
      <c r="N69" s="7">
        <f t="shared" si="57"/>
        <v>-1</v>
      </c>
      <c r="O69" s="11"/>
      <c r="P69" s="8"/>
      <c r="Q69" s="3"/>
      <c r="R69" s="7">
        <f t="shared" si="58"/>
        <v>0</v>
      </c>
      <c r="S69" s="3"/>
      <c r="T69" s="8">
        <v>800</v>
      </c>
      <c r="U69" s="3"/>
      <c r="V69" s="7">
        <f t="shared" si="59"/>
        <v>0.32467532467532467</v>
      </c>
      <c r="W69" s="3"/>
      <c r="X69" s="8">
        <f t="shared" si="60"/>
        <v>-800</v>
      </c>
      <c r="Y69" s="3"/>
      <c r="Z69" s="7">
        <f t="shared" si="61"/>
        <v>-1</v>
      </c>
    </row>
    <row r="70" spans="1:26" s="27" customFormat="1" outlineLevel="1" collapsed="1" x14ac:dyDescent="0.3">
      <c r="A70" s="28"/>
      <c r="B70" s="14" t="str">
        <f>CONCATENATE("     ","Telephone/Data Lines                              ")</f>
        <v xml:space="preserve">     Telephone/Data Lines                              </v>
      </c>
      <c r="C70" s="14"/>
      <c r="D70" s="1">
        <f>SUM(OSRRefD22_10x_0)</f>
        <v>75</v>
      </c>
      <c r="E70" s="1"/>
      <c r="F70" s="5">
        <f t="shared" ref="F70:F72" si="62">IF(D$12=0,0,D70/D$12)</f>
        <v>0</v>
      </c>
      <c r="G70" s="1"/>
      <c r="H70" s="1">
        <f>SUM(OSRRefH22_10x_0)</f>
        <v>225</v>
      </c>
      <c r="I70" s="1"/>
      <c r="J70" s="5">
        <f t="shared" ref="J70:J72" si="63">IF(H$12=0,0,H70/H$12)</f>
        <v>9.1314935064935071E-2</v>
      </c>
      <c r="K70" s="1"/>
      <c r="L70" s="1">
        <f t="shared" ref="L70:L72" si="64">+D70-H70</f>
        <v>-150</v>
      </c>
      <c r="M70" s="1"/>
      <c r="N70" s="5">
        <f t="shared" ref="N70:N72" si="65">IF(H70=0,0,L70/H70)</f>
        <v>-0.66666666666666663</v>
      </c>
      <c r="O70" s="14"/>
      <c r="P70" s="1">
        <f>SUM(OSRRefP22_10x_0)</f>
        <v>75</v>
      </c>
      <c r="Q70" s="1"/>
      <c r="R70" s="5">
        <f t="shared" ref="R70:R72" si="66">IF(P$12=0,0,P70/P$12)</f>
        <v>0</v>
      </c>
      <c r="S70" s="1"/>
      <c r="T70" s="1">
        <f>SUM(OSRRefT22_10x_0)</f>
        <v>225</v>
      </c>
      <c r="U70" s="1"/>
      <c r="V70" s="5">
        <f t="shared" ref="V70:V72" si="67">IF(T$12=0,0,T70/T$12)</f>
        <v>9.1314935064935071E-2</v>
      </c>
      <c r="W70" s="1"/>
      <c r="X70" s="1">
        <f t="shared" ref="X70:X72" si="68">+P70-T70</f>
        <v>-150</v>
      </c>
      <c r="Y70" s="1"/>
      <c r="Z70" s="5">
        <f t="shared" ref="Z70:Z72" si="69">IF(T70=0,0,X70/T70)</f>
        <v>-0.66666666666666663</v>
      </c>
    </row>
    <row r="71" spans="1:26" s="24" customFormat="1" hidden="1" outlineLevel="2" x14ac:dyDescent="0.3">
      <c r="A71" s="29"/>
      <c r="B71" s="11" t="str">
        <f>CONCATENATE("          ", "6303", " - ", "DATA PHONE LINES")</f>
        <v xml:space="preserve">          6303 - DATA PHONE LINES</v>
      </c>
      <c r="C71" s="11"/>
      <c r="D71" s="8"/>
      <c r="E71" s="3"/>
      <c r="F71" s="7">
        <f t="shared" si="62"/>
        <v>0</v>
      </c>
      <c r="G71" s="3"/>
      <c r="H71" s="8">
        <v>75</v>
      </c>
      <c r="I71" s="3"/>
      <c r="J71" s="7">
        <f t="shared" si="63"/>
        <v>3.0438311688311688E-2</v>
      </c>
      <c r="K71" s="3"/>
      <c r="L71" s="8">
        <f t="shared" si="64"/>
        <v>-75</v>
      </c>
      <c r="M71" s="3"/>
      <c r="N71" s="7">
        <f t="shared" si="65"/>
        <v>-1</v>
      </c>
      <c r="O71" s="11"/>
      <c r="P71" s="8"/>
      <c r="Q71" s="3"/>
      <c r="R71" s="7">
        <f t="shared" si="66"/>
        <v>0</v>
      </c>
      <c r="S71" s="3"/>
      <c r="T71" s="8">
        <v>75</v>
      </c>
      <c r="U71" s="3"/>
      <c r="V71" s="7">
        <f t="shared" si="67"/>
        <v>3.0438311688311688E-2</v>
      </c>
      <c r="W71" s="3"/>
      <c r="X71" s="8">
        <f t="shared" si="68"/>
        <v>-75</v>
      </c>
      <c r="Y71" s="3"/>
      <c r="Z71" s="7">
        <f t="shared" si="69"/>
        <v>-1</v>
      </c>
    </row>
    <row r="72" spans="1:26" s="24" customFormat="1" hidden="1" outlineLevel="2" x14ac:dyDescent="0.3">
      <c r="A72" s="29"/>
      <c r="B72" s="11" t="str">
        <f>CONCATENATE("          ", "6309", " - ", "TELEPHONE")</f>
        <v xml:space="preserve">          6309 - TELEPHONE</v>
      </c>
      <c r="C72" s="11"/>
      <c r="D72" s="8">
        <v>75</v>
      </c>
      <c r="E72" s="3"/>
      <c r="F72" s="7">
        <f t="shared" si="62"/>
        <v>0</v>
      </c>
      <c r="G72" s="3"/>
      <c r="H72" s="8">
        <v>150</v>
      </c>
      <c r="I72" s="3"/>
      <c r="J72" s="7">
        <f t="shared" si="63"/>
        <v>6.0876623376623376E-2</v>
      </c>
      <c r="K72" s="3"/>
      <c r="L72" s="8">
        <f t="shared" si="64"/>
        <v>-75</v>
      </c>
      <c r="M72" s="3"/>
      <c r="N72" s="7">
        <f t="shared" si="65"/>
        <v>-0.5</v>
      </c>
      <c r="O72" s="11"/>
      <c r="P72" s="8">
        <v>75</v>
      </c>
      <c r="Q72" s="3"/>
      <c r="R72" s="7">
        <f t="shared" si="66"/>
        <v>0</v>
      </c>
      <c r="S72" s="3"/>
      <c r="T72" s="8">
        <v>150</v>
      </c>
      <c r="U72" s="3"/>
      <c r="V72" s="7">
        <f t="shared" si="67"/>
        <v>6.0876623376623376E-2</v>
      </c>
      <c r="W72" s="3"/>
      <c r="X72" s="8">
        <f t="shared" si="68"/>
        <v>-75</v>
      </c>
      <c r="Y72" s="3"/>
      <c r="Z72" s="7">
        <f t="shared" si="69"/>
        <v>-0.5</v>
      </c>
    </row>
    <row r="73" spans="1:26" s="27" customFormat="1" outlineLevel="1" collapsed="1" x14ac:dyDescent="0.3">
      <c r="A73" s="28"/>
      <c r="B73" s="14" t="str">
        <f>CONCATENATE("     ","Training                                          ")</f>
        <v xml:space="preserve">     Training                                          </v>
      </c>
      <c r="C73" s="14"/>
      <c r="D73" s="1">
        <f>SUM(OSRRefD22_11x_0)</f>
        <v>0</v>
      </c>
      <c r="E73" s="1"/>
      <c r="F73" s="5">
        <f t="shared" ref="F73:F76" si="70">IF(D$12=0,0,D73/D$12)</f>
        <v>0</v>
      </c>
      <c r="G73" s="1"/>
      <c r="H73" s="1">
        <f>SUM(OSRRefH22_11x_0)</f>
        <v>200</v>
      </c>
      <c r="I73" s="1"/>
      <c r="J73" s="5">
        <f t="shared" ref="J73:J76" si="71">IF(H$12=0,0,H73/H$12)</f>
        <v>8.1168831168831168E-2</v>
      </c>
      <c r="K73" s="1"/>
      <c r="L73" s="1">
        <f t="shared" ref="L73:L76" si="72">+D73-H73</f>
        <v>-200</v>
      </c>
      <c r="M73" s="1"/>
      <c r="N73" s="5">
        <f t="shared" ref="N73:N76" si="73">IF(H73=0,0,L73/H73)</f>
        <v>-1</v>
      </c>
      <c r="O73" s="14"/>
      <c r="P73" s="1">
        <f>SUM(OSRRefP22_11x_0)</f>
        <v>0</v>
      </c>
      <c r="Q73" s="1"/>
      <c r="R73" s="5">
        <f t="shared" ref="R73:R76" si="74">IF(P$12=0,0,P73/P$12)</f>
        <v>0</v>
      </c>
      <c r="S73" s="1"/>
      <c r="T73" s="1">
        <f>SUM(OSRRefT22_11x_0)</f>
        <v>200</v>
      </c>
      <c r="U73" s="1"/>
      <c r="V73" s="5">
        <f t="shared" ref="V73:V76" si="75">IF(T$12=0,0,T73/T$12)</f>
        <v>8.1168831168831168E-2</v>
      </c>
      <c r="W73" s="1"/>
      <c r="X73" s="1">
        <f t="shared" ref="X73:X76" si="76">+P73-T73</f>
        <v>-200</v>
      </c>
      <c r="Y73" s="1"/>
      <c r="Z73" s="5">
        <f t="shared" ref="Z73:Z76" si="77">IF(T73=0,0,X73/T73)</f>
        <v>-1</v>
      </c>
    </row>
    <row r="74" spans="1:26" s="24" customFormat="1" hidden="1" outlineLevel="2" x14ac:dyDescent="0.3">
      <c r="A74" s="29"/>
      <c r="B74" s="11" t="str">
        <f>CONCATENATE("          ", "6376", " - ", "TRAINING")</f>
        <v xml:space="preserve">          6376 - TRAINING</v>
      </c>
      <c r="C74" s="11"/>
      <c r="D74" s="8"/>
      <c r="E74" s="3"/>
      <c r="F74" s="7">
        <f t="shared" si="70"/>
        <v>0</v>
      </c>
      <c r="G74" s="3"/>
      <c r="H74" s="8">
        <v>200</v>
      </c>
      <c r="I74" s="3"/>
      <c r="J74" s="7">
        <f t="shared" si="71"/>
        <v>8.1168831168831168E-2</v>
      </c>
      <c r="K74" s="3"/>
      <c r="L74" s="8">
        <f t="shared" si="72"/>
        <v>-200</v>
      </c>
      <c r="M74" s="3"/>
      <c r="N74" s="7">
        <f t="shared" si="73"/>
        <v>-1</v>
      </c>
      <c r="O74" s="11"/>
      <c r="P74" s="8"/>
      <c r="Q74" s="3"/>
      <c r="R74" s="7">
        <f t="shared" si="74"/>
        <v>0</v>
      </c>
      <c r="S74" s="3"/>
      <c r="T74" s="8">
        <v>200</v>
      </c>
      <c r="U74" s="3"/>
      <c r="V74" s="7">
        <f t="shared" si="75"/>
        <v>8.1168831168831168E-2</v>
      </c>
      <c r="W74" s="3"/>
      <c r="X74" s="8">
        <f t="shared" si="76"/>
        <v>-200</v>
      </c>
      <c r="Y74" s="3"/>
      <c r="Z74" s="7">
        <f t="shared" si="77"/>
        <v>-1</v>
      </c>
    </row>
    <row r="75" spans="1:26" s="27" customFormat="1" outlineLevel="1" collapsed="1" x14ac:dyDescent="0.3">
      <c r="A75" s="28"/>
      <c r="B75" s="14" t="str">
        <f>CONCATENATE("     ","Utilities                                         ")</f>
        <v xml:space="preserve">     Utilities                                         </v>
      </c>
      <c r="C75" s="14"/>
      <c r="D75" s="1">
        <f>SUM(OSRRefD22_12x_0)</f>
        <v>0</v>
      </c>
      <c r="E75" s="1"/>
      <c r="F75" s="5">
        <f t="shared" si="70"/>
        <v>0</v>
      </c>
      <c r="G75" s="1"/>
      <c r="H75" s="1">
        <f>SUM(OSRRefH22_12x_0)</f>
        <v>500</v>
      </c>
      <c r="I75" s="1"/>
      <c r="J75" s="5">
        <f t="shared" si="71"/>
        <v>0.20292207792207792</v>
      </c>
      <c r="K75" s="1"/>
      <c r="L75" s="1">
        <f t="shared" si="72"/>
        <v>-500</v>
      </c>
      <c r="M75" s="1"/>
      <c r="N75" s="5">
        <f t="shared" si="73"/>
        <v>-1</v>
      </c>
      <c r="O75" s="14"/>
      <c r="P75" s="1">
        <f>SUM(OSRRefP22_12x_0)</f>
        <v>0</v>
      </c>
      <c r="Q75" s="1"/>
      <c r="R75" s="5">
        <f t="shared" si="74"/>
        <v>0</v>
      </c>
      <c r="S75" s="1"/>
      <c r="T75" s="1">
        <f>SUM(OSRRefT22_12x_0)</f>
        <v>500</v>
      </c>
      <c r="U75" s="1"/>
      <c r="V75" s="5">
        <f t="shared" si="75"/>
        <v>0.20292207792207792</v>
      </c>
      <c r="W75" s="1"/>
      <c r="X75" s="1">
        <f t="shared" si="76"/>
        <v>-500</v>
      </c>
      <c r="Y75" s="1"/>
      <c r="Z75" s="5">
        <f t="shared" si="77"/>
        <v>-1</v>
      </c>
    </row>
    <row r="76" spans="1:26" s="24" customFormat="1" hidden="1" outlineLevel="2" x14ac:dyDescent="0.3">
      <c r="A76" s="29"/>
      <c r="B76" s="11" t="str">
        <f>CONCATENATE("          ", "6274", " - ", "UTILITIES")</f>
        <v xml:space="preserve">          6274 - UTILITIES</v>
      </c>
      <c r="C76" s="11"/>
      <c r="D76" s="8"/>
      <c r="E76" s="3"/>
      <c r="F76" s="7">
        <f t="shared" si="70"/>
        <v>0</v>
      </c>
      <c r="G76" s="3"/>
      <c r="H76" s="8">
        <v>500</v>
      </c>
      <c r="I76" s="3"/>
      <c r="J76" s="7">
        <f t="shared" si="71"/>
        <v>0.20292207792207792</v>
      </c>
      <c r="K76" s="3"/>
      <c r="L76" s="8">
        <f t="shared" si="72"/>
        <v>-500</v>
      </c>
      <c r="M76" s="3"/>
      <c r="N76" s="7">
        <f t="shared" si="73"/>
        <v>-1</v>
      </c>
      <c r="O76" s="11"/>
      <c r="P76" s="8"/>
      <c r="Q76" s="3"/>
      <c r="R76" s="7">
        <f t="shared" si="74"/>
        <v>0</v>
      </c>
      <c r="S76" s="3"/>
      <c r="T76" s="8">
        <v>500</v>
      </c>
      <c r="U76" s="3"/>
      <c r="V76" s="7">
        <f t="shared" si="75"/>
        <v>0.20292207792207792</v>
      </c>
      <c r="W76" s="3"/>
      <c r="X76" s="8">
        <f t="shared" si="76"/>
        <v>-500</v>
      </c>
      <c r="Y76" s="3"/>
      <c r="Z76" s="7">
        <f t="shared" si="77"/>
        <v>-1</v>
      </c>
    </row>
    <row r="77" spans="1:26" s="62" customFormat="1" x14ac:dyDescent="0.3">
      <c r="A77" s="36"/>
      <c r="B77" s="36"/>
      <c r="C77" s="36"/>
      <c r="D77" s="1"/>
      <c r="E77" s="1"/>
      <c r="F77" s="5"/>
      <c r="G77" s="1"/>
      <c r="H77" s="1"/>
      <c r="I77" s="1"/>
      <c r="J77" s="5"/>
      <c r="K77" s="1"/>
      <c r="L77" s="1"/>
      <c r="M77" s="1"/>
      <c r="N77" s="5"/>
      <c r="O77" s="36"/>
      <c r="P77" s="1"/>
      <c r="Q77" s="1"/>
      <c r="R77" s="5"/>
      <c r="S77" s="1"/>
      <c r="T77" s="1"/>
      <c r="U77" s="1"/>
      <c r="V77" s="5"/>
      <c r="W77" s="1"/>
      <c r="X77" s="1"/>
      <c r="Y77" s="1"/>
      <c r="Z77" s="5"/>
    </row>
    <row r="78" spans="1:26" s="23" customFormat="1" x14ac:dyDescent="0.3">
      <c r="A78" s="10"/>
      <c r="B78" s="25" t="s">
        <v>293</v>
      </c>
      <c r="C78" s="10"/>
      <c r="D78" s="4">
        <f>SUM(0)</f>
        <v>0</v>
      </c>
      <c r="E78" s="4"/>
      <c r="F78" s="12">
        <f>IF(D$12=0,0,D78/D$12)</f>
        <v>0</v>
      </c>
      <c r="G78" s="4"/>
      <c r="H78" s="4">
        <f>SUM(0)</f>
        <v>0</v>
      </c>
      <c r="I78" s="4"/>
      <c r="J78" s="12">
        <f>IF(H$12=0,0,H78/H$12)</f>
        <v>0</v>
      </c>
      <c r="K78" s="4"/>
      <c r="L78" s="4">
        <f>+D78-H78</f>
        <v>0</v>
      </c>
      <c r="M78" s="4"/>
      <c r="N78" s="12">
        <f>IF(H78=0,0,L78/H78)</f>
        <v>0</v>
      </c>
      <c r="O78" s="10"/>
      <c r="P78" s="4">
        <f>SUM(0)</f>
        <v>0</v>
      </c>
      <c r="Q78" s="4"/>
      <c r="R78" s="12">
        <f>IF(P$12=0,0,P78/P$12)</f>
        <v>0</v>
      </c>
      <c r="S78" s="4"/>
      <c r="T78" s="4">
        <f>SUM(0)</f>
        <v>0</v>
      </c>
      <c r="U78" s="4"/>
      <c r="V78" s="12">
        <f>IF(T$12=0,0,T78/T$12)</f>
        <v>0</v>
      </c>
      <c r="W78" s="4"/>
      <c r="X78" s="4">
        <f>+P78-T78</f>
        <v>0</v>
      </c>
      <c r="Y78" s="4"/>
      <c r="Z78" s="12">
        <f>IF(T78=0,0,X78/T78)</f>
        <v>0</v>
      </c>
    </row>
    <row r="79" spans="1:26" x14ac:dyDescent="0.3">
      <c r="A79" s="9"/>
      <c r="B79" s="10"/>
      <c r="C79" s="10"/>
      <c r="D79" s="2"/>
      <c r="E79" s="2"/>
      <c r="F79" s="6"/>
      <c r="G79" s="2"/>
      <c r="H79" s="2"/>
      <c r="I79" s="2"/>
      <c r="J79" s="6"/>
      <c r="K79" s="2"/>
      <c r="L79" s="2"/>
      <c r="M79" s="2"/>
      <c r="N79" s="6"/>
      <c r="O79" s="10"/>
      <c r="P79" s="2"/>
      <c r="Q79" s="2"/>
      <c r="R79" s="6"/>
      <c r="S79" s="2"/>
      <c r="T79" s="2"/>
      <c r="U79" s="2"/>
      <c r="V79" s="6"/>
      <c r="W79" s="2"/>
      <c r="X79" s="2"/>
      <c r="Y79" s="2"/>
      <c r="Z79" s="6"/>
    </row>
    <row r="80" spans="1:26" s="23" customFormat="1" x14ac:dyDescent="0.3">
      <c r="A80" s="10"/>
      <c r="B80" s="26" t="s">
        <v>277</v>
      </c>
      <c r="C80" s="26"/>
      <c r="D80" s="21">
        <f>+D19-D21+D78</f>
        <v>-21761.300000000003</v>
      </c>
      <c r="E80" s="13"/>
      <c r="F80" s="22">
        <f>IF(D$12=0,0,D80/D$12)</f>
        <v>0</v>
      </c>
      <c r="G80" s="13"/>
      <c r="H80" s="21">
        <f>+H19-H21+H78</f>
        <v>-41704.975544615379</v>
      </c>
      <c r="I80" s="13"/>
      <c r="J80" s="22">
        <f>IF(H$12=0,0,H80/H$12)</f>
        <v>-16.925720594405593</v>
      </c>
      <c r="K80" s="16"/>
      <c r="L80" s="21">
        <f>+D80-H80</f>
        <v>19943.675544615377</v>
      </c>
      <c r="M80" s="16"/>
      <c r="N80" s="22">
        <f>IF(H80=0,0,L80/H80)</f>
        <v>-0.47820854188680489</v>
      </c>
      <c r="O80" s="25"/>
      <c r="P80" s="21">
        <f>+P19-P21+P78</f>
        <v>-21761.300000000003</v>
      </c>
      <c r="Q80" s="13"/>
      <c r="R80" s="22">
        <f>IF(P$12=0,0,P80/P$12)</f>
        <v>0</v>
      </c>
      <c r="S80" s="13"/>
      <c r="T80" s="21">
        <f>+T19-T21+T78</f>
        <v>-41704.975544615379</v>
      </c>
      <c r="U80" s="13"/>
      <c r="V80" s="22">
        <f>IF(T$12=0,0,T80/T$12)</f>
        <v>-16.925720594405593</v>
      </c>
      <c r="W80" s="16"/>
      <c r="X80" s="21">
        <f>+P80-T80</f>
        <v>19943.675544615377</v>
      </c>
      <c r="Y80" s="16"/>
      <c r="Z80" s="22">
        <f>IF(T80=0,0,X80/T80)</f>
        <v>-0.47820854188680489</v>
      </c>
    </row>
    <row r="81" spans="1:26" x14ac:dyDescent="0.3">
      <c r="A81" s="9"/>
      <c r="B81" s="10"/>
      <c r="C81" s="9"/>
      <c r="D81" s="2"/>
      <c r="E81" s="2"/>
      <c r="F81" s="6"/>
      <c r="G81" s="2"/>
      <c r="H81" s="2"/>
      <c r="I81" s="2"/>
      <c r="J81" s="6"/>
      <c r="K81" s="2"/>
      <c r="L81" s="2"/>
      <c r="M81" s="2"/>
      <c r="N81" s="6"/>
      <c r="P81" s="2"/>
      <c r="Q81" s="2"/>
      <c r="R81" s="6"/>
      <c r="S81" s="2"/>
      <c r="T81" s="2"/>
      <c r="U81" s="2"/>
      <c r="V81" s="6"/>
      <c r="W81" s="2"/>
      <c r="X81" s="2"/>
      <c r="Y81" s="2"/>
      <c r="Z81" s="6"/>
    </row>
    <row r="82" spans="1:26" s="23" customFormat="1" x14ac:dyDescent="0.3">
      <c r="A82" s="52"/>
      <c r="B82" s="10" t="s">
        <v>128</v>
      </c>
      <c r="C82" s="10"/>
      <c r="D82" s="4"/>
      <c r="E82" s="4"/>
      <c r="F82" s="12">
        <f>IF(D$12=0,0,D82/D$12)</f>
        <v>0</v>
      </c>
      <c r="G82" s="4"/>
      <c r="H82" s="4">
        <v>892</v>
      </c>
      <c r="I82" s="4"/>
      <c r="J82" s="12">
        <f>IF(H$12=0,0,H82/H$12)</f>
        <v>0.36201298701298701</v>
      </c>
      <c r="K82" s="4"/>
      <c r="L82" s="4">
        <f>+D82-H82</f>
        <v>-892</v>
      </c>
      <c r="M82" s="4"/>
      <c r="N82" s="12">
        <f>IF(H82=0,0,L82/H82)</f>
        <v>-1</v>
      </c>
      <c r="O82" s="10"/>
      <c r="P82" s="4"/>
      <c r="Q82" s="4"/>
      <c r="R82" s="12">
        <f>IF(P$12=0,0,P82/P$12)</f>
        <v>0</v>
      </c>
      <c r="S82" s="4"/>
      <c r="T82" s="4">
        <v>892</v>
      </c>
      <c r="U82" s="4"/>
      <c r="V82" s="12">
        <f>IF(T$12=0,0,T82/T$12)</f>
        <v>0.36201298701298701</v>
      </c>
      <c r="W82" s="4"/>
      <c r="X82" s="4">
        <f>+P82-T82</f>
        <v>-892</v>
      </c>
      <c r="Y82" s="4"/>
      <c r="Z82" s="12">
        <f>IF(T82=0,0,X82/T82)</f>
        <v>-1</v>
      </c>
    </row>
    <row r="83" spans="1:26" x14ac:dyDescent="0.3">
      <c r="A83" s="9"/>
      <c r="B83" s="10"/>
      <c r="C83" s="10"/>
      <c r="D83" s="2"/>
      <c r="E83" s="2"/>
      <c r="F83" s="6"/>
      <c r="G83" s="2"/>
      <c r="H83" s="2"/>
      <c r="I83" s="2"/>
      <c r="J83" s="6"/>
      <c r="K83" s="2"/>
      <c r="L83" s="2"/>
      <c r="M83" s="2"/>
      <c r="N83" s="6"/>
      <c r="O83" s="10"/>
      <c r="P83" s="2"/>
      <c r="Q83" s="2"/>
      <c r="R83" s="6"/>
      <c r="S83" s="2"/>
      <c r="T83" s="2"/>
      <c r="U83" s="2"/>
      <c r="V83" s="6"/>
      <c r="W83" s="2"/>
      <c r="X83" s="2"/>
      <c r="Y83" s="2"/>
      <c r="Z83" s="6"/>
    </row>
    <row r="84" spans="1:26" s="23" customFormat="1" ht="15" thickBot="1" x14ac:dyDescent="0.35">
      <c r="A84" s="10"/>
      <c r="B84" s="26" t="s">
        <v>126</v>
      </c>
      <c r="C84" s="26"/>
      <c r="D84" s="35">
        <f>+D80-D82</f>
        <v>-21761.300000000003</v>
      </c>
      <c r="E84" s="13"/>
      <c r="F84" s="30">
        <f>IF(D$12=0,0,D84/D$12)</f>
        <v>0</v>
      </c>
      <c r="G84" s="13"/>
      <c r="H84" s="35">
        <f>+H80-H82</f>
        <v>-42596.975544615379</v>
      </c>
      <c r="I84" s="13"/>
      <c r="J84" s="30">
        <f>IF(H$12=0,0,H84/H$12)</f>
        <v>-17.287733581418578</v>
      </c>
      <c r="K84" s="16"/>
      <c r="L84" s="35">
        <f>D84-H84</f>
        <v>20835.675544615377</v>
      </c>
      <c r="M84" s="16"/>
      <c r="N84" s="30">
        <f>IF(H84=0,0,L84/H84)</f>
        <v>-0.48913509182811415</v>
      </c>
      <c r="O84" s="25"/>
      <c r="P84" s="35">
        <f>+P80-P82</f>
        <v>-21761.300000000003</v>
      </c>
      <c r="Q84" s="13"/>
      <c r="R84" s="30">
        <f>IF(P$12=0,0,P84/P$12)</f>
        <v>0</v>
      </c>
      <c r="S84" s="13"/>
      <c r="T84" s="35">
        <f>+T80-T82</f>
        <v>-42596.975544615379</v>
      </c>
      <c r="U84" s="13"/>
      <c r="V84" s="30">
        <f>IF(T$12=0,0,T84/T$12)</f>
        <v>-17.287733581418578</v>
      </c>
      <c r="W84" s="16"/>
      <c r="X84" s="35">
        <f>P84-T84</f>
        <v>20835.675544615377</v>
      </c>
      <c r="Y84" s="16"/>
      <c r="Z84" s="30">
        <f>IF(T84=0,0,X84/T84)</f>
        <v>-0.48913509182811415</v>
      </c>
    </row>
    <row r="85" spans="1:26" ht="15" thickTop="1" x14ac:dyDescent="0.3">
      <c r="A85" s="9"/>
      <c r="B85" s="9"/>
      <c r="C85" s="9"/>
      <c r="D85" s="2"/>
      <c r="E85" s="2"/>
      <c r="F85" s="6"/>
      <c r="G85" s="2"/>
      <c r="H85" s="2"/>
      <c r="I85" s="2"/>
      <c r="J85" s="6"/>
      <c r="K85" s="2"/>
      <c r="L85" s="2"/>
      <c r="M85" s="2"/>
      <c r="N85" s="6"/>
      <c r="P85" s="2"/>
      <c r="Q85" s="2"/>
      <c r="R85" s="6"/>
      <c r="S85" s="2"/>
      <c r="T85" s="2"/>
      <c r="U85" s="2"/>
      <c r="V85" s="6"/>
      <c r="W85" s="2"/>
      <c r="X85" s="2"/>
      <c r="Y85" s="2"/>
      <c r="Z85" s="6"/>
    </row>
    <row r="86" spans="1:26" x14ac:dyDescent="0.3">
      <c r="A86" s="9"/>
      <c r="B86" s="9"/>
      <c r="C86" s="9"/>
      <c r="D86" s="2"/>
      <c r="E86" s="2"/>
      <c r="F86" s="6"/>
      <c r="G86" s="2"/>
      <c r="H86" s="2"/>
      <c r="I86" s="2"/>
      <c r="J86" s="6"/>
      <c r="K86" s="2"/>
      <c r="L86" s="2"/>
      <c r="M86" s="2"/>
      <c r="N86" s="6"/>
      <c r="P86" s="2"/>
      <c r="Q86" s="2"/>
      <c r="R86" s="6"/>
      <c r="S86" s="2"/>
      <c r="T86" s="2"/>
      <c r="U86" s="2"/>
      <c r="V86" s="6"/>
      <c r="W86" s="2"/>
      <c r="X86" s="2"/>
      <c r="Y86" s="2"/>
      <c r="Z86" s="6"/>
    </row>
    <row r="87" spans="1:26" s="23" customFormat="1" ht="15" thickBot="1" x14ac:dyDescent="0.35">
      <c r="A87" s="10"/>
      <c r="B87" s="26" t="s">
        <v>294</v>
      </c>
      <c r="C87" s="26"/>
      <c r="D87" s="33">
        <f>SUM(D84:D86)</f>
        <v>-21761.300000000003</v>
      </c>
      <c r="E87" s="13"/>
      <c r="F87" s="31">
        <f>IF(D$12=0,0,D87/D$12)</f>
        <v>0</v>
      </c>
      <c r="G87" s="13"/>
      <c r="H87" s="33">
        <f>SUM(H84:H86)</f>
        <v>-42596.975544615379</v>
      </c>
      <c r="I87" s="13"/>
      <c r="J87" s="31">
        <f>IF(H$12=0,0,H87/H$12)</f>
        <v>-17.287733581418578</v>
      </c>
      <c r="K87" s="16"/>
      <c r="L87" s="33">
        <f>+D87-H87</f>
        <v>20835.675544615377</v>
      </c>
      <c r="M87" s="16"/>
      <c r="N87" s="31">
        <f>IF(H87=0,0,L87/H87)</f>
        <v>-0.48913509182811415</v>
      </c>
      <c r="O87" s="25"/>
      <c r="P87" s="33">
        <f>SUM(P84:P86)</f>
        <v>-21761.300000000003</v>
      </c>
      <c r="Q87" s="13"/>
      <c r="R87" s="31">
        <f>IF(P$12=0,0,P87/P$12)</f>
        <v>0</v>
      </c>
      <c r="S87" s="13"/>
      <c r="T87" s="33">
        <f>SUM(T84:T86)</f>
        <v>-42596.975544615379</v>
      </c>
      <c r="U87" s="13"/>
      <c r="V87" s="31">
        <f>IF(T$12=0,0,T87/T$12)</f>
        <v>-17.287733581418578</v>
      </c>
      <c r="W87" s="16"/>
      <c r="X87" s="33">
        <f>+P87-T87</f>
        <v>20835.675544615377</v>
      </c>
      <c r="Y87" s="16"/>
      <c r="Z87" s="31">
        <f>IF(T87=0,0,X87/T87)</f>
        <v>-0.48913509182811415</v>
      </c>
    </row>
    <row r="88" spans="1:26" ht="15" thickTop="1" x14ac:dyDescent="0.3">
      <c r="A88" s="9"/>
      <c r="C88" s="9"/>
      <c r="D88" s="18"/>
      <c r="E88" s="18"/>
      <c r="G88" s="18"/>
      <c r="H88" s="18"/>
      <c r="I88" s="18"/>
      <c r="J88" s="43"/>
      <c r="K88" s="18"/>
      <c r="L88" s="18"/>
      <c r="M88" s="18"/>
      <c r="P88" s="18"/>
      <c r="Q88" s="18"/>
      <c r="R88" s="43"/>
      <c r="S88" s="18"/>
      <c r="T88" s="18"/>
      <c r="U88" s="18"/>
      <c r="V88" s="43"/>
      <c r="W88" s="18"/>
      <c r="X88" s="18"/>
    </row>
    <row r="89" spans="1:26" x14ac:dyDescent="0.3">
      <c r="A89" s="9"/>
      <c r="B89" s="54">
        <v>44462.64548684028</v>
      </c>
      <c r="D89" s="18"/>
      <c r="E89" s="18"/>
      <c r="G89" s="18"/>
      <c r="H89" s="18"/>
      <c r="I89" s="18"/>
      <c r="J89" s="43"/>
      <c r="K89" s="18"/>
      <c r="L89" s="18"/>
      <c r="M89" s="18"/>
      <c r="P89" s="18"/>
      <c r="Q89" s="18"/>
      <c r="R89" s="43"/>
      <c r="S89" s="18"/>
      <c r="T89" s="18"/>
      <c r="U89" s="18"/>
      <c r="V89" s="43"/>
      <c r="W89" s="18"/>
      <c r="X89" s="18"/>
    </row>
    <row r="90" spans="1:26" x14ac:dyDescent="0.3">
      <c r="A90" s="9"/>
      <c r="B90" s="59" t="s">
        <v>56</v>
      </c>
      <c r="D90" s="18"/>
      <c r="E90" s="18"/>
      <c r="G90" s="18"/>
      <c r="H90" s="18"/>
      <c r="I90" s="18"/>
      <c r="J90" s="43"/>
      <c r="K90" s="18"/>
      <c r="L90" s="18"/>
      <c r="M90" s="18"/>
      <c r="P90" s="18"/>
      <c r="Q90" s="18"/>
      <c r="R90" s="43"/>
      <c r="S90" s="18"/>
      <c r="T90" s="18"/>
      <c r="U90" s="18"/>
      <c r="V90" s="43"/>
      <c r="W90" s="18"/>
      <c r="X90" s="18"/>
    </row>
    <row r="91" spans="1:26" x14ac:dyDescent="0.3">
      <c r="A91" s="9"/>
      <c r="B91" s="55"/>
      <c r="D91" s="18"/>
      <c r="E91" s="18"/>
      <c r="G91" s="18"/>
      <c r="H91" s="18"/>
      <c r="I91" s="18"/>
      <c r="J91" s="43"/>
      <c r="K91" s="18"/>
      <c r="L91" s="18"/>
      <c r="M91" s="18"/>
      <c r="P91" s="18"/>
      <c r="Q91" s="18"/>
      <c r="R91" s="43"/>
      <c r="S91" s="18"/>
      <c r="T91" s="18"/>
      <c r="U91" s="18"/>
      <c r="V91" s="43"/>
      <c r="W91" s="18"/>
      <c r="X91" s="18"/>
    </row>
    <row r="92" spans="1:26" x14ac:dyDescent="0.3">
      <c r="D92" s="18"/>
      <c r="E92" s="18"/>
      <c r="G92" s="18"/>
      <c r="H92" s="18"/>
      <c r="I92" s="18"/>
      <c r="J92" s="43"/>
      <c r="K92" s="18"/>
      <c r="L92" s="18"/>
      <c r="M92" s="18"/>
      <c r="P92" s="18"/>
      <c r="Q92" s="18"/>
      <c r="R92" s="43"/>
      <c r="S92" s="18"/>
      <c r="T92" s="18"/>
      <c r="U92" s="18"/>
      <c r="V92" s="43"/>
      <c r="W92" s="18"/>
      <c r="X92" s="18"/>
    </row>
  </sheetData>
  <pageMargins left="0.25" right="0.25" top="0.75" bottom="0.75" header="0.3" footer="0.3"/>
  <pageSetup scale="55" fitToWidth="2" orientation="landscape"/>
  <drawing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>
    <tabColor rgb="FF92D050"/>
    <outlinePr summaryBelow="0" summaryRight="0"/>
  </sheetPr>
  <dimension ref="A2:Z60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50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7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50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7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7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7" customWidth="1" outlineLevel="1"/>
  </cols>
  <sheetData>
    <row r="2" spans="1:26" x14ac:dyDescent="0.3">
      <c r="D2" s="57" t="s">
        <v>23</v>
      </c>
    </row>
    <row r="3" spans="1:26" x14ac:dyDescent="0.3">
      <c r="D3" s="57" t="s">
        <v>237</v>
      </c>
      <c r="E3" s="17"/>
      <c r="F3" s="51"/>
      <c r="G3" s="17"/>
      <c r="H3" s="17"/>
      <c r="I3" s="17"/>
      <c r="J3" s="39"/>
      <c r="K3" s="17"/>
      <c r="L3" s="17"/>
      <c r="M3" s="17"/>
      <c r="N3" s="51"/>
      <c r="O3" s="61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3">
      <c r="D4" s="57" t="str">
        <f>CONCATENATE("Period ",RIGHT(202201,2),", ",2022)</f>
        <v>Period 01, 2022</v>
      </c>
      <c r="E4" s="17"/>
      <c r="F4" s="51"/>
      <c r="G4" s="17"/>
      <c r="H4" s="17"/>
      <c r="I4" s="17"/>
      <c r="J4" s="39"/>
      <c r="K4" s="17"/>
      <c r="L4" s="17"/>
      <c r="M4" s="17"/>
      <c r="N4" s="51"/>
      <c r="O4" s="61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3">
      <c r="A5" s="23"/>
      <c r="D5" s="64">
        <v>44408</v>
      </c>
      <c r="E5" s="17"/>
      <c r="F5" s="51"/>
      <c r="G5" s="17"/>
      <c r="H5" s="17"/>
      <c r="I5" s="17"/>
      <c r="J5" s="39"/>
      <c r="K5" s="17"/>
      <c r="L5" s="17"/>
      <c r="M5" s="17"/>
      <c r="N5" s="51"/>
      <c r="O5" s="61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3">
      <c r="A6" s="23"/>
      <c r="B6" s="47"/>
      <c r="C6" s="47"/>
      <c r="D6" s="23" t="str">
        <f>CONCATENATE("Department ","423", " - ", "Contract/Vending Revenue")</f>
        <v>Department 423 - Contract/Vending Revenue</v>
      </c>
      <c r="E6" s="17"/>
      <c r="F6" s="51"/>
      <c r="G6" s="17"/>
      <c r="H6" s="17"/>
      <c r="I6" s="17"/>
      <c r="J6" s="39"/>
      <c r="K6" s="17"/>
      <c r="L6" s="17"/>
      <c r="M6" s="17"/>
      <c r="N6" s="51"/>
      <c r="O6" s="60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3">
      <c r="B7" s="63"/>
    </row>
    <row r="8" spans="1:26" x14ac:dyDescent="0.3">
      <c r="B8" s="63"/>
    </row>
    <row r="9" spans="1:26" x14ac:dyDescent="0.3">
      <c r="B9" s="9"/>
      <c r="C9" s="9"/>
      <c r="D9" s="15" t="s">
        <v>292</v>
      </c>
      <c r="E9" s="15"/>
      <c r="F9" s="38"/>
      <c r="G9" s="15"/>
      <c r="H9" s="15"/>
      <c r="I9" s="15"/>
      <c r="J9" s="49"/>
      <c r="K9" s="15"/>
      <c r="L9" s="15"/>
      <c r="M9" s="15"/>
      <c r="N9" s="38"/>
      <c r="P9" s="15" t="s">
        <v>39</v>
      </c>
      <c r="Q9" s="15"/>
      <c r="R9" s="38"/>
      <c r="S9" s="15"/>
      <c r="T9" s="15"/>
      <c r="U9" s="15"/>
      <c r="V9" s="49"/>
      <c r="W9" s="15"/>
      <c r="X9" s="15"/>
      <c r="Y9" s="15"/>
      <c r="Z9" s="38"/>
    </row>
    <row r="10" spans="1:26" x14ac:dyDescent="0.3">
      <c r="A10" s="10"/>
      <c r="B10" s="53"/>
      <c r="C10" s="10"/>
      <c r="D10" s="42" t="s">
        <v>57</v>
      </c>
      <c r="E10" s="34"/>
      <c r="F10" s="40" t="s">
        <v>40</v>
      </c>
      <c r="G10" s="34"/>
      <c r="H10" s="45" t="s">
        <v>238</v>
      </c>
      <c r="I10" s="34"/>
      <c r="J10" s="48" t="s">
        <v>58</v>
      </c>
      <c r="K10" s="10"/>
      <c r="L10" s="42" t="s">
        <v>127</v>
      </c>
      <c r="M10" s="10"/>
      <c r="N10" s="40" t="s">
        <v>258</v>
      </c>
      <c r="O10" s="10"/>
      <c r="P10" s="56" t="s">
        <v>57</v>
      </c>
      <c r="Q10" s="34"/>
      <c r="R10" s="40" t="s">
        <v>40</v>
      </c>
      <c r="S10" s="34"/>
      <c r="T10" s="45" t="s">
        <v>238</v>
      </c>
      <c r="U10" s="34"/>
      <c r="V10" s="48" t="s">
        <v>58</v>
      </c>
      <c r="W10" s="10"/>
      <c r="X10" s="42" t="s">
        <v>127</v>
      </c>
      <c r="Y10" s="10"/>
      <c r="Z10" s="40" t="s">
        <v>258</v>
      </c>
    </row>
    <row r="11" spans="1:26" ht="15.6" x14ac:dyDescent="0.3">
      <c r="A11" s="9"/>
      <c r="B11" s="58"/>
      <c r="C11" s="9"/>
      <c r="D11" s="9"/>
      <c r="E11" s="9"/>
      <c r="F11" s="6"/>
      <c r="G11" s="9"/>
      <c r="H11" s="9"/>
      <c r="I11" s="9"/>
      <c r="J11" s="46"/>
      <c r="K11" s="9"/>
      <c r="L11" s="9"/>
      <c r="M11" s="9"/>
      <c r="N11" s="6"/>
      <c r="P11" s="9"/>
      <c r="Q11" s="9"/>
      <c r="R11" s="6"/>
      <c r="S11" s="9"/>
      <c r="T11" s="9"/>
      <c r="U11" s="9"/>
      <c r="V11" s="46"/>
      <c r="W11" s="9"/>
      <c r="X11" s="9"/>
      <c r="Y11" s="9"/>
      <c r="Z11" s="6"/>
    </row>
    <row r="12" spans="1:26" s="23" customFormat="1" x14ac:dyDescent="0.3">
      <c r="A12" s="10"/>
      <c r="B12" s="25" t="s">
        <v>140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3">
      <c r="A13" s="9"/>
      <c r="B13" s="10"/>
      <c r="C13" s="9"/>
      <c r="D13" s="2"/>
      <c r="E13" s="2"/>
      <c r="F13" s="6"/>
      <c r="G13" s="2"/>
      <c r="H13" s="2"/>
      <c r="I13" s="2"/>
      <c r="J13" s="6"/>
      <c r="K13" s="2"/>
      <c r="L13" s="2"/>
      <c r="M13" s="2"/>
      <c r="N13" s="6"/>
      <c r="P13" s="2"/>
      <c r="Q13" s="2"/>
      <c r="R13" s="6"/>
      <c r="S13" s="2"/>
      <c r="T13" s="2"/>
      <c r="U13" s="2"/>
      <c r="V13" s="6"/>
      <c r="W13" s="2"/>
      <c r="X13" s="2"/>
      <c r="Y13" s="2"/>
      <c r="Z13" s="6"/>
    </row>
    <row r="14" spans="1:26" s="23" customFormat="1" x14ac:dyDescent="0.3">
      <c r="A14" s="10"/>
      <c r="B14" s="25" t="s">
        <v>257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3">
      <c r="A15" s="9"/>
      <c r="B15" s="10"/>
      <c r="C15" s="10"/>
      <c r="D15" s="2"/>
      <c r="E15" s="2"/>
      <c r="F15" s="6"/>
      <c r="G15" s="2"/>
      <c r="H15" s="2"/>
      <c r="I15" s="2"/>
      <c r="J15" s="6"/>
      <c r="K15" s="2"/>
      <c r="L15" s="2"/>
      <c r="M15" s="2"/>
      <c r="N15" s="6"/>
      <c r="O15" s="10"/>
      <c r="P15" s="2"/>
      <c r="Q15" s="2"/>
      <c r="R15" s="6"/>
      <c r="S15" s="2"/>
      <c r="T15" s="2"/>
      <c r="U15" s="2"/>
      <c r="V15" s="6"/>
      <c r="W15" s="2"/>
      <c r="X15" s="2"/>
      <c r="Y15" s="2"/>
      <c r="Z15" s="6"/>
    </row>
    <row r="16" spans="1:26" s="23" customFormat="1" x14ac:dyDescent="0.3">
      <c r="A16" s="10"/>
      <c r="B16" s="26" t="s">
        <v>108</v>
      </c>
      <c r="C16" s="26"/>
      <c r="D16" s="21">
        <f>D12-D14</f>
        <v>0</v>
      </c>
      <c r="E16" s="13"/>
      <c r="F16" s="22">
        <f>IF(D$12=0,0,D16/D$12)</f>
        <v>0</v>
      </c>
      <c r="G16" s="13"/>
      <c r="H16" s="21">
        <f>H12-H14</f>
        <v>0</v>
      </c>
      <c r="I16" s="13"/>
      <c r="J16" s="22">
        <f>IF(H$12=0,0,H16/H$12)</f>
        <v>0</v>
      </c>
      <c r="K16" s="16"/>
      <c r="L16" s="21">
        <f>+D16-H16</f>
        <v>0</v>
      </c>
      <c r="M16" s="16"/>
      <c r="N16" s="22">
        <f>IF(H16=0,0,L16/H16)</f>
        <v>0</v>
      </c>
      <c r="O16" s="25"/>
      <c r="P16" s="21">
        <f>P12-P14</f>
        <v>0</v>
      </c>
      <c r="Q16" s="13"/>
      <c r="R16" s="22">
        <f>IF(P$12=0,0,P16/P$12)</f>
        <v>0</v>
      </c>
      <c r="S16" s="13"/>
      <c r="T16" s="21">
        <f>T12-T14</f>
        <v>0</v>
      </c>
      <c r="U16" s="13"/>
      <c r="V16" s="22">
        <f>IF(T$12=0,0,T16/T$12)</f>
        <v>0</v>
      </c>
      <c r="W16" s="16"/>
      <c r="X16" s="21">
        <f>+P16-T16</f>
        <v>0</v>
      </c>
      <c r="Y16" s="16"/>
      <c r="Z16" s="22">
        <f>IF(T16=0,0,X16/T16)</f>
        <v>0</v>
      </c>
    </row>
    <row r="17" spans="1:26" x14ac:dyDescent="0.3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3">
      <c r="A18" s="10"/>
      <c r="B18" s="25" t="s">
        <v>295</v>
      </c>
      <c r="C18" s="10"/>
      <c r="D18" s="20">
        <f>SUM(OSRRefD22x_0)</f>
        <v>81.13</v>
      </c>
      <c r="E18" s="20"/>
      <c r="F18" s="32">
        <f t="shared" ref="F18:F27" si="0">IF(D$12=0,0,D18/D$12)</f>
        <v>0</v>
      </c>
      <c r="G18" s="20"/>
      <c r="H18" s="20">
        <f>SUM(OSRRefH22x_0)</f>
        <v>0</v>
      </c>
      <c r="I18" s="20"/>
      <c r="J18" s="32">
        <f t="shared" ref="J18:J27" si="1">IF(H$12=0,0,H18/H$12)</f>
        <v>0</v>
      </c>
      <c r="K18" s="4"/>
      <c r="L18" s="20">
        <f t="shared" ref="L18:L27" si="2">+D18-H18</f>
        <v>81.13</v>
      </c>
      <c r="M18" s="4"/>
      <c r="N18" s="32">
        <f t="shared" ref="N18:N27" si="3">IF(H18=0,0,L18/H18)</f>
        <v>0</v>
      </c>
      <c r="O18" s="10"/>
      <c r="P18" s="20">
        <f>SUM(OSRRefP22x_0)</f>
        <v>81.13</v>
      </c>
      <c r="Q18" s="20"/>
      <c r="R18" s="32">
        <f t="shared" ref="R18:R27" si="4">IF(P$12=0,0,P18/P$12)</f>
        <v>0</v>
      </c>
      <c r="S18" s="20"/>
      <c r="T18" s="20">
        <f>SUM(OSRRefT22x_0)</f>
        <v>0</v>
      </c>
      <c r="U18" s="20"/>
      <c r="V18" s="32">
        <f t="shared" ref="V18:V27" si="5">IF(T$12=0,0,T18/T$12)</f>
        <v>0</v>
      </c>
      <c r="W18" s="4"/>
      <c r="X18" s="20">
        <f t="shared" ref="X18:X27" si="6">+P18-T18</f>
        <v>81.13</v>
      </c>
      <c r="Y18" s="4"/>
      <c r="Z18" s="32">
        <f t="shared" ref="Z18:Z27" si="7">IF(T18=0,0,X18/T18)</f>
        <v>0</v>
      </c>
    </row>
    <row r="19" spans="1:26" s="27" customFormat="1" outlineLevel="1" collapsed="1" x14ac:dyDescent="0.3">
      <c r="A19" s="28"/>
      <c r="B19" s="14" t="str">
        <f>CONCATENATE("     ","*Benefits                                         ")</f>
        <v xml:space="preserve">     *Benefits                                         </v>
      </c>
      <c r="C19" s="14"/>
      <c r="D19" s="1">
        <f>SUM(OSRRefD22_0x_0)</f>
        <v>0</v>
      </c>
      <c r="E19" s="1"/>
      <c r="F19" s="5">
        <f t="shared" si="0"/>
        <v>0</v>
      </c>
      <c r="G19" s="1"/>
      <c r="H19" s="1">
        <f>SUM(OSRRefH22_0x_0)</f>
        <v>0</v>
      </c>
      <c r="I19" s="1"/>
      <c r="J19" s="5">
        <f t="shared" si="1"/>
        <v>0</v>
      </c>
      <c r="K19" s="1"/>
      <c r="L19" s="1">
        <f t="shared" si="2"/>
        <v>0</v>
      </c>
      <c r="M19" s="1"/>
      <c r="N19" s="5">
        <f t="shared" si="3"/>
        <v>0</v>
      </c>
      <c r="O19" s="14"/>
      <c r="P19" s="1">
        <f>SUM(OSRRefP22_0x_0)</f>
        <v>0</v>
      </c>
      <c r="Q19" s="1"/>
      <c r="R19" s="5">
        <f t="shared" si="4"/>
        <v>0</v>
      </c>
      <c r="S19" s="1"/>
      <c r="T19" s="1">
        <f>SUM(OSRRefT22_0x_0)</f>
        <v>0</v>
      </c>
      <c r="U19" s="1"/>
      <c r="V19" s="5">
        <f t="shared" si="5"/>
        <v>0</v>
      </c>
      <c r="W19" s="1"/>
      <c r="X19" s="1">
        <f t="shared" si="6"/>
        <v>0</v>
      </c>
      <c r="Y19" s="1"/>
      <c r="Z19" s="5">
        <f t="shared" si="7"/>
        <v>0</v>
      </c>
    </row>
    <row r="20" spans="1:26" s="24" customFormat="1" hidden="1" outlineLevel="2" x14ac:dyDescent="0.3">
      <c r="A20" s="29"/>
      <c r="B20" s="11" t="str">
        <f>CONCATENATE("          ", "6111", " - ", "F.I.C.A.")</f>
        <v xml:space="preserve">          6111 - F.I.C.A.</v>
      </c>
      <c r="C20" s="11"/>
      <c r="D20" s="8"/>
      <c r="E20" s="3"/>
      <c r="F20" s="7">
        <f t="shared" si="0"/>
        <v>0</v>
      </c>
      <c r="G20" s="3"/>
      <c r="H20" s="8">
        <v>0</v>
      </c>
      <c r="I20" s="3"/>
      <c r="J20" s="7">
        <f t="shared" si="1"/>
        <v>0</v>
      </c>
      <c r="K20" s="3"/>
      <c r="L20" s="8">
        <f t="shared" si="2"/>
        <v>0</v>
      </c>
      <c r="M20" s="3"/>
      <c r="N20" s="7">
        <f t="shared" si="3"/>
        <v>0</v>
      </c>
      <c r="O20" s="11"/>
      <c r="P20" s="8"/>
      <c r="Q20" s="3"/>
      <c r="R20" s="7">
        <f t="shared" si="4"/>
        <v>0</v>
      </c>
      <c r="S20" s="3"/>
      <c r="T20" s="8">
        <v>0</v>
      </c>
      <c r="U20" s="3"/>
      <c r="V20" s="7">
        <f t="shared" si="5"/>
        <v>0</v>
      </c>
      <c r="W20" s="3"/>
      <c r="X20" s="8">
        <f t="shared" si="6"/>
        <v>0</v>
      </c>
      <c r="Y20" s="3"/>
      <c r="Z20" s="7">
        <f t="shared" si="7"/>
        <v>0</v>
      </c>
    </row>
    <row r="21" spans="1:26" s="24" customFormat="1" hidden="1" outlineLevel="2" x14ac:dyDescent="0.3">
      <c r="A21" s="29"/>
      <c r="B21" s="11" t="str">
        <f>CONCATENATE("          ", "6112", " - ", "COMPENSATION INSURANCE")</f>
        <v xml:space="preserve">          6112 - COMPENSATION INSURANCE</v>
      </c>
      <c r="C21" s="11"/>
      <c r="D21" s="8"/>
      <c r="E21" s="3"/>
      <c r="F21" s="7">
        <f t="shared" si="0"/>
        <v>0</v>
      </c>
      <c r="G21" s="3"/>
      <c r="H21" s="8">
        <v>0</v>
      </c>
      <c r="I21" s="3"/>
      <c r="J21" s="7">
        <f t="shared" si="1"/>
        <v>0</v>
      </c>
      <c r="K21" s="3"/>
      <c r="L21" s="8">
        <f t="shared" si="2"/>
        <v>0</v>
      </c>
      <c r="M21" s="3"/>
      <c r="N21" s="7">
        <f t="shared" si="3"/>
        <v>0</v>
      </c>
      <c r="O21" s="11"/>
      <c r="P21" s="8"/>
      <c r="Q21" s="3"/>
      <c r="R21" s="7">
        <f t="shared" si="4"/>
        <v>0</v>
      </c>
      <c r="S21" s="3"/>
      <c r="T21" s="8">
        <v>0</v>
      </c>
      <c r="U21" s="3"/>
      <c r="V21" s="7">
        <f t="shared" si="5"/>
        <v>0</v>
      </c>
      <c r="W21" s="3"/>
      <c r="X21" s="8">
        <f t="shared" si="6"/>
        <v>0</v>
      </c>
      <c r="Y21" s="3"/>
      <c r="Z21" s="7">
        <f t="shared" si="7"/>
        <v>0</v>
      </c>
    </row>
    <row r="22" spans="1:26" s="24" customFormat="1" hidden="1" outlineLevel="2" x14ac:dyDescent="0.3">
      <c r="A22" s="29"/>
      <c r="B22" s="11" t="str">
        <f>CONCATENATE("          ", "6113", " - ", "GROUP INSURANCE")</f>
        <v xml:space="preserve">          6113 - GROUP INSURANCE</v>
      </c>
      <c r="C22" s="11"/>
      <c r="D22" s="8"/>
      <c r="E22" s="3"/>
      <c r="F22" s="7">
        <f t="shared" si="0"/>
        <v>0</v>
      </c>
      <c r="G22" s="3"/>
      <c r="H22" s="8">
        <v>0</v>
      </c>
      <c r="I22" s="3"/>
      <c r="J22" s="7">
        <f t="shared" si="1"/>
        <v>0</v>
      </c>
      <c r="K22" s="3"/>
      <c r="L22" s="8">
        <f t="shared" si="2"/>
        <v>0</v>
      </c>
      <c r="M22" s="3"/>
      <c r="N22" s="7">
        <f t="shared" si="3"/>
        <v>0</v>
      </c>
      <c r="O22" s="11"/>
      <c r="P22" s="8"/>
      <c r="Q22" s="3"/>
      <c r="R22" s="7">
        <f t="shared" si="4"/>
        <v>0</v>
      </c>
      <c r="S22" s="3"/>
      <c r="T22" s="8">
        <v>0</v>
      </c>
      <c r="U22" s="3"/>
      <c r="V22" s="7">
        <f t="shared" si="5"/>
        <v>0</v>
      </c>
      <c r="W22" s="3"/>
      <c r="X22" s="8">
        <f t="shared" si="6"/>
        <v>0</v>
      </c>
      <c r="Y22" s="3"/>
      <c r="Z22" s="7">
        <f t="shared" si="7"/>
        <v>0</v>
      </c>
    </row>
    <row r="23" spans="1:26" s="24" customFormat="1" hidden="1" outlineLevel="2" x14ac:dyDescent="0.3">
      <c r="A23" s="29"/>
      <c r="B23" s="11" t="str">
        <f>CONCATENATE("          ", "6114", " - ", "STATE UNEMPLOYMENT INSURANCE")</f>
        <v xml:space="preserve">          6114 - STATE UNEMPLOYMENT INSURANCE</v>
      </c>
      <c r="C23" s="11"/>
      <c r="D23" s="8"/>
      <c r="E23" s="3"/>
      <c r="F23" s="7">
        <f t="shared" si="0"/>
        <v>0</v>
      </c>
      <c r="G23" s="3"/>
      <c r="H23" s="8">
        <v>0</v>
      </c>
      <c r="I23" s="3"/>
      <c r="J23" s="7">
        <f t="shared" si="1"/>
        <v>0</v>
      </c>
      <c r="K23" s="3"/>
      <c r="L23" s="8">
        <f t="shared" si="2"/>
        <v>0</v>
      </c>
      <c r="M23" s="3"/>
      <c r="N23" s="7">
        <f t="shared" si="3"/>
        <v>0</v>
      </c>
      <c r="O23" s="11"/>
      <c r="P23" s="8"/>
      <c r="Q23" s="3"/>
      <c r="R23" s="7">
        <f t="shared" si="4"/>
        <v>0</v>
      </c>
      <c r="S23" s="3"/>
      <c r="T23" s="8">
        <v>0</v>
      </c>
      <c r="U23" s="3"/>
      <c r="V23" s="7">
        <f t="shared" si="5"/>
        <v>0</v>
      </c>
      <c r="W23" s="3"/>
      <c r="X23" s="8">
        <f t="shared" si="6"/>
        <v>0</v>
      </c>
      <c r="Y23" s="3"/>
      <c r="Z23" s="7">
        <f t="shared" si="7"/>
        <v>0</v>
      </c>
    </row>
    <row r="24" spans="1:26" s="24" customFormat="1" hidden="1" outlineLevel="2" x14ac:dyDescent="0.3">
      <c r="A24" s="29"/>
      <c r="B24" s="11" t="str">
        <f>CONCATENATE("          ", "6115", " - ", "P.E.R.S.")</f>
        <v xml:space="preserve">          6115 - P.E.R.S.</v>
      </c>
      <c r="C24" s="11"/>
      <c r="D24" s="8"/>
      <c r="E24" s="3"/>
      <c r="F24" s="7">
        <f t="shared" si="0"/>
        <v>0</v>
      </c>
      <c r="G24" s="3"/>
      <c r="H24" s="8">
        <v>0</v>
      </c>
      <c r="I24" s="3"/>
      <c r="J24" s="7">
        <f t="shared" si="1"/>
        <v>0</v>
      </c>
      <c r="K24" s="3"/>
      <c r="L24" s="8">
        <f t="shared" si="2"/>
        <v>0</v>
      </c>
      <c r="M24" s="3"/>
      <c r="N24" s="7">
        <f t="shared" si="3"/>
        <v>0</v>
      </c>
      <c r="O24" s="11"/>
      <c r="P24" s="8"/>
      <c r="Q24" s="3"/>
      <c r="R24" s="7">
        <f t="shared" si="4"/>
        <v>0</v>
      </c>
      <c r="S24" s="3"/>
      <c r="T24" s="8">
        <v>0</v>
      </c>
      <c r="U24" s="3"/>
      <c r="V24" s="7">
        <f t="shared" si="5"/>
        <v>0</v>
      </c>
      <c r="W24" s="3"/>
      <c r="X24" s="8">
        <f t="shared" si="6"/>
        <v>0</v>
      </c>
      <c r="Y24" s="3"/>
      <c r="Z24" s="7">
        <f t="shared" si="7"/>
        <v>0</v>
      </c>
    </row>
    <row r="25" spans="1:26" s="24" customFormat="1" hidden="1" outlineLevel="2" x14ac:dyDescent="0.3">
      <c r="A25" s="29"/>
      <c r="B25" s="11" t="str">
        <f>CONCATENATE("          ", "6116", " - ", "EDUCATIONAL BENEFITS")</f>
        <v xml:space="preserve">          6116 - EDUCATIONAL BENEFITS</v>
      </c>
      <c r="C25" s="11"/>
      <c r="D25" s="8"/>
      <c r="E25" s="3"/>
      <c r="F25" s="7">
        <f t="shared" si="0"/>
        <v>0</v>
      </c>
      <c r="G25" s="3"/>
      <c r="H25" s="8">
        <v>0</v>
      </c>
      <c r="I25" s="3"/>
      <c r="J25" s="7">
        <f t="shared" si="1"/>
        <v>0</v>
      </c>
      <c r="K25" s="3"/>
      <c r="L25" s="8">
        <f t="shared" si="2"/>
        <v>0</v>
      </c>
      <c r="M25" s="3"/>
      <c r="N25" s="7">
        <f t="shared" si="3"/>
        <v>0</v>
      </c>
      <c r="O25" s="11"/>
      <c r="P25" s="8"/>
      <c r="Q25" s="3"/>
      <c r="R25" s="7">
        <f t="shared" si="4"/>
        <v>0</v>
      </c>
      <c r="S25" s="3"/>
      <c r="T25" s="8">
        <v>0</v>
      </c>
      <c r="U25" s="3"/>
      <c r="V25" s="7">
        <f t="shared" si="5"/>
        <v>0</v>
      </c>
      <c r="W25" s="3"/>
      <c r="X25" s="8">
        <f t="shared" si="6"/>
        <v>0</v>
      </c>
      <c r="Y25" s="3"/>
      <c r="Z25" s="7">
        <f t="shared" si="7"/>
        <v>0</v>
      </c>
    </row>
    <row r="26" spans="1:26" s="24" customFormat="1" hidden="1" outlineLevel="2" x14ac:dyDescent="0.3">
      <c r="A26" s="29"/>
      <c r="B26" s="11" t="str">
        <f>CONCATENATE("          ", "6118", " - ", "VACATION")</f>
        <v xml:space="preserve">          6118 - VACATION</v>
      </c>
      <c r="C26" s="11"/>
      <c r="D26" s="8"/>
      <c r="E26" s="3"/>
      <c r="F26" s="7">
        <f t="shared" si="0"/>
        <v>0</v>
      </c>
      <c r="G26" s="3"/>
      <c r="H26" s="8">
        <v>0</v>
      </c>
      <c r="I26" s="3"/>
      <c r="J26" s="7">
        <f t="shared" si="1"/>
        <v>0</v>
      </c>
      <c r="K26" s="3"/>
      <c r="L26" s="8">
        <f t="shared" si="2"/>
        <v>0</v>
      </c>
      <c r="M26" s="3"/>
      <c r="N26" s="7">
        <f t="shared" si="3"/>
        <v>0</v>
      </c>
      <c r="O26" s="11"/>
      <c r="P26" s="8"/>
      <c r="Q26" s="3"/>
      <c r="R26" s="7">
        <f t="shared" si="4"/>
        <v>0</v>
      </c>
      <c r="S26" s="3"/>
      <c r="T26" s="8">
        <v>0</v>
      </c>
      <c r="U26" s="3"/>
      <c r="V26" s="7">
        <f t="shared" si="5"/>
        <v>0</v>
      </c>
      <c r="W26" s="3"/>
      <c r="X26" s="8">
        <f t="shared" si="6"/>
        <v>0</v>
      </c>
      <c r="Y26" s="3"/>
      <c r="Z26" s="7">
        <f t="shared" si="7"/>
        <v>0</v>
      </c>
    </row>
    <row r="27" spans="1:26" s="24" customFormat="1" hidden="1" outlineLevel="2" x14ac:dyDescent="0.3">
      <c r="A27" s="29"/>
      <c r="B27" s="11" t="str">
        <f>CONCATENATE("          ", "6119", " - ", "SICK LEAVE")</f>
        <v xml:space="preserve">          6119 - SICK LEAVE</v>
      </c>
      <c r="C27" s="11"/>
      <c r="D27" s="8"/>
      <c r="E27" s="3"/>
      <c r="F27" s="7">
        <f t="shared" si="0"/>
        <v>0</v>
      </c>
      <c r="G27" s="3"/>
      <c r="H27" s="8">
        <v>0</v>
      </c>
      <c r="I27" s="3"/>
      <c r="J27" s="7">
        <f t="shared" si="1"/>
        <v>0</v>
      </c>
      <c r="K27" s="3"/>
      <c r="L27" s="8">
        <f t="shared" si="2"/>
        <v>0</v>
      </c>
      <c r="M27" s="3"/>
      <c r="N27" s="7">
        <f t="shared" si="3"/>
        <v>0</v>
      </c>
      <c r="O27" s="11"/>
      <c r="P27" s="8"/>
      <c r="Q27" s="3"/>
      <c r="R27" s="7">
        <f t="shared" si="4"/>
        <v>0</v>
      </c>
      <c r="S27" s="3"/>
      <c r="T27" s="8">
        <v>0</v>
      </c>
      <c r="U27" s="3"/>
      <c r="V27" s="7">
        <f t="shared" si="5"/>
        <v>0</v>
      </c>
      <c r="W27" s="3"/>
      <c r="X27" s="8">
        <f t="shared" si="6"/>
        <v>0</v>
      </c>
      <c r="Y27" s="3"/>
      <c r="Z27" s="7">
        <f t="shared" si="7"/>
        <v>0</v>
      </c>
    </row>
    <row r="28" spans="1:26" s="27" customFormat="1" outlineLevel="1" collapsed="1" x14ac:dyDescent="0.3">
      <c r="A28" s="28"/>
      <c r="B28" s="14" t="str">
        <f>CONCATENATE("     ","*Payroll                                          ")</f>
        <v xml:space="preserve">     *Payroll                                          </v>
      </c>
      <c r="C28" s="14"/>
      <c r="D28" s="1">
        <f>SUM(OSRRefD22_1x_0)</f>
        <v>0</v>
      </c>
      <c r="E28" s="1"/>
      <c r="F28" s="5">
        <f t="shared" ref="F28:F38" si="8">IF(D$12=0,0,D28/D$12)</f>
        <v>0</v>
      </c>
      <c r="G28" s="1"/>
      <c r="H28" s="1">
        <f>SUM(OSRRefH22_1x_0)</f>
        <v>0</v>
      </c>
      <c r="I28" s="1"/>
      <c r="J28" s="5">
        <f t="shared" ref="J28:J38" si="9">IF(H$12=0,0,H28/H$12)</f>
        <v>0</v>
      </c>
      <c r="K28" s="1"/>
      <c r="L28" s="1">
        <f t="shared" ref="L28:L38" si="10">+D28-H28</f>
        <v>0</v>
      </c>
      <c r="M28" s="1"/>
      <c r="N28" s="5">
        <f t="shared" ref="N28:N38" si="11">IF(H28=0,0,L28/H28)</f>
        <v>0</v>
      </c>
      <c r="O28" s="14"/>
      <c r="P28" s="1">
        <f>SUM(OSRRefP22_1x_0)</f>
        <v>0</v>
      </c>
      <c r="Q28" s="1"/>
      <c r="R28" s="5">
        <f t="shared" ref="R28:R38" si="12">IF(P$12=0,0,P28/P$12)</f>
        <v>0</v>
      </c>
      <c r="S28" s="1"/>
      <c r="T28" s="1">
        <f>SUM(OSRRefT22_1x_0)</f>
        <v>0</v>
      </c>
      <c r="U28" s="1"/>
      <c r="V28" s="5">
        <f t="shared" ref="V28:V38" si="13">IF(T$12=0,0,T28/T$12)</f>
        <v>0</v>
      </c>
      <c r="W28" s="1"/>
      <c r="X28" s="1">
        <f t="shared" ref="X28:X38" si="14">+P28-T28</f>
        <v>0</v>
      </c>
      <c r="Y28" s="1"/>
      <c r="Z28" s="5">
        <f t="shared" ref="Z28:Z38" si="15">IF(T28=0,0,X28/T28)</f>
        <v>0</v>
      </c>
    </row>
    <row r="29" spans="1:26" s="24" customFormat="1" hidden="1" outlineLevel="2" x14ac:dyDescent="0.3">
      <c r="A29" s="29"/>
      <c r="B29" s="11" t="str">
        <f>CONCATENATE("          ", "6001", " - ", "ADMINISTRATIVE SALARIES")</f>
        <v xml:space="preserve">          6001 - ADMINISTRATIVE SALARIES</v>
      </c>
      <c r="C29" s="11"/>
      <c r="D29" s="8"/>
      <c r="E29" s="3"/>
      <c r="F29" s="7">
        <f t="shared" si="8"/>
        <v>0</v>
      </c>
      <c r="G29" s="3"/>
      <c r="H29" s="8">
        <v>0</v>
      </c>
      <c r="I29" s="3"/>
      <c r="J29" s="7">
        <f t="shared" si="9"/>
        <v>0</v>
      </c>
      <c r="K29" s="3"/>
      <c r="L29" s="8">
        <f t="shared" si="10"/>
        <v>0</v>
      </c>
      <c r="M29" s="3"/>
      <c r="N29" s="7">
        <f t="shared" si="11"/>
        <v>0</v>
      </c>
      <c r="O29" s="11"/>
      <c r="P29" s="8"/>
      <c r="Q29" s="3"/>
      <c r="R29" s="7">
        <f t="shared" si="12"/>
        <v>0</v>
      </c>
      <c r="S29" s="3"/>
      <c r="T29" s="8">
        <v>0</v>
      </c>
      <c r="U29" s="3"/>
      <c r="V29" s="7">
        <f t="shared" si="13"/>
        <v>0</v>
      </c>
      <c r="W29" s="3"/>
      <c r="X29" s="8">
        <f t="shared" si="14"/>
        <v>0</v>
      </c>
      <c r="Y29" s="3"/>
      <c r="Z29" s="7">
        <f t="shared" si="15"/>
        <v>0</v>
      </c>
    </row>
    <row r="30" spans="1:26" s="24" customFormat="1" hidden="1" outlineLevel="2" x14ac:dyDescent="0.3">
      <c r="A30" s="29"/>
      <c r="B30" s="11" t="str">
        <f>CONCATENATE("          ", "6002", " - ", "STAFF SALARIES")</f>
        <v xml:space="preserve">          6002 - STAFF SALARIES</v>
      </c>
      <c r="C30" s="11"/>
      <c r="D30" s="8"/>
      <c r="E30" s="3"/>
      <c r="F30" s="7">
        <f t="shared" si="8"/>
        <v>0</v>
      </c>
      <c r="G30" s="3"/>
      <c r="H30" s="8">
        <v>0</v>
      </c>
      <c r="I30" s="3"/>
      <c r="J30" s="7">
        <f t="shared" si="9"/>
        <v>0</v>
      </c>
      <c r="K30" s="3"/>
      <c r="L30" s="8">
        <f t="shared" si="10"/>
        <v>0</v>
      </c>
      <c r="M30" s="3"/>
      <c r="N30" s="7">
        <f t="shared" si="11"/>
        <v>0</v>
      </c>
      <c r="O30" s="11"/>
      <c r="P30" s="8"/>
      <c r="Q30" s="3"/>
      <c r="R30" s="7">
        <f t="shared" si="12"/>
        <v>0</v>
      </c>
      <c r="S30" s="3"/>
      <c r="T30" s="8">
        <v>0</v>
      </c>
      <c r="U30" s="3"/>
      <c r="V30" s="7">
        <f t="shared" si="13"/>
        <v>0</v>
      </c>
      <c r="W30" s="3"/>
      <c r="X30" s="8">
        <f t="shared" si="14"/>
        <v>0</v>
      </c>
      <c r="Y30" s="3"/>
      <c r="Z30" s="7">
        <f t="shared" si="15"/>
        <v>0</v>
      </c>
    </row>
    <row r="31" spans="1:26" s="24" customFormat="1" hidden="1" outlineLevel="2" x14ac:dyDescent="0.3">
      <c r="A31" s="29"/>
      <c r="B31" s="11" t="str">
        <f>CONCATENATE("          ", "6003", " - ", "STAFF HOURLY-9 MONTH")</f>
        <v xml:space="preserve">          6003 - STAFF HOURLY-9 MONTH</v>
      </c>
      <c r="C31" s="11"/>
      <c r="D31" s="8"/>
      <c r="E31" s="3"/>
      <c r="F31" s="7">
        <f t="shared" si="8"/>
        <v>0</v>
      </c>
      <c r="G31" s="3"/>
      <c r="H31" s="8">
        <v>0</v>
      </c>
      <c r="I31" s="3"/>
      <c r="J31" s="7">
        <f t="shared" si="9"/>
        <v>0</v>
      </c>
      <c r="K31" s="3"/>
      <c r="L31" s="8">
        <f t="shared" si="10"/>
        <v>0</v>
      </c>
      <c r="M31" s="3"/>
      <c r="N31" s="7">
        <f t="shared" si="11"/>
        <v>0</v>
      </c>
      <c r="O31" s="11"/>
      <c r="P31" s="8"/>
      <c r="Q31" s="3"/>
      <c r="R31" s="7">
        <f t="shared" si="12"/>
        <v>0</v>
      </c>
      <c r="S31" s="3"/>
      <c r="T31" s="8">
        <v>0</v>
      </c>
      <c r="U31" s="3"/>
      <c r="V31" s="7">
        <f t="shared" si="13"/>
        <v>0</v>
      </c>
      <c r="W31" s="3"/>
      <c r="X31" s="8">
        <f t="shared" si="14"/>
        <v>0</v>
      </c>
      <c r="Y31" s="3"/>
      <c r="Z31" s="7">
        <f t="shared" si="15"/>
        <v>0</v>
      </c>
    </row>
    <row r="32" spans="1:26" s="24" customFormat="1" hidden="1" outlineLevel="2" x14ac:dyDescent="0.3">
      <c r="A32" s="29"/>
      <c r="B32" s="11" t="str">
        <f>CONCATENATE("          ", "6004", " - ", "STAFF HOURLY")</f>
        <v xml:space="preserve">          6004 - STAFF HOURLY</v>
      </c>
      <c r="C32" s="11"/>
      <c r="D32" s="8"/>
      <c r="E32" s="3"/>
      <c r="F32" s="7">
        <f t="shared" si="8"/>
        <v>0</v>
      </c>
      <c r="G32" s="3"/>
      <c r="H32" s="8">
        <v>0</v>
      </c>
      <c r="I32" s="3"/>
      <c r="J32" s="7">
        <f t="shared" si="9"/>
        <v>0</v>
      </c>
      <c r="K32" s="3"/>
      <c r="L32" s="8">
        <f t="shared" si="10"/>
        <v>0</v>
      </c>
      <c r="M32" s="3"/>
      <c r="N32" s="7">
        <f t="shared" si="11"/>
        <v>0</v>
      </c>
      <c r="O32" s="11"/>
      <c r="P32" s="8"/>
      <c r="Q32" s="3"/>
      <c r="R32" s="7">
        <f t="shared" si="12"/>
        <v>0</v>
      </c>
      <c r="S32" s="3"/>
      <c r="T32" s="8">
        <v>0</v>
      </c>
      <c r="U32" s="3"/>
      <c r="V32" s="7">
        <f t="shared" si="13"/>
        <v>0</v>
      </c>
      <c r="W32" s="3"/>
      <c r="X32" s="8">
        <f t="shared" si="14"/>
        <v>0</v>
      </c>
      <c r="Y32" s="3"/>
      <c r="Z32" s="7">
        <f t="shared" si="15"/>
        <v>0</v>
      </c>
    </row>
    <row r="33" spans="1:26" s="24" customFormat="1" hidden="1" outlineLevel="2" x14ac:dyDescent="0.3">
      <c r="A33" s="29"/>
      <c r="B33" s="11" t="str">
        <f>CONCATENATE("          ", "6005", " - ", "TEMPORARY WAGES-HOURLY")</f>
        <v xml:space="preserve">          6005 - TEMPORARY WAGES-HOURLY</v>
      </c>
      <c r="C33" s="11"/>
      <c r="D33" s="8"/>
      <c r="E33" s="3"/>
      <c r="F33" s="7">
        <f t="shared" si="8"/>
        <v>0</v>
      </c>
      <c r="G33" s="3"/>
      <c r="H33" s="8">
        <v>0</v>
      </c>
      <c r="I33" s="3"/>
      <c r="J33" s="7">
        <f t="shared" si="9"/>
        <v>0</v>
      </c>
      <c r="K33" s="3"/>
      <c r="L33" s="8">
        <f t="shared" si="10"/>
        <v>0</v>
      </c>
      <c r="M33" s="3"/>
      <c r="N33" s="7">
        <f t="shared" si="11"/>
        <v>0</v>
      </c>
      <c r="O33" s="11"/>
      <c r="P33" s="8"/>
      <c r="Q33" s="3"/>
      <c r="R33" s="7">
        <f t="shared" si="12"/>
        <v>0</v>
      </c>
      <c r="S33" s="3"/>
      <c r="T33" s="8">
        <v>0</v>
      </c>
      <c r="U33" s="3"/>
      <c r="V33" s="7">
        <f t="shared" si="13"/>
        <v>0</v>
      </c>
      <c r="W33" s="3"/>
      <c r="X33" s="8">
        <f t="shared" si="14"/>
        <v>0</v>
      </c>
      <c r="Y33" s="3"/>
      <c r="Z33" s="7">
        <f t="shared" si="15"/>
        <v>0</v>
      </c>
    </row>
    <row r="34" spans="1:26" s="24" customFormat="1" hidden="1" outlineLevel="2" x14ac:dyDescent="0.3">
      <c r="A34" s="29"/>
      <c r="B34" s="11" t="str">
        <f>CONCATENATE("          ", "6006", " - ", "TEMPORARY PART TIME")</f>
        <v xml:space="preserve">          6006 - TEMPORARY PART TIME</v>
      </c>
      <c r="C34" s="11"/>
      <c r="D34" s="8"/>
      <c r="E34" s="3"/>
      <c r="F34" s="7">
        <f t="shared" si="8"/>
        <v>0</v>
      </c>
      <c r="G34" s="3"/>
      <c r="H34" s="8">
        <v>0</v>
      </c>
      <c r="I34" s="3"/>
      <c r="J34" s="7">
        <f t="shared" si="9"/>
        <v>0</v>
      </c>
      <c r="K34" s="3"/>
      <c r="L34" s="8">
        <f t="shared" si="10"/>
        <v>0</v>
      </c>
      <c r="M34" s="3"/>
      <c r="N34" s="7">
        <f t="shared" si="11"/>
        <v>0</v>
      </c>
      <c r="O34" s="11"/>
      <c r="P34" s="8"/>
      <c r="Q34" s="3"/>
      <c r="R34" s="7">
        <f t="shared" si="12"/>
        <v>0</v>
      </c>
      <c r="S34" s="3"/>
      <c r="T34" s="8">
        <v>0</v>
      </c>
      <c r="U34" s="3"/>
      <c r="V34" s="7">
        <f t="shared" si="13"/>
        <v>0</v>
      </c>
      <c r="W34" s="3"/>
      <c r="X34" s="8">
        <f t="shared" si="14"/>
        <v>0</v>
      </c>
      <c r="Y34" s="3"/>
      <c r="Z34" s="7">
        <f t="shared" si="15"/>
        <v>0</v>
      </c>
    </row>
    <row r="35" spans="1:26" s="24" customFormat="1" hidden="1" outlineLevel="2" x14ac:dyDescent="0.3">
      <c r="A35" s="29"/>
      <c r="B35" s="11" t="str">
        <f>CONCATENATE("          ", "6007", " - ", "STUDENT HOURLY")</f>
        <v xml:space="preserve">          6007 - STUDENT HOURLY</v>
      </c>
      <c r="C35" s="11"/>
      <c r="D35" s="8"/>
      <c r="E35" s="3"/>
      <c r="F35" s="7">
        <f t="shared" si="8"/>
        <v>0</v>
      </c>
      <c r="G35" s="3"/>
      <c r="H35" s="8">
        <v>0</v>
      </c>
      <c r="I35" s="3"/>
      <c r="J35" s="7">
        <f t="shared" si="9"/>
        <v>0</v>
      </c>
      <c r="K35" s="3"/>
      <c r="L35" s="8">
        <f t="shared" si="10"/>
        <v>0</v>
      </c>
      <c r="M35" s="3"/>
      <c r="N35" s="7">
        <f t="shared" si="11"/>
        <v>0</v>
      </c>
      <c r="O35" s="11"/>
      <c r="P35" s="8"/>
      <c r="Q35" s="3"/>
      <c r="R35" s="7">
        <f t="shared" si="12"/>
        <v>0</v>
      </c>
      <c r="S35" s="3"/>
      <c r="T35" s="8">
        <v>0</v>
      </c>
      <c r="U35" s="3"/>
      <c r="V35" s="7">
        <f t="shared" si="13"/>
        <v>0</v>
      </c>
      <c r="W35" s="3"/>
      <c r="X35" s="8">
        <f t="shared" si="14"/>
        <v>0</v>
      </c>
      <c r="Y35" s="3"/>
      <c r="Z35" s="7">
        <f t="shared" si="15"/>
        <v>0</v>
      </c>
    </row>
    <row r="36" spans="1:26" s="24" customFormat="1" hidden="1" outlineLevel="2" x14ac:dyDescent="0.3">
      <c r="A36" s="29"/>
      <c r="B36" s="11" t="str">
        <f>CONCATENATE("          ", "6008", " - ", "STUDENT HOURLY-FICA EXEMPT")</f>
        <v xml:space="preserve">          6008 - STUDENT HOURLY-FICA EXEMPT</v>
      </c>
      <c r="C36" s="11"/>
      <c r="D36" s="8"/>
      <c r="E36" s="3"/>
      <c r="F36" s="7">
        <f t="shared" si="8"/>
        <v>0</v>
      </c>
      <c r="G36" s="3"/>
      <c r="H36" s="8">
        <v>0</v>
      </c>
      <c r="I36" s="3"/>
      <c r="J36" s="7">
        <f t="shared" si="9"/>
        <v>0</v>
      </c>
      <c r="K36" s="3"/>
      <c r="L36" s="8">
        <f t="shared" si="10"/>
        <v>0</v>
      </c>
      <c r="M36" s="3"/>
      <c r="N36" s="7">
        <f t="shared" si="11"/>
        <v>0</v>
      </c>
      <c r="O36" s="11"/>
      <c r="P36" s="8"/>
      <c r="Q36" s="3"/>
      <c r="R36" s="7">
        <f t="shared" si="12"/>
        <v>0</v>
      </c>
      <c r="S36" s="3"/>
      <c r="T36" s="8">
        <v>0</v>
      </c>
      <c r="U36" s="3"/>
      <c r="V36" s="7">
        <f t="shared" si="13"/>
        <v>0</v>
      </c>
      <c r="W36" s="3"/>
      <c r="X36" s="8">
        <f t="shared" si="14"/>
        <v>0</v>
      </c>
      <c r="Y36" s="3"/>
      <c r="Z36" s="7">
        <f t="shared" si="15"/>
        <v>0</v>
      </c>
    </row>
    <row r="37" spans="1:26" s="24" customFormat="1" hidden="1" outlineLevel="2" x14ac:dyDescent="0.3">
      <c r="A37" s="29"/>
      <c r="B37" s="11" t="str">
        <f>CONCATENATE("          ", "6009", " - ", "TEMPORARY-SEASONAL")</f>
        <v xml:space="preserve">          6009 - TEMPORARY-SEASONAL</v>
      </c>
      <c r="C37" s="11"/>
      <c r="D37" s="8"/>
      <c r="E37" s="3"/>
      <c r="F37" s="7">
        <f t="shared" si="8"/>
        <v>0</v>
      </c>
      <c r="G37" s="3"/>
      <c r="H37" s="8">
        <v>0</v>
      </c>
      <c r="I37" s="3"/>
      <c r="J37" s="7">
        <f t="shared" si="9"/>
        <v>0</v>
      </c>
      <c r="K37" s="3"/>
      <c r="L37" s="8">
        <f t="shared" si="10"/>
        <v>0</v>
      </c>
      <c r="M37" s="3"/>
      <c r="N37" s="7">
        <f t="shared" si="11"/>
        <v>0</v>
      </c>
      <c r="O37" s="11"/>
      <c r="P37" s="8"/>
      <c r="Q37" s="3"/>
      <c r="R37" s="7">
        <f t="shared" si="12"/>
        <v>0</v>
      </c>
      <c r="S37" s="3"/>
      <c r="T37" s="8">
        <v>0</v>
      </c>
      <c r="U37" s="3"/>
      <c r="V37" s="7">
        <f t="shared" si="13"/>
        <v>0</v>
      </c>
      <c r="W37" s="3"/>
      <c r="X37" s="8">
        <f t="shared" si="14"/>
        <v>0</v>
      </c>
      <c r="Y37" s="3"/>
      <c r="Z37" s="7">
        <f t="shared" si="15"/>
        <v>0</v>
      </c>
    </row>
    <row r="38" spans="1:26" s="24" customFormat="1" hidden="1" outlineLevel="2" x14ac:dyDescent="0.3">
      <c r="A38" s="29"/>
      <c r="B38" s="11" t="str">
        <f>CONCATENATE("          ", "6010", " - ", "GRATUITY")</f>
        <v xml:space="preserve">          6010 - GRATUITY</v>
      </c>
      <c r="C38" s="11"/>
      <c r="D38" s="8"/>
      <c r="E38" s="3"/>
      <c r="F38" s="7">
        <f t="shared" si="8"/>
        <v>0</v>
      </c>
      <c r="G38" s="3"/>
      <c r="H38" s="8">
        <v>0</v>
      </c>
      <c r="I38" s="3"/>
      <c r="J38" s="7">
        <f t="shared" si="9"/>
        <v>0</v>
      </c>
      <c r="K38" s="3"/>
      <c r="L38" s="8">
        <f t="shared" si="10"/>
        <v>0</v>
      </c>
      <c r="M38" s="3"/>
      <c r="N38" s="7">
        <f t="shared" si="11"/>
        <v>0</v>
      </c>
      <c r="O38" s="11"/>
      <c r="P38" s="8"/>
      <c r="Q38" s="3"/>
      <c r="R38" s="7">
        <f t="shared" si="12"/>
        <v>0</v>
      </c>
      <c r="S38" s="3"/>
      <c r="T38" s="8">
        <v>0</v>
      </c>
      <c r="U38" s="3"/>
      <c r="V38" s="7">
        <f t="shared" si="13"/>
        <v>0</v>
      </c>
      <c r="W38" s="3"/>
      <c r="X38" s="8">
        <f t="shared" si="14"/>
        <v>0</v>
      </c>
      <c r="Y38" s="3"/>
      <c r="Z38" s="7">
        <f t="shared" si="15"/>
        <v>0</v>
      </c>
    </row>
    <row r="39" spans="1:26" s="27" customFormat="1" outlineLevel="1" collapsed="1" x14ac:dyDescent="0.3">
      <c r="A39" s="28"/>
      <c r="B39" s="14" t="str">
        <f>CONCATENATE("     ","Services                                          ")</f>
        <v xml:space="preserve">     Services                                          </v>
      </c>
      <c r="C39" s="14"/>
      <c r="D39" s="1">
        <f>SUM(OSRRefD22_2x_0)</f>
        <v>0</v>
      </c>
      <c r="E39" s="1"/>
      <c r="F39" s="5">
        <f t="shared" ref="F39:F44" si="16">IF(D$12=0,0,D39/D$12)</f>
        <v>0</v>
      </c>
      <c r="G39" s="1"/>
      <c r="H39" s="1">
        <f>SUM(OSRRefH22_2x_0)</f>
        <v>0</v>
      </c>
      <c r="I39" s="1"/>
      <c r="J39" s="5">
        <f t="shared" ref="J39:J44" si="17">IF(H$12=0,0,H39/H$12)</f>
        <v>0</v>
      </c>
      <c r="K39" s="1"/>
      <c r="L39" s="1">
        <f t="shared" ref="L39:L44" si="18">+D39-H39</f>
        <v>0</v>
      </c>
      <c r="M39" s="1"/>
      <c r="N39" s="5">
        <f t="shared" ref="N39:N44" si="19">IF(H39=0,0,L39/H39)</f>
        <v>0</v>
      </c>
      <c r="O39" s="14"/>
      <c r="P39" s="1">
        <f>SUM(OSRRefP22_2x_0)</f>
        <v>0</v>
      </c>
      <c r="Q39" s="1"/>
      <c r="R39" s="5">
        <f t="shared" ref="R39:R44" si="20">IF(P$12=0,0,P39/P$12)</f>
        <v>0</v>
      </c>
      <c r="S39" s="1"/>
      <c r="T39" s="1">
        <f>SUM(OSRRefT22_2x_0)</f>
        <v>0</v>
      </c>
      <c r="U39" s="1"/>
      <c r="V39" s="5">
        <f t="shared" ref="V39:V44" si="21">IF(T$12=0,0,T39/T$12)</f>
        <v>0</v>
      </c>
      <c r="W39" s="1"/>
      <c r="X39" s="1">
        <f t="shared" ref="X39:X44" si="22">+P39-T39</f>
        <v>0</v>
      </c>
      <c r="Y39" s="1"/>
      <c r="Z39" s="5">
        <f t="shared" ref="Z39:Z44" si="23">IF(T39=0,0,X39/T39)</f>
        <v>0</v>
      </c>
    </row>
    <row r="40" spans="1:26" s="24" customFormat="1" hidden="1" outlineLevel="2" x14ac:dyDescent="0.3">
      <c r="A40" s="29"/>
      <c r="B40" s="11" t="str">
        <f>CONCATENATE("          ", "6284", " - ", "TRASH REMOVAL EXPENSE")</f>
        <v xml:space="preserve">          6284 - TRASH REMOVAL EXPENSE</v>
      </c>
      <c r="C40" s="11"/>
      <c r="D40" s="8"/>
      <c r="E40" s="3"/>
      <c r="F40" s="7">
        <f t="shared" si="16"/>
        <v>0</v>
      </c>
      <c r="G40" s="3"/>
      <c r="H40" s="8">
        <v>0</v>
      </c>
      <c r="I40" s="3"/>
      <c r="J40" s="7">
        <f t="shared" si="17"/>
        <v>0</v>
      </c>
      <c r="K40" s="3"/>
      <c r="L40" s="8">
        <f t="shared" si="18"/>
        <v>0</v>
      </c>
      <c r="M40" s="3"/>
      <c r="N40" s="7">
        <f t="shared" si="19"/>
        <v>0</v>
      </c>
      <c r="O40" s="11"/>
      <c r="P40" s="8"/>
      <c r="Q40" s="3"/>
      <c r="R40" s="7">
        <f t="shared" si="20"/>
        <v>0</v>
      </c>
      <c r="S40" s="3"/>
      <c r="T40" s="8">
        <v>0</v>
      </c>
      <c r="U40" s="3"/>
      <c r="V40" s="7">
        <f t="shared" si="21"/>
        <v>0</v>
      </c>
      <c r="W40" s="3"/>
      <c r="X40" s="8">
        <f t="shared" si="22"/>
        <v>0</v>
      </c>
      <c r="Y40" s="3"/>
      <c r="Z40" s="7">
        <f t="shared" si="23"/>
        <v>0</v>
      </c>
    </row>
    <row r="41" spans="1:26" s="27" customFormat="1" outlineLevel="1" collapsed="1" x14ac:dyDescent="0.3">
      <c r="A41" s="28"/>
      <c r="B41" s="14" t="str">
        <f>CONCATENATE("     ","Supplies                                          ")</f>
        <v xml:space="preserve">     Supplies                                          </v>
      </c>
      <c r="C41" s="14"/>
      <c r="D41" s="1">
        <f>SUM(OSRRefD22_3x_0)</f>
        <v>245.13</v>
      </c>
      <c r="E41" s="1"/>
      <c r="F41" s="5">
        <f t="shared" si="16"/>
        <v>0</v>
      </c>
      <c r="G41" s="1"/>
      <c r="H41" s="1">
        <f>SUM(OSRRefH22_3x_0)</f>
        <v>0</v>
      </c>
      <c r="I41" s="1"/>
      <c r="J41" s="5">
        <f t="shared" si="17"/>
        <v>0</v>
      </c>
      <c r="K41" s="1"/>
      <c r="L41" s="1">
        <f t="shared" si="18"/>
        <v>245.13</v>
      </c>
      <c r="M41" s="1"/>
      <c r="N41" s="5">
        <f t="shared" si="19"/>
        <v>0</v>
      </c>
      <c r="O41" s="14"/>
      <c r="P41" s="1">
        <f>SUM(OSRRefP22_3x_0)</f>
        <v>245.13</v>
      </c>
      <c r="Q41" s="1"/>
      <c r="R41" s="5">
        <f t="shared" si="20"/>
        <v>0</v>
      </c>
      <c r="S41" s="1"/>
      <c r="T41" s="1">
        <f>SUM(OSRRefT22_3x_0)</f>
        <v>0</v>
      </c>
      <c r="U41" s="1"/>
      <c r="V41" s="5">
        <f t="shared" si="21"/>
        <v>0</v>
      </c>
      <c r="W41" s="1"/>
      <c r="X41" s="1">
        <f t="shared" si="22"/>
        <v>245.13</v>
      </c>
      <c r="Y41" s="1"/>
      <c r="Z41" s="5">
        <f t="shared" si="23"/>
        <v>0</v>
      </c>
    </row>
    <row r="42" spans="1:26" s="24" customFormat="1" hidden="1" outlineLevel="2" x14ac:dyDescent="0.3">
      <c r="A42" s="29"/>
      <c r="B42" s="11" t="str">
        <f>CONCATENATE("          ", "6241", " - ", "OFFICE EXPENSE")</f>
        <v xml:space="preserve">          6241 - OFFICE EXPENSE</v>
      </c>
      <c r="C42" s="11"/>
      <c r="D42" s="8">
        <v>245.13</v>
      </c>
      <c r="E42" s="3"/>
      <c r="F42" s="7">
        <f t="shared" si="16"/>
        <v>0</v>
      </c>
      <c r="G42" s="3"/>
      <c r="H42" s="8"/>
      <c r="I42" s="3"/>
      <c r="J42" s="7">
        <f t="shared" si="17"/>
        <v>0</v>
      </c>
      <c r="K42" s="3"/>
      <c r="L42" s="8">
        <f t="shared" si="18"/>
        <v>245.13</v>
      </c>
      <c r="M42" s="3"/>
      <c r="N42" s="7">
        <f t="shared" si="19"/>
        <v>0</v>
      </c>
      <c r="O42" s="11"/>
      <c r="P42" s="8">
        <v>245.13</v>
      </c>
      <c r="Q42" s="3"/>
      <c r="R42" s="7">
        <f t="shared" si="20"/>
        <v>0</v>
      </c>
      <c r="S42" s="3"/>
      <c r="T42" s="8"/>
      <c r="U42" s="3"/>
      <c r="V42" s="7">
        <f t="shared" si="21"/>
        <v>0</v>
      </c>
      <c r="W42" s="3"/>
      <c r="X42" s="8">
        <f t="shared" si="22"/>
        <v>245.13</v>
      </c>
      <c r="Y42" s="3"/>
      <c r="Z42" s="7">
        <f t="shared" si="23"/>
        <v>0</v>
      </c>
    </row>
    <row r="43" spans="1:26" s="27" customFormat="1" outlineLevel="1" collapsed="1" x14ac:dyDescent="0.3">
      <c r="A43" s="28"/>
      <c r="B43" s="14" t="str">
        <f>CONCATENATE("     ","Telephone/Data Lines                              ")</f>
        <v xml:space="preserve">     Telephone/Data Lines                              </v>
      </c>
      <c r="C43" s="14"/>
      <c r="D43" s="1">
        <f>SUM(OSRRefD22_4x_0)</f>
        <v>-164</v>
      </c>
      <c r="E43" s="1"/>
      <c r="F43" s="5">
        <f t="shared" si="16"/>
        <v>0</v>
      </c>
      <c r="G43" s="1"/>
      <c r="H43" s="1">
        <f>SUM(OSRRefH22_4x_0)</f>
        <v>0</v>
      </c>
      <c r="I43" s="1"/>
      <c r="J43" s="5">
        <f t="shared" si="17"/>
        <v>0</v>
      </c>
      <c r="K43" s="1"/>
      <c r="L43" s="1">
        <f t="shared" si="18"/>
        <v>-164</v>
      </c>
      <c r="M43" s="1"/>
      <c r="N43" s="5">
        <f t="shared" si="19"/>
        <v>0</v>
      </c>
      <c r="O43" s="14"/>
      <c r="P43" s="1">
        <f>SUM(OSRRefP22_4x_0)</f>
        <v>-164</v>
      </c>
      <c r="Q43" s="1"/>
      <c r="R43" s="5">
        <f t="shared" si="20"/>
        <v>0</v>
      </c>
      <c r="S43" s="1"/>
      <c r="T43" s="1">
        <f>SUM(OSRRefT22_4x_0)</f>
        <v>0</v>
      </c>
      <c r="U43" s="1"/>
      <c r="V43" s="5">
        <f t="shared" si="21"/>
        <v>0</v>
      </c>
      <c r="W43" s="1"/>
      <c r="X43" s="1">
        <f t="shared" si="22"/>
        <v>-164</v>
      </c>
      <c r="Y43" s="1"/>
      <c r="Z43" s="5">
        <f t="shared" si="23"/>
        <v>0</v>
      </c>
    </row>
    <row r="44" spans="1:26" s="24" customFormat="1" hidden="1" outlineLevel="2" x14ac:dyDescent="0.3">
      <c r="A44" s="29"/>
      <c r="B44" s="11" t="str">
        <f>CONCATENATE("          ", "6309", " - ", "TELEPHONE")</f>
        <v xml:space="preserve">          6309 - TELEPHONE</v>
      </c>
      <c r="C44" s="11"/>
      <c r="D44" s="8">
        <v>-164</v>
      </c>
      <c r="E44" s="3"/>
      <c r="F44" s="7">
        <f t="shared" si="16"/>
        <v>0</v>
      </c>
      <c r="G44" s="3"/>
      <c r="H44" s="8"/>
      <c r="I44" s="3"/>
      <c r="J44" s="7">
        <f t="shared" si="17"/>
        <v>0</v>
      </c>
      <c r="K44" s="3"/>
      <c r="L44" s="8">
        <f t="shared" si="18"/>
        <v>-164</v>
      </c>
      <c r="M44" s="3"/>
      <c r="N44" s="7">
        <f t="shared" si="19"/>
        <v>0</v>
      </c>
      <c r="O44" s="11"/>
      <c r="P44" s="8">
        <v>-164</v>
      </c>
      <c r="Q44" s="3"/>
      <c r="R44" s="7">
        <f t="shared" si="20"/>
        <v>0</v>
      </c>
      <c r="S44" s="3"/>
      <c r="T44" s="8"/>
      <c r="U44" s="3"/>
      <c r="V44" s="7">
        <f t="shared" si="21"/>
        <v>0</v>
      </c>
      <c r="W44" s="3"/>
      <c r="X44" s="8">
        <f t="shared" si="22"/>
        <v>-164</v>
      </c>
      <c r="Y44" s="3"/>
      <c r="Z44" s="7">
        <f t="shared" si="23"/>
        <v>0</v>
      </c>
    </row>
    <row r="45" spans="1:26" s="62" customFormat="1" x14ac:dyDescent="0.3">
      <c r="A45" s="36"/>
      <c r="B45" s="36"/>
      <c r="C45" s="36"/>
      <c r="D45" s="1"/>
      <c r="E45" s="1"/>
      <c r="F45" s="5"/>
      <c r="G45" s="1"/>
      <c r="H45" s="1"/>
      <c r="I45" s="1"/>
      <c r="J45" s="5"/>
      <c r="K45" s="1"/>
      <c r="L45" s="1"/>
      <c r="M45" s="1"/>
      <c r="N45" s="5"/>
      <c r="O45" s="36"/>
      <c r="P45" s="1"/>
      <c r="Q45" s="1"/>
      <c r="R45" s="5"/>
      <c r="S45" s="1"/>
      <c r="T45" s="1"/>
      <c r="U45" s="1"/>
      <c r="V45" s="5"/>
      <c r="W45" s="1"/>
      <c r="X45" s="1"/>
      <c r="Y45" s="1"/>
      <c r="Z45" s="5"/>
    </row>
    <row r="46" spans="1:26" s="23" customFormat="1" x14ac:dyDescent="0.3">
      <c r="A46" s="10"/>
      <c r="B46" s="25" t="s">
        <v>293</v>
      </c>
      <c r="C46" s="10"/>
      <c r="D46" s="4">
        <f>SUM(0)</f>
        <v>0</v>
      </c>
      <c r="E46" s="4"/>
      <c r="F46" s="12">
        <f>IF(D$12=0,0,D46/D$12)</f>
        <v>0</v>
      </c>
      <c r="G46" s="4"/>
      <c r="H46" s="4">
        <f>SUM(0)</f>
        <v>0</v>
      </c>
      <c r="I46" s="4"/>
      <c r="J46" s="12">
        <f>IF(H$12=0,0,H46/H$12)</f>
        <v>0</v>
      </c>
      <c r="K46" s="4"/>
      <c r="L46" s="4">
        <f>+D46-H46</f>
        <v>0</v>
      </c>
      <c r="M46" s="4"/>
      <c r="N46" s="12">
        <f>IF(H46=0,0,L46/H46)</f>
        <v>0</v>
      </c>
      <c r="O46" s="10"/>
      <c r="P46" s="4">
        <f>SUM(0)</f>
        <v>0</v>
      </c>
      <c r="Q46" s="4"/>
      <c r="R46" s="12">
        <f>IF(P$12=0,0,P46/P$12)</f>
        <v>0</v>
      </c>
      <c r="S46" s="4"/>
      <c r="T46" s="4">
        <f>SUM(0)</f>
        <v>0</v>
      </c>
      <c r="U46" s="4"/>
      <c r="V46" s="12">
        <f>IF(T$12=0,0,T46/T$12)</f>
        <v>0</v>
      </c>
      <c r="W46" s="4"/>
      <c r="X46" s="4">
        <f>+P46-T46</f>
        <v>0</v>
      </c>
      <c r="Y46" s="4"/>
      <c r="Z46" s="12">
        <f>IF(T46=0,0,X46/T46)</f>
        <v>0</v>
      </c>
    </row>
    <row r="47" spans="1:26" x14ac:dyDescent="0.3">
      <c r="A47" s="9"/>
      <c r="B47" s="10"/>
      <c r="C47" s="10"/>
      <c r="D47" s="2"/>
      <c r="E47" s="2"/>
      <c r="F47" s="6"/>
      <c r="G47" s="2"/>
      <c r="H47" s="2"/>
      <c r="I47" s="2"/>
      <c r="J47" s="6"/>
      <c r="K47" s="2"/>
      <c r="L47" s="2"/>
      <c r="M47" s="2"/>
      <c r="N47" s="6"/>
      <c r="O47" s="10"/>
      <c r="P47" s="2"/>
      <c r="Q47" s="2"/>
      <c r="R47" s="6"/>
      <c r="S47" s="2"/>
      <c r="T47" s="2"/>
      <c r="U47" s="2"/>
      <c r="V47" s="6"/>
      <c r="W47" s="2"/>
      <c r="X47" s="2"/>
      <c r="Y47" s="2"/>
      <c r="Z47" s="6"/>
    </row>
    <row r="48" spans="1:26" s="23" customFormat="1" x14ac:dyDescent="0.3">
      <c r="A48" s="10"/>
      <c r="B48" s="26" t="s">
        <v>277</v>
      </c>
      <c r="C48" s="26"/>
      <c r="D48" s="21">
        <f>+D16-D18+D46</f>
        <v>-81.13</v>
      </c>
      <c r="E48" s="13"/>
      <c r="F48" s="22">
        <f>IF(D$12=0,0,D48/D$12)</f>
        <v>0</v>
      </c>
      <c r="G48" s="13"/>
      <c r="H48" s="21">
        <f>+H16-H18+H46</f>
        <v>0</v>
      </c>
      <c r="I48" s="13"/>
      <c r="J48" s="22">
        <f>IF(H$12=0,0,H48/H$12)</f>
        <v>0</v>
      </c>
      <c r="K48" s="16"/>
      <c r="L48" s="21">
        <f>+D48-H48</f>
        <v>-81.13</v>
      </c>
      <c r="M48" s="16"/>
      <c r="N48" s="22">
        <f>IF(H48=0,0,L48/H48)</f>
        <v>0</v>
      </c>
      <c r="O48" s="25"/>
      <c r="P48" s="21">
        <f>+P16-P18+P46</f>
        <v>-81.13</v>
      </c>
      <c r="Q48" s="13"/>
      <c r="R48" s="22">
        <f>IF(P$12=0,0,P48/P$12)</f>
        <v>0</v>
      </c>
      <c r="S48" s="13"/>
      <c r="T48" s="21">
        <f>+T16-T18+T46</f>
        <v>0</v>
      </c>
      <c r="U48" s="13"/>
      <c r="V48" s="22">
        <f>IF(T$12=0,0,T48/T$12)</f>
        <v>0</v>
      </c>
      <c r="W48" s="16"/>
      <c r="X48" s="21">
        <f>+P48-T48</f>
        <v>-81.13</v>
      </c>
      <c r="Y48" s="16"/>
      <c r="Z48" s="22">
        <f>IF(T48=0,0,X48/T48)</f>
        <v>0</v>
      </c>
    </row>
    <row r="49" spans="1:26" x14ac:dyDescent="0.3">
      <c r="A49" s="9"/>
      <c r="B49" s="10"/>
      <c r="C49" s="9"/>
      <c r="D49" s="2"/>
      <c r="E49" s="2"/>
      <c r="F49" s="6"/>
      <c r="G49" s="2"/>
      <c r="H49" s="2"/>
      <c r="I49" s="2"/>
      <c r="J49" s="6"/>
      <c r="K49" s="2"/>
      <c r="L49" s="2"/>
      <c r="M49" s="2"/>
      <c r="N49" s="6"/>
      <c r="P49" s="2"/>
      <c r="Q49" s="2"/>
      <c r="R49" s="6"/>
      <c r="S49" s="2"/>
      <c r="T49" s="2"/>
      <c r="U49" s="2"/>
      <c r="V49" s="6"/>
      <c r="W49" s="2"/>
      <c r="X49" s="2"/>
      <c r="Y49" s="2"/>
      <c r="Z49" s="6"/>
    </row>
    <row r="50" spans="1:26" s="23" customFormat="1" x14ac:dyDescent="0.3">
      <c r="A50" s="52"/>
      <c r="B50" s="10" t="s">
        <v>128</v>
      </c>
      <c r="C50" s="10"/>
      <c r="D50" s="4"/>
      <c r="E50" s="4"/>
      <c r="F50" s="12">
        <f>IF(D$12=0,0,D50/D$12)</f>
        <v>0</v>
      </c>
      <c r="G50" s="4"/>
      <c r="H50" s="4"/>
      <c r="I50" s="4"/>
      <c r="J50" s="12">
        <f>IF(H$12=0,0,H50/H$12)</f>
        <v>0</v>
      </c>
      <c r="K50" s="4"/>
      <c r="L50" s="4">
        <f>+D50-H50</f>
        <v>0</v>
      </c>
      <c r="M50" s="4"/>
      <c r="N50" s="12">
        <f>IF(H50=0,0,L50/H50)</f>
        <v>0</v>
      </c>
      <c r="O50" s="10"/>
      <c r="P50" s="4"/>
      <c r="Q50" s="4"/>
      <c r="R50" s="12">
        <f>IF(P$12=0,0,P50/P$12)</f>
        <v>0</v>
      </c>
      <c r="S50" s="4"/>
      <c r="T50" s="4"/>
      <c r="U50" s="4"/>
      <c r="V50" s="12">
        <f>IF(T$12=0,0,T50/T$12)</f>
        <v>0</v>
      </c>
      <c r="W50" s="4"/>
      <c r="X50" s="4">
        <f>+P50-T50</f>
        <v>0</v>
      </c>
      <c r="Y50" s="4"/>
      <c r="Z50" s="12">
        <f>IF(T50=0,0,X50/T50)</f>
        <v>0</v>
      </c>
    </row>
    <row r="51" spans="1:26" x14ac:dyDescent="0.3">
      <c r="A51" s="9"/>
      <c r="B51" s="10"/>
      <c r="C51" s="10"/>
      <c r="D51" s="2"/>
      <c r="E51" s="2"/>
      <c r="F51" s="6"/>
      <c r="G51" s="2"/>
      <c r="H51" s="2"/>
      <c r="I51" s="2"/>
      <c r="J51" s="6"/>
      <c r="K51" s="2"/>
      <c r="L51" s="2"/>
      <c r="M51" s="2"/>
      <c r="N51" s="6"/>
      <c r="O51" s="10"/>
      <c r="P51" s="2"/>
      <c r="Q51" s="2"/>
      <c r="R51" s="6"/>
      <c r="S51" s="2"/>
      <c r="T51" s="2"/>
      <c r="U51" s="2"/>
      <c r="V51" s="6"/>
      <c r="W51" s="2"/>
      <c r="X51" s="2"/>
      <c r="Y51" s="2"/>
      <c r="Z51" s="6"/>
    </row>
    <row r="52" spans="1:26" s="23" customFormat="1" ht="15" thickBot="1" x14ac:dyDescent="0.35">
      <c r="A52" s="10"/>
      <c r="B52" s="26" t="s">
        <v>126</v>
      </c>
      <c r="C52" s="26"/>
      <c r="D52" s="35">
        <f>+D48-D50</f>
        <v>-81.13</v>
      </c>
      <c r="E52" s="13"/>
      <c r="F52" s="30">
        <f>IF(D$12=0,0,D52/D$12)</f>
        <v>0</v>
      </c>
      <c r="G52" s="13"/>
      <c r="H52" s="35">
        <f>+H48-H50</f>
        <v>0</v>
      </c>
      <c r="I52" s="13"/>
      <c r="J52" s="30">
        <f>IF(H$12=0,0,H52/H$12)</f>
        <v>0</v>
      </c>
      <c r="K52" s="16"/>
      <c r="L52" s="35">
        <f>D52-H52</f>
        <v>-81.13</v>
      </c>
      <c r="M52" s="16"/>
      <c r="N52" s="30">
        <f>IF(H52=0,0,L52/H52)</f>
        <v>0</v>
      </c>
      <c r="O52" s="25"/>
      <c r="P52" s="35">
        <f>+P48-P50</f>
        <v>-81.13</v>
      </c>
      <c r="Q52" s="13"/>
      <c r="R52" s="30">
        <f>IF(P$12=0,0,P52/P$12)</f>
        <v>0</v>
      </c>
      <c r="S52" s="13"/>
      <c r="T52" s="35">
        <f>+T48-T50</f>
        <v>0</v>
      </c>
      <c r="U52" s="13"/>
      <c r="V52" s="30">
        <f>IF(T$12=0,0,T52/T$12)</f>
        <v>0</v>
      </c>
      <c r="W52" s="16"/>
      <c r="X52" s="35">
        <f>P52-T52</f>
        <v>-81.13</v>
      </c>
      <c r="Y52" s="16"/>
      <c r="Z52" s="30">
        <f>IF(T52=0,0,X52/T52)</f>
        <v>0</v>
      </c>
    </row>
    <row r="53" spans="1:26" ht="15" thickTop="1" x14ac:dyDescent="0.3">
      <c r="A53" s="9"/>
      <c r="B53" s="9"/>
      <c r="C53" s="9"/>
      <c r="D53" s="2"/>
      <c r="E53" s="2"/>
      <c r="F53" s="6"/>
      <c r="G53" s="2"/>
      <c r="H53" s="2"/>
      <c r="I53" s="2"/>
      <c r="J53" s="6"/>
      <c r="K53" s="2"/>
      <c r="L53" s="2"/>
      <c r="M53" s="2"/>
      <c r="N53" s="6"/>
      <c r="P53" s="2"/>
      <c r="Q53" s="2"/>
      <c r="R53" s="6"/>
      <c r="S53" s="2"/>
      <c r="T53" s="2"/>
      <c r="U53" s="2"/>
      <c r="V53" s="6"/>
      <c r="W53" s="2"/>
      <c r="X53" s="2"/>
      <c r="Y53" s="2"/>
      <c r="Z53" s="6"/>
    </row>
    <row r="54" spans="1:26" x14ac:dyDescent="0.3">
      <c r="A54" s="9"/>
      <c r="B54" s="9"/>
      <c r="C54" s="9"/>
      <c r="D54" s="2"/>
      <c r="E54" s="2"/>
      <c r="F54" s="6"/>
      <c r="G54" s="2"/>
      <c r="H54" s="2"/>
      <c r="I54" s="2"/>
      <c r="J54" s="6"/>
      <c r="K54" s="2"/>
      <c r="L54" s="2"/>
      <c r="M54" s="2"/>
      <c r="N54" s="6"/>
      <c r="P54" s="2"/>
      <c r="Q54" s="2"/>
      <c r="R54" s="6"/>
      <c r="S54" s="2"/>
      <c r="T54" s="2"/>
      <c r="U54" s="2"/>
      <c r="V54" s="6"/>
      <c r="W54" s="2"/>
      <c r="X54" s="2"/>
      <c r="Y54" s="2"/>
      <c r="Z54" s="6"/>
    </row>
    <row r="55" spans="1:26" s="23" customFormat="1" ht="15" thickBot="1" x14ac:dyDescent="0.35">
      <c r="A55" s="10"/>
      <c r="B55" s="26" t="s">
        <v>294</v>
      </c>
      <c r="C55" s="26"/>
      <c r="D55" s="33">
        <f>SUM(D52:D54)</f>
        <v>-81.13</v>
      </c>
      <c r="E55" s="13"/>
      <c r="F55" s="31">
        <f>IF(D$12=0,0,D55/D$12)</f>
        <v>0</v>
      </c>
      <c r="G55" s="13"/>
      <c r="H55" s="33">
        <f>SUM(H52:H54)</f>
        <v>0</v>
      </c>
      <c r="I55" s="13"/>
      <c r="J55" s="31">
        <f>IF(H$12=0,0,H55/H$12)</f>
        <v>0</v>
      </c>
      <c r="K55" s="16"/>
      <c r="L55" s="33">
        <f>+D55-H55</f>
        <v>-81.13</v>
      </c>
      <c r="M55" s="16"/>
      <c r="N55" s="31">
        <f>IF(H55=0,0,L55/H55)</f>
        <v>0</v>
      </c>
      <c r="O55" s="25"/>
      <c r="P55" s="33">
        <f>SUM(P52:P54)</f>
        <v>-81.13</v>
      </c>
      <c r="Q55" s="13"/>
      <c r="R55" s="31">
        <f>IF(P$12=0,0,P55/P$12)</f>
        <v>0</v>
      </c>
      <c r="S55" s="13"/>
      <c r="T55" s="33">
        <f>SUM(T52:T54)</f>
        <v>0</v>
      </c>
      <c r="U55" s="13"/>
      <c r="V55" s="31">
        <f>IF(T$12=0,0,T55/T$12)</f>
        <v>0</v>
      </c>
      <c r="W55" s="16"/>
      <c r="X55" s="33">
        <f>+P55-T55</f>
        <v>-81.13</v>
      </c>
      <c r="Y55" s="16"/>
      <c r="Z55" s="31">
        <f>IF(T55=0,0,X55/T55)</f>
        <v>0</v>
      </c>
    </row>
    <row r="56" spans="1:26" ht="15" thickTop="1" x14ac:dyDescent="0.3">
      <c r="A56" s="9"/>
      <c r="C56" s="9"/>
      <c r="D56" s="18"/>
      <c r="E56" s="18"/>
      <c r="G56" s="18"/>
      <c r="H56" s="18"/>
      <c r="I56" s="18"/>
      <c r="J56" s="43"/>
      <c r="K56" s="18"/>
      <c r="L56" s="18"/>
      <c r="M56" s="18"/>
      <c r="P56" s="18"/>
      <c r="Q56" s="18"/>
      <c r="R56" s="43"/>
      <c r="S56" s="18"/>
      <c r="T56" s="18"/>
      <c r="U56" s="18"/>
      <c r="V56" s="43"/>
      <c r="W56" s="18"/>
      <c r="X56" s="18"/>
    </row>
    <row r="57" spans="1:26" x14ac:dyDescent="0.3">
      <c r="A57" s="9"/>
      <c r="B57" s="54">
        <v>44462.64548684028</v>
      </c>
      <c r="D57" s="18"/>
      <c r="E57" s="18"/>
      <c r="G57" s="18"/>
      <c r="H57" s="18"/>
      <c r="I57" s="18"/>
      <c r="J57" s="43"/>
      <c r="K57" s="18"/>
      <c r="L57" s="18"/>
      <c r="M57" s="18"/>
      <c r="P57" s="18"/>
      <c r="Q57" s="18"/>
      <c r="R57" s="43"/>
      <c r="S57" s="18"/>
      <c r="T57" s="18"/>
      <c r="U57" s="18"/>
      <c r="V57" s="43"/>
      <c r="W57" s="18"/>
      <c r="X57" s="18"/>
    </row>
    <row r="58" spans="1:26" x14ac:dyDescent="0.3">
      <c r="A58" s="9"/>
      <c r="B58" s="59" t="s">
        <v>56</v>
      </c>
      <c r="D58" s="18"/>
      <c r="E58" s="18"/>
      <c r="G58" s="18"/>
      <c r="H58" s="18"/>
      <c r="I58" s="18"/>
      <c r="J58" s="43"/>
      <c r="K58" s="18"/>
      <c r="L58" s="18"/>
      <c r="M58" s="18"/>
      <c r="P58" s="18"/>
      <c r="Q58" s="18"/>
      <c r="R58" s="43"/>
      <c r="S58" s="18"/>
      <c r="T58" s="18"/>
      <c r="U58" s="18"/>
      <c r="V58" s="43"/>
      <c r="W58" s="18"/>
      <c r="X58" s="18"/>
    </row>
    <row r="59" spans="1:26" x14ac:dyDescent="0.3">
      <c r="A59" s="9"/>
      <c r="B59" s="55"/>
      <c r="D59" s="18"/>
      <c r="E59" s="18"/>
      <c r="G59" s="18"/>
      <c r="H59" s="18"/>
      <c r="I59" s="18"/>
      <c r="J59" s="43"/>
      <c r="K59" s="18"/>
      <c r="L59" s="18"/>
      <c r="M59" s="18"/>
      <c r="P59" s="18"/>
      <c r="Q59" s="18"/>
      <c r="R59" s="43"/>
      <c r="S59" s="18"/>
      <c r="T59" s="18"/>
      <c r="U59" s="18"/>
      <c r="V59" s="43"/>
      <c r="W59" s="18"/>
      <c r="X59" s="18"/>
    </row>
    <row r="60" spans="1:26" x14ac:dyDescent="0.3">
      <c r="D60" s="18"/>
      <c r="E60" s="18"/>
      <c r="G60" s="18"/>
      <c r="H60" s="18"/>
      <c r="I60" s="18"/>
      <c r="J60" s="43"/>
      <c r="K60" s="18"/>
      <c r="L60" s="18"/>
      <c r="M60" s="18"/>
      <c r="P60" s="18"/>
      <c r="Q60" s="18"/>
      <c r="R60" s="43"/>
      <c r="S60" s="18"/>
      <c r="T60" s="18"/>
      <c r="U60" s="18"/>
      <c r="V60" s="43"/>
      <c r="W60" s="18"/>
      <c r="X60" s="18"/>
    </row>
  </sheetData>
  <pageMargins left="0.25" right="0.25" top="0.75" bottom="0.75" header="0.3" footer="0.3"/>
  <pageSetup scale="55" fitToWidth="2" orientation="landscape"/>
  <drawing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>
    <tabColor rgb="FF92D050"/>
    <outlinePr summaryBelow="0" summaryRight="0"/>
  </sheetPr>
  <dimension ref="A2:Z38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50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7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50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7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7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7" customWidth="1" outlineLevel="1"/>
  </cols>
  <sheetData>
    <row r="2" spans="1:26" x14ac:dyDescent="0.3">
      <c r="D2" s="57" t="s">
        <v>23</v>
      </c>
    </row>
    <row r="3" spans="1:26" x14ac:dyDescent="0.3">
      <c r="D3" s="57" t="s">
        <v>237</v>
      </c>
      <c r="E3" s="17"/>
      <c r="F3" s="51"/>
      <c r="G3" s="17"/>
      <c r="H3" s="17"/>
      <c r="I3" s="17"/>
      <c r="J3" s="39"/>
      <c r="K3" s="17"/>
      <c r="L3" s="17"/>
      <c r="M3" s="17"/>
      <c r="N3" s="51"/>
      <c r="O3" s="61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3">
      <c r="D4" s="57" t="str">
        <f>CONCATENATE("Period ",RIGHT(202201,2),", ",2022)</f>
        <v>Period 01, 2022</v>
      </c>
      <c r="E4" s="17"/>
      <c r="F4" s="51"/>
      <c r="G4" s="17"/>
      <c r="H4" s="17"/>
      <c r="I4" s="17"/>
      <c r="J4" s="39"/>
      <c r="K4" s="17"/>
      <c r="L4" s="17"/>
      <c r="M4" s="17"/>
      <c r="N4" s="51"/>
      <c r="O4" s="61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3">
      <c r="A5" s="23"/>
      <c r="D5" s="64">
        <v>44408</v>
      </c>
      <c r="E5" s="17"/>
      <c r="F5" s="51"/>
      <c r="G5" s="17"/>
      <c r="H5" s="17"/>
      <c r="I5" s="17"/>
      <c r="J5" s="39"/>
      <c r="K5" s="17"/>
      <c r="L5" s="17"/>
      <c r="M5" s="17"/>
      <c r="N5" s="51"/>
      <c r="O5" s="61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3">
      <c r="A6" s="23"/>
      <c r="B6" s="47"/>
      <c r="C6" s="47"/>
      <c r="D6" s="23" t="str">
        <f>CONCATENATE("Department ","424", " - ", "Blair Field")</f>
        <v>Department 424 - Blair Field</v>
      </c>
      <c r="E6" s="17"/>
      <c r="F6" s="51"/>
      <c r="G6" s="17"/>
      <c r="H6" s="17"/>
      <c r="I6" s="17"/>
      <c r="J6" s="39"/>
      <c r="K6" s="17"/>
      <c r="L6" s="17"/>
      <c r="M6" s="17"/>
      <c r="N6" s="51"/>
      <c r="O6" s="60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3">
      <c r="B7" s="63"/>
    </row>
    <row r="8" spans="1:26" x14ac:dyDescent="0.3">
      <c r="B8" s="63"/>
    </row>
    <row r="9" spans="1:26" x14ac:dyDescent="0.3">
      <c r="B9" s="9"/>
      <c r="C9" s="9"/>
      <c r="D9" s="15" t="s">
        <v>292</v>
      </c>
      <c r="E9" s="15"/>
      <c r="F9" s="38"/>
      <c r="G9" s="15"/>
      <c r="H9" s="15"/>
      <c r="I9" s="15"/>
      <c r="J9" s="49"/>
      <c r="K9" s="15"/>
      <c r="L9" s="15"/>
      <c r="M9" s="15"/>
      <c r="N9" s="38"/>
      <c r="P9" s="15" t="s">
        <v>39</v>
      </c>
      <c r="Q9" s="15"/>
      <c r="R9" s="38"/>
      <c r="S9" s="15"/>
      <c r="T9" s="15"/>
      <c r="U9" s="15"/>
      <c r="V9" s="49"/>
      <c r="W9" s="15"/>
      <c r="X9" s="15"/>
      <c r="Y9" s="15"/>
      <c r="Z9" s="38"/>
    </row>
    <row r="10" spans="1:26" x14ac:dyDescent="0.3">
      <c r="A10" s="10"/>
      <c r="B10" s="53"/>
      <c r="C10" s="10"/>
      <c r="D10" s="42" t="s">
        <v>57</v>
      </c>
      <c r="E10" s="34"/>
      <c r="F10" s="40" t="s">
        <v>40</v>
      </c>
      <c r="G10" s="34"/>
      <c r="H10" s="45" t="s">
        <v>238</v>
      </c>
      <c r="I10" s="34"/>
      <c r="J10" s="48" t="s">
        <v>58</v>
      </c>
      <c r="K10" s="10"/>
      <c r="L10" s="42" t="s">
        <v>127</v>
      </c>
      <c r="M10" s="10"/>
      <c r="N10" s="40" t="s">
        <v>258</v>
      </c>
      <c r="O10" s="10"/>
      <c r="P10" s="56" t="s">
        <v>57</v>
      </c>
      <c r="Q10" s="34"/>
      <c r="R10" s="40" t="s">
        <v>40</v>
      </c>
      <c r="S10" s="34"/>
      <c r="T10" s="45" t="s">
        <v>238</v>
      </c>
      <c r="U10" s="34"/>
      <c r="V10" s="48" t="s">
        <v>58</v>
      </c>
      <c r="W10" s="10"/>
      <c r="X10" s="42" t="s">
        <v>127</v>
      </c>
      <c r="Y10" s="10"/>
      <c r="Z10" s="40" t="s">
        <v>258</v>
      </c>
    </row>
    <row r="11" spans="1:26" ht="15.6" x14ac:dyDescent="0.3">
      <c r="A11" s="9"/>
      <c r="B11" s="58"/>
      <c r="C11" s="9"/>
      <c r="D11" s="9"/>
      <c r="E11" s="9"/>
      <c r="F11" s="6"/>
      <c r="G11" s="9"/>
      <c r="H11" s="9"/>
      <c r="I11" s="9"/>
      <c r="J11" s="46"/>
      <c r="K11" s="9"/>
      <c r="L11" s="9"/>
      <c r="M11" s="9"/>
      <c r="N11" s="6"/>
      <c r="P11" s="9"/>
      <c r="Q11" s="9"/>
      <c r="R11" s="6"/>
      <c r="S11" s="9"/>
      <c r="T11" s="9"/>
      <c r="U11" s="9"/>
      <c r="V11" s="46"/>
      <c r="W11" s="9"/>
      <c r="X11" s="9"/>
      <c r="Y11" s="9"/>
      <c r="Z11" s="6"/>
    </row>
    <row r="12" spans="1:26" s="23" customFormat="1" x14ac:dyDescent="0.3">
      <c r="A12" s="10"/>
      <c r="B12" s="25" t="s">
        <v>140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3">
      <c r="A13" s="9"/>
      <c r="B13" s="10"/>
      <c r="C13" s="9"/>
      <c r="D13" s="2"/>
      <c r="E13" s="2"/>
      <c r="F13" s="6"/>
      <c r="G13" s="2"/>
      <c r="H13" s="2"/>
      <c r="I13" s="2"/>
      <c r="J13" s="6"/>
      <c r="K13" s="2"/>
      <c r="L13" s="2"/>
      <c r="M13" s="2"/>
      <c r="N13" s="6"/>
      <c r="P13" s="2"/>
      <c r="Q13" s="2"/>
      <c r="R13" s="6"/>
      <c r="S13" s="2"/>
      <c r="T13" s="2"/>
      <c r="U13" s="2"/>
      <c r="V13" s="6"/>
      <c r="W13" s="2"/>
      <c r="X13" s="2"/>
      <c r="Y13" s="2"/>
      <c r="Z13" s="6"/>
    </row>
    <row r="14" spans="1:26" s="23" customFormat="1" x14ac:dyDescent="0.3">
      <c r="A14" s="10"/>
      <c r="B14" s="25" t="s">
        <v>257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3">
      <c r="A15" s="9"/>
      <c r="B15" s="10"/>
      <c r="C15" s="10"/>
      <c r="D15" s="2"/>
      <c r="E15" s="2"/>
      <c r="F15" s="6"/>
      <c r="G15" s="2"/>
      <c r="H15" s="2"/>
      <c r="I15" s="2"/>
      <c r="J15" s="6"/>
      <c r="K15" s="2"/>
      <c r="L15" s="2"/>
      <c r="M15" s="2"/>
      <c r="N15" s="6"/>
      <c r="O15" s="10"/>
      <c r="P15" s="2"/>
      <c r="Q15" s="2"/>
      <c r="R15" s="6"/>
      <c r="S15" s="2"/>
      <c r="T15" s="2"/>
      <c r="U15" s="2"/>
      <c r="V15" s="6"/>
      <c r="W15" s="2"/>
      <c r="X15" s="2"/>
      <c r="Y15" s="2"/>
      <c r="Z15" s="6"/>
    </row>
    <row r="16" spans="1:26" s="23" customFormat="1" x14ac:dyDescent="0.3">
      <c r="A16" s="10"/>
      <c r="B16" s="26" t="s">
        <v>108</v>
      </c>
      <c r="C16" s="26"/>
      <c r="D16" s="21">
        <f>D12-D14</f>
        <v>0</v>
      </c>
      <c r="E16" s="13"/>
      <c r="F16" s="22">
        <f>IF(D$12=0,0,D16/D$12)</f>
        <v>0</v>
      </c>
      <c r="G16" s="13"/>
      <c r="H16" s="21">
        <f>H12-H14</f>
        <v>0</v>
      </c>
      <c r="I16" s="13"/>
      <c r="J16" s="22">
        <f>IF(H$12=0,0,H16/H$12)</f>
        <v>0</v>
      </c>
      <c r="K16" s="16"/>
      <c r="L16" s="21">
        <f>+D16-H16</f>
        <v>0</v>
      </c>
      <c r="M16" s="16"/>
      <c r="N16" s="22">
        <f>IF(H16=0,0,L16/H16)</f>
        <v>0</v>
      </c>
      <c r="O16" s="25"/>
      <c r="P16" s="21">
        <f>P12-P14</f>
        <v>0</v>
      </c>
      <c r="Q16" s="13"/>
      <c r="R16" s="22">
        <f>IF(P$12=0,0,P16/P$12)</f>
        <v>0</v>
      </c>
      <c r="S16" s="13"/>
      <c r="T16" s="21">
        <f>T12-T14</f>
        <v>0</v>
      </c>
      <c r="U16" s="13"/>
      <c r="V16" s="22">
        <f>IF(T$12=0,0,T16/T$12)</f>
        <v>0</v>
      </c>
      <c r="W16" s="16"/>
      <c r="X16" s="21">
        <f>+P16-T16</f>
        <v>0</v>
      </c>
      <c r="Y16" s="16"/>
      <c r="Z16" s="22">
        <f>IF(T16=0,0,X16/T16)</f>
        <v>0</v>
      </c>
    </row>
    <row r="17" spans="1:26" x14ac:dyDescent="0.3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3">
      <c r="A18" s="10"/>
      <c r="B18" s="25" t="s">
        <v>295</v>
      </c>
      <c r="C18" s="10"/>
      <c r="D18" s="20">
        <f>SUM(OSRRefD22x_0)</f>
        <v>479.29</v>
      </c>
      <c r="E18" s="20"/>
      <c r="F18" s="32">
        <f t="shared" ref="F18:F22" si="0">IF(D$12=0,0,D18/D$12)</f>
        <v>0</v>
      </c>
      <c r="G18" s="20"/>
      <c r="H18" s="20">
        <f>SUM(OSRRefH22x_0)</f>
        <v>479</v>
      </c>
      <c r="I18" s="20"/>
      <c r="J18" s="32">
        <f t="shared" ref="J18:J22" si="1">IF(H$12=0,0,H18/H$12)</f>
        <v>0</v>
      </c>
      <c r="K18" s="4"/>
      <c r="L18" s="20">
        <f t="shared" ref="L18:L22" si="2">+D18-H18</f>
        <v>0.29000000000002046</v>
      </c>
      <c r="M18" s="4"/>
      <c r="N18" s="32">
        <f t="shared" ref="N18:N22" si="3">IF(H18=0,0,L18/H18)</f>
        <v>6.054279749478506E-4</v>
      </c>
      <c r="O18" s="10"/>
      <c r="P18" s="20">
        <f>SUM(OSRRefP22x_0)</f>
        <v>479.29</v>
      </c>
      <c r="Q18" s="20"/>
      <c r="R18" s="32">
        <f t="shared" ref="R18:R22" si="4">IF(P$12=0,0,P18/P$12)</f>
        <v>0</v>
      </c>
      <c r="S18" s="20"/>
      <c r="T18" s="20">
        <f>SUM(OSRRefT22x_0)</f>
        <v>479</v>
      </c>
      <c r="U18" s="20"/>
      <c r="V18" s="32">
        <f t="shared" ref="V18:V22" si="5">IF(T$12=0,0,T18/T$12)</f>
        <v>0</v>
      </c>
      <c r="W18" s="4"/>
      <c r="X18" s="20">
        <f t="shared" ref="X18:X22" si="6">+P18-T18</f>
        <v>0.29000000000002046</v>
      </c>
      <c r="Y18" s="4"/>
      <c r="Z18" s="32">
        <f t="shared" ref="Z18:Z22" si="7">IF(T18=0,0,X18/T18)</f>
        <v>6.054279749478506E-4</v>
      </c>
    </row>
    <row r="19" spans="1:26" s="27" customFormat="1" outlineLevel="1" collapsed="1" x14ac:dyDescent="0.3">
      <c r="A19" s="28"/>
      <c r="B19" s="14" t="str">
        <f>CONCATENATE("     ","Depreciation                                      ")</f>
        <v xml:space="preserve">     Depreciation                                      </v>
      </c>
      <c r="C19" s="14"/>
      <c r="D19" s="1">
        <f>SUM(OSRRefD22_0x_0)</f>
        <v>479.29</v>
      </c>
      <c r="E19" s="1"/>
      <c r="F19" s="5">
        <f t="shared" si="0"/>
        <v>0</v>
      </c>
      <c r="G19" s="1"/>
      <c r="H19" s="1">
        <f>SUM(OSRRefH22_0x_0)</f>
        <v>479</v>
      </c>
      <c r="I19" s="1"/>
      <c r="J19" s="5">
        <f t="shared" si="1"/>
        <v>0</v>
      </c>
      <c r="K19" s="1"/>
      <c r="L19" s="1">
        <f t="shared" si="2"/>
        <v>0.29000000000002046</v>
      </c>
      <c r="M19" s="1"/>
      <c r="N19" s="5">
        <f t="shared" si="3"/>
        <v>6.054279749478506E-4</v>
      </c>
      <c r="O19" s="14"/>
      <c r="P19" s="1">
        <f>SUM(OSRRefP22_0x_0)</f>
        <v>479.29</v>
      </c>
      <c r="Q19" s="1"/>
      <c r="R19" s="5">
        <f t="shared" si="4"/>
        <v>0</v>
      </c>
      <c r="S19" s="1"/>
      <c r="T19" s="1">
        <f>SUM(OSRRefT22_0x_0)</f>
        <v>479</v>
      </c>
      <c r="U19" s="1"/>
      <c r="V19" s="5">
        <f t="shared" si="5"/>
        <v>0</v>
      </c>
      <c r="W19" s="1"/>
      <c r="X19" s="1">
        <f t="shared" si="6"/>
        <v>0.29000000000002046</v>
      </c>
      <c r="Y19" s="1"/>
      <c r="Z19" s="5">
        <f t="shared" si="7"/>
        <v>6.054279749478506E-4</v>
      </c>
    </row>
    <row r="20" spans="1:26" s="24" customFormat="1" hidden="1" outlineLevel="2" x14ac:dyDescent="0.3">
      <c r="A20" s="29"/>
      <c r="B20" s="11" t="str">
        <f>CONCATENATE("          ", "6322", " - ", "EQUIPMENT DEPRECIATION EXPENSE")</f>
        <v xml:space="preserve">          6322 - EQUIPMENT DEPRECIATION EXPENSE</v>
      </c>
      <c r="C20" s="11"/>
      <c r="D20" s="8">
        <v>479.29</v>
      </c>
      <c r="E20" s="3"/>
      <c r="F20" s="7">
        <f t="shared" si="0"/>
        <v>0</v>
      </c>
      <c r="G20" s="3"/>
      <c r="H20" s="8">
        <v>479</v>
      </c>
      <c r="I20" s="3"/>
      <c r="J20" s="7">
        <f t="shared" si="1"/>
        <v>0</v>
      </c>
      <c r="K20" s="3"/>
      <c r="L20" s="8">
        <f t="shared" si="2"/>
        <v>0.29000000000002046</v>
      </c>
      <c r="M20" s="3"/>
      <c r="N20" s="7">
        <f t="shared" si="3"/>
        <v>6.054279749478506E-4</v>
      </c>
      <c r="O20" s="11"/>
      <c r="P20" s="8">
        <v>479.29</v>
      </c>
      <c r="Q20" s="3"/>
      <c r="R20" s="7">
        <f t="shared" si="4"/>
        <v>0</v>
      </c>
      <c r="S20" s="3"/>
      <c r="T20" s="8">
        <v>479</v>
      </c>
      <c r="U20" s="3"/>
      <c r="V20" s="7">
        <f t="shared" si="5"/>
        <v>0</v>
      </c>
      <c r="W20" s="3"/>
      <c r="X20" s="8">
        <f t="shared" si="6"/>
        <v>0.29000000000002046</v>
      </c>
      <c r="Y20" s="3"/>
      <c r="Z20" s="7">
        <f t="shared" si="7"/>
        <v>6.054279749478506E-4</v>
      </c>
    </row>
    <row r="21" spans="1:26" s="27" customFormat="1" outlineLevel="1" collapsed="1" x14ac:dyDescent="0.3">
      <c r="A21" s="28"/>
      <c r="B21" s="14" t="str">
        <f>CONCATENATE("     ","Services                                          ")</f>
        <v xml:space="preserve">     Services                                          </v>
      </c>
      <c r="C21" s="14"/>
      <c r="D21" s="1">
        <f>SUM(OSRRefD22_1x_0)</f>
        <v>0</v>
      </c>
      <c r="E21" s="1"/>
      <c r="F21" s="5">
        <f t="shared" si="0"/>
        <v>0</v>
      </c>
      <c r="G21" s="1"/>
      <c r="H21" s="1">
        <f>SUM(OSRRefH22_1x_0)</f>
        <v>0</v>
      </c>
      <c r="I21" s="1"/>
      <c r="J21" s="5">
        <f t="shared" si="1"/>
        <v>0</v>
      </c>
      <c r="K21" s="1"/>
      <c r="L21" s="1">
        <f t="shared" si="2"/>
        <v>0</v>
      </c>
      <c r="M21" s="1"/>
      <c r="N21" s="5">
        <f t="shared" si="3"/>
        <v>0</v>
      </c>
      <c r="O21" s="14"/>
      <c r="P21" s="1">
        <f>SUM(OSRRefP22_1x_0)</f>
        <v>0</v>
      </c>
      <c r="Q21" s="1"/>
      <c r="R21" s="5">
        <f t="shared" si="4"/>
        <v>0</v>
      </c>
      <c r="S21" s="1"/>
      <c r="T21" s="1">
        <f>SUM(OSRRefT22_1x_0)</f>
        <v>0</v>
      </c>
      <c r="U21" s="1"/>
      <c r="V21" s="5">
        <f t="shared" si="5"/>
        <v>0</v>
      </c>
      <c r="W21" s="1"/>
      <c r="X21" s="1">
        <f t="shared" si="6"/>
        <v>0</v>
      </c>
      <c r="Y21" s="1"/>
      <c r="Z21" s="5">
        <f t="shared" si="7"/>
        <v>0</v>
      </c>
    </row>
    <row r="22" spans="1:26" s="24" customFormat="1" hidden="1" outlineLevel="2" x14ac:dyDescent="0.3">
      <c r="A22" s="29"/>
      <c r="B22" s="11" t="str">
        <f>CONCATENATE("          ", "6284", " - ", "TRASH REMOVAL EXPENSE")</f>
        <v xml:space="preserve">          6284 - TRASH REMOVAL EXPENSE</v>
      </c>
      <c r="C22" s="11"/>
      <c r="D22" s="8"/>
      <c r="E22" s="3"/>
      <c r="F22" s="7">
        <f t="shared" si="0"/>
        <v>0</v>
      </c>
      <c r="G22" s="3"/>
      <c r="H22" s="8">
        <v>0</v>
      </c>
      <c r="I22" s="3"/>
      <c r="J22" s="7">
        <f t="shared" si="1"/>
        <v>0</v>
      </c>
      <c r="K22" s="3"/>
      <c r="L22" s="8">
        <f t="shared" si="2"/>
        <v>0</v>
      </c>
      <c r="M22" s="3"/>
      <c r="N22" s="7">
        <f t="shared" si="3"/>
        <v>0</v>
      </c>
      <c r="O22" s="11"/>
      <c r="P22" s="8"/>
      <c r="Q22" s="3"/>
      <c r="R22" s="7">
        <f t="shared" si="4"/>
        <v>0</v>
      </c>
      <c r="S22" s="3"/>
      <c r="T22" s="8">
        <v>0</v>
      </c>
      <c r="U22" s="3"/>
      <c r="V22" s="7">
        <f t="shared" si="5"/>
        <v>0</v>
      </c>
      <c r="W22" s="3"/>
      <c r="X22" s="8">
        <f t="shared" si="6"/>
        <v>0</v>
      </c>
      <c r="Y22" s="3"/>
      <c r="Z22" s="7">
        <f t="shared" si="7"/>
        <v>0</v>
      </c>
    </row>
    <row r="23" spans="1:26" s="62" customFormat="1" x14ac:dyDescent="0.3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x14ac:dyDescent="0.3">
      <c r="A24" s="10"/>
      <c r="B24" s="25" t="s">
        <v>293</v>
      </c>
      <c r="C24" s="10"/>
      <c r="D24" s="4">
        <f>SUM(0)</f>
        <v>0</v>
      </c>
      <c r="E24" s="4"/>
      <c r="F24" s="12">
        <f>IF(D$12=0,0,D24/D$12)</f>
        <v>0</v>
      </c>
      <c r="G24" s="4"/>
      <c r="H24" s="4">
        <f>SUM(0)</f>
        <v>0</v>
      </c>
      <c r="I24" s="4"/>
      <c r="J24" s="12">
        <f>IF(H$12=0,0,H24/H$12)</f>
        <v>0</v>
      </c>
      <c r="K24" s="4"/>
      <c r="L24" s="4">
        <f>+D24-H24</f>
        <v>0</v>
      </c>
      <c r="M24" s="4"/>
      <c r="N24" s="12">
        <f>IF(H24=0,0,L24/H24)</f>
        <v>0</v>
      </c>
      <c r="O24" s="10"/>
      <c r="P24" s="4">
        <f>SUM(0)</f>
        <v>0</v>
      </c>
      <c r="Q24" s="4"/>
      <c r="R24" s="12">
        <f>IF(P$12=0,0,P24/P$12)</f>
        <v>0</v>
      </c>
      <c r="S24" s="4"/>
      <c r="T24" s="4">
        <f>SUM(0)</f>
        <v>0</v>
      </c>
      <c r="U24" s="4"/>
      <c r="V24" s="12">
        <f>IF(T$12=0,0,T24/T$12)</f>
        <v>0</v>
      </c>
      <c r="W24" s="4"/>
      <c r="X24" s="4">
        <f>+P24-T24</f>
        <v>0</v>
      </c>
      <c r="Y24" s="4"/>
      <c r="Z24" s="12">
        <f>IF(T24=0,0,X24/T24)</f>
        <v>0</v>
      </c>
    </row>
    <row r="25" spans="1:26" x14ac:dyDescent="0.3">
      <c r="A25" s="9"/>
      <c r="B25" s="10"/>
      <c r="C25" s="10"/>
      <c r="D25" s="2"/>
      <c r="E25" s="2"/>
      <c r="F25" s="6"/>
      <c r="G25" s="2"/>
      <c r="H25" s="2"/>
      <c r="I25" s="2"/>
      <c r="J25" s="6"/>
      <c r="K25" s="2"/>
      <c r="L25" s="2"/>
      <c r="M25" s="2"/>
      <c r="N25" s="6"/>
      <c r="O25" s="10"/>
      <c r="P25" s="2"/>
      <c r="Q25" s="2"/>
      <c r="R25" s="6"/>
      <c r="S25" s="2"/>
      <c r="T25" s="2"/>
      <c r="U25" s="2"/>
      <c r="V25" s="6"/>
      <c r="W25" s="2"/>
      <c r="X25" s="2"/>
      <c r="Y25" s="2"/>
      <c r="Z25" s="6"/>
    </row>
    <row r="26" spans="1:26" s="23" customFormat="1" x14ac:dyDescent="0.3">
      <c r="A26" s="10"/>
      <c r="B26" s="26" t="s">
        <v>277</v>
      </c>
      <c r="C26" s="26"/>
      <c r="D26" s="21">
        <f>+D16-D18+D24</f>
        <v>-479.29</v>
      </c>
      <c r="E26" s="13"/>
      <c r="F26" s="22">
        <f>IF(D$12=0,0,D26/D$12)</f>
        <v>0</v>
      </c>
      <c r="G26" s="13"/>
      <c r="H26" s="21">
        <f>+H16-H18+H24</f>
        <v>-479</v>
      </c>
      <c r="I26" s="13"/>
      <c r="J26" s="22">
        <f>IF(H$12=0,0,H26/H$12)</f>
        <v>0</v>
      </c>
      <c r="K26" s="16"/>
      <c r="L26" s="21">
        <f>+D26-H26</f>
        <v>-0.29000000000002046</v>
      </c>
      <c r="M26" s="16"/>
      <c r="N26" s="22">
        <f>IF(H26=0,0,L26/H26)</f>
        <v>6.054279749478506E-4</v>
      </c>
      <c r="O26" s="25"/>
      <c r="P26" s="21">
        <f>+P16-P18+P24</f>
        <v>-479.29</v>
      </c>
      <c r="Q26" s="13"/>
      <c r="R26" s="22">
        <f>IF(P$12=0,0,P26/P$12)</f>
        <v>0</v>
      </c>
      <c r="S26" s="13"/>
      <c r="T26" s="21">
        <f>+T16-T18+T24</f>
        <v>-479</v>
      </c>
      <c r="U26" s="13"/>
      <c r="V26" s="22">
        <f>IF(T$12=0,0,T26/T$12)</f>
        <v>0</v>
      </c>
      <c r="W26" s="16"/>
      <c r="X26" s="21">
        <f>+P26-T26</f>
        <v>-0.29000000000002046</v>
      </c>
      <c r="Y26" s="16"/>
      <c r="Z26" s="22">
        <f>IF(T26=0,0,X26/T26)</f>
        <v>6.054279749478506E-4</v>
      </c>
    </row>
    <row r="27" spans="1:26" x14ac:dyDescent="0.3">
      <c r="A27" s="9"/>
      <c r="B27" s="10"/>
      <c r="C27" s="9"/>
      <c r="D27" s="2"/>
      <c r="E27" s="2"/>
      <c r="F27" s="6"/>
      <c r="G27" s="2"/>
      <c r="H27" s="2"/>
      <c r="I27" s="2"/>
      <c r="J27" s="6"/>
      <c r="K27" s="2"/>
      <c r="L27" s="2"/>
      <c r="M27" s="2"/>
      <c r="N27" s="6"/>
      <c r="P27" s="2"/>
      <c r="Q27" s="2"/>
      <c r="R27" s="6"/>
      <c r="S27" s="2"/>
      <c r="T27" s="2"/>
      <c r="U27" s="2"/>
      <c r="V27" s="6"/>
      <c r="W27" s="2"/>
      <c r="X27" s="2"/>
      <c r="Y27" s="2"/>
      <c r="Z27" s="6"/>
    </row>
    <row r="28" spans="1:26" s="23" customFormat="1" x14ac:dyDescent="0.3">
      <c r="A28" s="52"/>
      <c r="B28" s="10" t="s">
        <v>128</v>
      </c>
      <c r="C28" s="10"/>
      <c r="D28" s="4"/>
      <c r="E28" s="4"/>
      <c r="F28" s="12">
        <f>IF(D$12=0,0,D28/D$12)</f>
        <v>0</v>
      </c>
      <c r="G28" s="4"/>
      <c r="H28" s="4"/>
      <c r="I28" s="4"/>
      <c r="J28" s="12">
        <f>IF(H$12=0,0,H28/H$12)</f>
        <v>0</v>
      </c>
      <c r="K28" s="4"/>
      <c r="L28" s="4">
        <f>+D28-H28</f>
        <v>0</v>
      </c>
      <c r="M28" s="4"/>
      <c r="N28" s="12">
        <f>IF(H28=0,0,L28/H28)</f>
        <v>0</v>
      </c>
      <c r="O28" s="10"/>
      <c r="P28" s="4"/>
      <c r="Q28" s="4"/>
      <c r="R28" s="12">
        <f>IF(P$12=0,0,P28/P$12)</f>
        <v>0</v>
      </c>
      <c r="S28" s="4"/>
      <c r="T28" s="4"/>
      <c r="U28" s="4"/>
      <c r="V28" s="12">
        <f>IF(T$12=0,0,T28/T$12)</f>
        <v>0</v>
      </c>
      <c r="W28" s="4"/>
      <c r="X28" s="4">
        <f>+P28-T28</f>
        <v>0</v>
      </c>
      <c r="Y28" s="4"/>
      <c r="Z28" s="12">
        <f>IF(T28=0,0,X28/T28)</f>
        <v>0</v>
      </c>
    </row>
    <row r="29" spans="1:26" x14ac:dyDescent="0.3">
      <c r="A29" s="9"/>
      <c r="B29" s="10"/>
      <c r="C29" s="10"/>
      <c r="D29" s="2"/>
      <c r="E29" s="2"/>
      <c r="F29" s="6"/>
      <c r="G29" s="2"/>
      <c r="H29" s="2"/>
      <c r="I29" s="2"/>
      <c r="J29" s="6"/>
      <c r="K29" s="2"/>
      <c r="L29" s="2"/>
      <c r="M29" s="2"/>
      <c r="N29" s="6"/>
      <c r="O29" s="10"/>
      <c r="P29" s="2"/>
      <c r="Q29" s="2"/>
      <c r="R29" s="6"/>
      <c r="S29" s="2"/>
      <c r="T29" s="2"/>
      <c r="U29" s="2"/>
      <c r="V29" s="6"/>
      <c r="W29" s="2"/>
      <c r="X29" s="2"/>
      <c r="Y29" s="2"/>
      <c r="Z29" s="6"/>
    </row>
    <row r="30" spans="1:26" s="23" customFormat="1" ht="15" thickBot="1" x14ac:dyDescent="0.35">
      <c r="A30" s="10"/>
      <c r="B30" s="26" t="s">
        <v>126</v>
      </c>
      <c r="C30" s="26"/>
      <c r="D30" s="35">
        <f>+D26-D28</f>
        <v>-479.29</v>
      </c>
      <c r="E30" s="13"/>
      <c r="F30" s="30">
        <f>IF(D$12=0,0,D30/D$12)</f>
        <v>0</v>
      </c>
      <c r="G30" s="13"/>
      <c r="H30" s="35">
        <f>+H26-H28</f>
        <v>-479</v>
      </c>
      <c r="I30" s="13"/>
      <c r="J30" s="30">
        <f>IF(H$12=0,0,H30/H$12)</f>
        <v>0</v>
      </c>
      <c r="K30" s="16"/>
      <c r="L30" s="35">
        <f>D30-H30</f>
        <v>-0.29000000000002046</v>
      </c>
      <c r="M30" s="16"/>
      <c r="N30" s="30">
        <f>IF(H30=0,0,L30/H30)</f>
        <v>6.054279749478506E-4</v>
      </c>
      <c r="O30" s="25"/>
      <c r="P30" s="35">
        <f>+P26-P28</f>
        <v>-479.29</v>
      </c>
      <c r="Q30" s="13"/>
      <c r="R30" s="30">
        <f>IF(P$12=0,0,P30/P$12)</f>
        <v>0</v>
      </c>
      <c r="S30" s="13"/>
      <c r="T30" s="35">
        <f>+T26-T28</f>
        <v>-479</v>
      </c>
      <c r="U30" s="13"/>
      <c r="V30" s="30">
        <f>IF(T$12=0,0,T30/T$12)</f>
        <v>0</v>
      </c>
      <c r="W30" s="16"/>
      <c r="X30" s="35">
        <f>P30-T30</f>
        <v>-0.29000000000002046</v>
      </c>
      <c r="Y30" s="16"/>
      <c r="Z30" s="30">
        <f>IF(T30=0,0,X30/T30)</f>
        <v>6.054279749478506E-4</v>
      </c>
    </row>
    <row r="31" spans="1:26" ht="15" thickTop="1" x14ac:dyDescent="0.3">
      <c r="A31" s="9"/>
      <c r="B31" s="9"/>
      <c r="C31" s="9"/>
      <c r="D31" s="2"/>
      <c r="E31" s="2"/>
      <c r="F31" s="6"/>
      <c r="G31" s="2"/>
      <c r="H31" s="2"/>
      <c r="I31" s="2"/>
      <c r="J31" s="6"/>
      <c r="K31" s="2"/>
      <c r="L31" s="2"/>
      <c r="M31" s="2"/>
      <c r="N31" s="6"/>
      <c r="P31" s="2"/>
      <c r="Q31" s="2"/>
      <c r="R31" s="6"/>
      <c r="S31" s="2"/>
      <c r="T31" s="2"/>
      <c r="U31" s="2"/>
      <c r="V31" s="6"/>
      <c r="W31" s="2"/>
      <c r="X31" s="2"/>
      <c r="Y31" s="2"/>
      <c r="Z31" s="6"/>
    </row>
    <row r="32" spans="1:26" x14ac:dyDescent="0.3">
      <c r="A32" s="9"/>
      <c r="B32" s="9"/>
      <c r="C32" s="9"/>
      <c r="D32" s="2"/>
      <c r="E32" s="2"/>
      <c r="F32" s="6"/>
      <c r="G32" s="2"/>
      <c r="H32" s="2"/>
      <c r="I32" s="2"/>
      <c r="J32" s="6"/>
      <c r="K32" s="2"/>
      <c r="L32" s="2"/>
      <c r="M32" s="2"/>
      <c r="N32" s="6"/>
      <c r="P32" s="2"/>
      <c r="Q32" s="2"/>
      <c r="R32" s="6"/>
      <c r="S32" s="2"/>
      <c r="T32" s="2"/>
      <c r="U32" s="2"/>
      <c r="V32" s="6"/>
      <c r="W32" s="2"/>
      <c r="X32" s="2"/>
      <c r="Y32" s="2"/>
      <c r="Z32" s="6"/>
    </row>
    <row r="33" spans="1:26" s="23" customFormat="1" ht="15" thickBot="1" x14ac:dyDescent="0.35">
      <c r="A33" s="10"/>
      <c r="B33" s="26" t="s">
        <v>294</v>
      </c>
      <c r="C33" s="26"/>
      <c r="D33" s="33">
        <f>SUM(D30:D32)</f>
        <v>-479.29</v>
      </c>
      <c r="E33" s="13"/>
      <c r="F33" s="31">
        <f>IF(D$12=0,0,D33/D$12)</f>
        <v>0</v>
      </c>
      <c r="G33" s="13"/>
      <c r="H33" s="33">
        <f>SUM(H30:H32)</f>
        <v>-479</v>
      </c>
      <c r="I33" s="13"/>
      <c r="J33" s="31">
        <f>IF(H$12=0,0,H33/H$12)</f>
        <v>0</v>
      </c>
      <c r="K33" s="16"/>
      <c r="L33" s="33">
        <f>+D33-H33</f>
        <v>-0.29000000000002046</v>
      </c>
      <c r="M33" s="16"/>
      <c r="N33" s="31">
        <f>IF(H33=0,0,L33/H33)</f>
        <v>6.054279749478506E-4</v>
      </c>
      <c r="O33" s="25"/>
      <c r="P33" s="33">
        <f>SUM(P30:P32)</f>
        <v>-479.29</v>
      </c>
      <c r="Q33" s="13"/>
      <c r="R33" s="31">
        <f>IF(P$12=0,0,P33/P$12)</f>
        <v>0</v>
      </c>
      <c r="S33" s="13"/>
      <c r="T33" s="33">
        <f>SUM(T30:T32)</f>
        <v>-479</v>
      </c>
      <c r="U33" s="13"/>
      <c r="V33" s="31">
        <f>IF(T$12=0,0,T33/T$12)</f>
        <v>0</v>
      </c>
      <c r="W33" s="16"/>
      <c r="X33" s="33">
        <f>+P33-T33</f>
        <v>-0.29000000000002046</v>
      </c>
      <c r="Y33" s="16"/>
      <c r="Z33" s="31">
        <f>IF(T33=0,0,X33/T33)</f>
        <v>6.054279749478506E-4</v>
      </c>
    </row>
    <row r="34" spans="1:26" ht="15" thickTop="1" x14ac:dyDescent="0.3">
      <c r="A34" s="9"/>
      <c r="C34" s="9"/>
      <c r="D34" s="18"/>
      <c r="E34" s="18"/>
      <c r="G34" s="18"/>
      <c r="H34" s="18"/>
      <c r="I34" s="18"/>
      <c r="J34" s="43"/>
      <c r="K34" s="18"/>
      <c r="L34" s="18"/>
      <c r="M34" s="18"/>
      <c r="P34" s="18"/>
      <c r="Q34" s="18"/>
      <c r="R34" s="43"/>
      <c r="S34" s="18"/>
      <c r="T34" s="18"/>
      <c r="U34" s="18"/>
      <c r="V34" s="43"/>
      <c r="W34" s="18"/>
      <c r="X34" s="18"/>
    </row>
    <row r="35" spans="1:26" x14ac:dyDescent="0.3">
      <c r="A35" s="9"/>
      <c r="B35" s="54">
        <v>44462.64548684028</v>
      </c>
      <c r="D35" s="18"/>
      <c r="E35" s="18"/>
      <c r="G35" s="18"/>
      <c r="H35" s="18"/>
      <c r="I35" s="18"/>
      <c r="J35" s="43"/>
      <c r="K35" s="18"/>
      <c r="L35" s="18"/>
      <c r="M35" s="18"/>
      <c r="P35" s="18"/>
      <c r="Q35" s="18"/>
      <c r="R35" s="43"/>
      <c r="S35" s="18"/>
      <c r="T35" s="18"/>
      <c r="U35" s="18"/>
      <c r="V35" s="43"/>
      <c r="W35" s="18"/>
      <c r="X35" s="18"/>
    </row>
    <row r="36" spans="1:26" x14ac:dyDescent="0.3">
      <c r="A36" s="9"/>
      <c r="B36" s="59" t="s">
        <v>56</v>
      </c>
      <c r="D36" s="18"/>
      <c r="E36" s="18"/>
      <c r="G36" s="18"/>
      <c r="H36" s="18"/>
      <c r="I36" s="18"/>
      <c r="J36" s="43"/>
      <c r="K36" s="18"/>
      <c r="L36" s="18"/>
      <c r="M36" s="18"/>
      <c r="P36" s="18"/>
      <c r="Q36" s="18"/>
      <c r="R36" s="43"/>
      <c r="S36" s="18"/>
      <c r="T36" s="18"/>
      <c r="U36" s="18"/>
      <c r="V36" s="43"/>
      <c r="W36" s="18"/>
      <c r="X36" s="18"/>
    </row>
    <row r="37" spans="1:26" x14ac:dyDescent="0.3">
      <c r="A37" s="9"/>
      <c r="B37" s="55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3"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</sheetData>
  <pageMargins left="0.25" right="0.25" top="0.75" bottom="0.75" header="0.3" footer="0.3"/>
  <pageSetup scale="55" fitToWidth="2" orientation="landscape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50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7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50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7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7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7" customWidth="1" outlineLevel="1"/>
  </cols>
  <sheetData>
    <row r="2" spans="1:26" x14ac:dyDescent="0.3">
      <c r="D2" s="57" t="s">
        <v>23</v>
      </c>
    </row>
    <row r="3" spans="1:26" x14ac:dyDescent="0.3">
      <c r="D3" s="57" t="s">
        <v>237</v>
      </c>
      <c r="E3" s="17"/>
      <c r="F3" s="51"/>
      <c r="G3" s="17"/>
      <c r="H3" s="17"/>
      <c r="I3" s="17"/>
      <c r="J3" s="39"/>
      <c r="K3" s="17"/>
      <c r="L3" s="17"/>
      <c r="M3" s="17"/>
      <c r="N3" s="51"/>
      <c r="O3" s="61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3">
      <c r="D4" s="57" t="e">
        <f ca="1">CONCATENATE("Period ",RIGHT(_xll.OneStop.ReportPlayer.OSRFunctions.OSRGet("Period","PeriodId"),2),", ",_xll.OneStop.ReportPlayer.OSRFunctions.OSRGet("Period","Year"))</f>
        <v>#NAME?</v>
      </c>
      <c r="E4" s="17"/>
      <c r="F4" s="51"/>
      <c r="G4" s="17"/>
      <c r="H4" s="17"/>
      <c r="I4" s="17"/>
      <c r="J4" s="39"/>
      <c r="K4" s="17"/>
      <c r="L4" s="17"/>
      <c r="M4" s="17"/>
      <c r="N4" s="51"/>
      <c r="O4" s="61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3">
      <c r="A5" s="23"/>
      <c r="D5" s="65" t="e">
        <f ca="1">_xll.OneStop.ReportPlayer.OSRFunctions.OSRGet("Period","PeriodEnd")</f>
        <v>#NAME?</v>
      </c>
      <c r="E5" s="17"/>
      <c r="F5" s="51"/>
      <c r="G5" s="17"/>
      <c r="H5" s="17"/>
      <c r="I5" s="17"/>
      <c r="J5" s="39"/>
      <c r="K5" s="17"/>
      <c r="L5" s="17"/>
      <c r="M5" s="17"/>
      <c r="N5" s="51"/>
      <c r="O5" s="61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3">
      <c r="A6" s="23"/>
      <c r="B6" s="47"/>
      <c r="C6" s="47"/>
      <c r="D6" s="23" t="s">
        <v>139</v>
      </c>
      <c r="E6" s="17"/>
      <c r="F6" s="51"/>
      <c r="G6" s="17"/>
      <c r="H6" s="17"/>
      <c r="I6" s="17"/>
      <c r="J6" s="39"/>
      <c r="K6" s="17"/>
      <c r="L6" s="17"/>
      <c r="M6" s="17"/>
      <c r="N6" s="51"/>
      <c r="O6" s="60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3">
      <c r="B7" s="63"/>
    </row>
    <row r="8" spans="1:26" x14ac:dyDescent="0.3">
      <c r="B8" s="63"/>
    </row>
    <row r="9" spans="1:26" x14ac:dyDescent="0.3">
      <c r="B9" s="9"/>
      <c r="C9" s="9"/>
      <c r="D9" s="15" t="s">
        <v>292</v>
      </c>
      <c r="E9" s="15"/>
      <c r="F9" s="38"/>
      <c r="G9" s="15"/>
      <c r="H9" s="15"/>
      <c r="I9" s="15"/>
      <c r="J9" s="49"/>
      <c r="K9" s="15"/>
      <c r="L9" s="15"/>
      <c r="M9" s="15"/>
      <c r="N9" s="38"/>
      <c r="P9" s="15" t="s">
        <v>39</v>
      </c>
      <c r="Q9" s="15"/>
      <c r="R9" s="38"/>
      <c r="S9" s="15"/>
      <c r="T9" s="15"/>
      <c r="U9" s="15"/>
      <c r="V9" s="49"/>
      <c r="W9" s="15"/>
      <c r="X9" s="15"/>
      <c r="Y9" s="15"/>
      <c r="Z9" s="38"/>
    </row>
    <row r="10" spans="1:26" x14ac:dyDescent="0.3">
      <c r="A10" s="10"/>
      <c r="B10" s="53"/>
      <c r="C10" s="10"/>
      <c r="D10" s="42" t="s">
        <v>57</v>
      </c>
      <c r="E10" s="34"/>
      <c r="F10" s="40" t="s">
        <v>40</v>
      </c>
      <c r="G10" s="34"/>
      <c r="H10" s="45" t="s">
        <v>238</v>
      </c>
      <c r="I10" s="34"/>
      <c r="J10" s="48" t="s">
        <v>58</v>
      </c>
      <c r="K10" s="10"/>
      <c r="L10" s="42" t="s">
        <v>127</v>
      </c>
      <c r="M10" s="10"/>
      <c r="N10" s="40" t="s">
        <v>258</v>
      </c>
      <c r="O10" s="10"/>
      <c r="P10" s="56" t="s">
        <v>57</v>
      </c>
      <c r="Q10" s="34"/>
      <c r="R10" s="40" t="s">
        <v>40</v>
      </c>
      <c r="S10" s="34"/>
      <c r="T10" s="45" t="s">
        <v>238</v>
      </c>
      <c r="U10" s="34"/>
      <c r="V10" s="48" t="s">
        <v>58</v>
      </c>
      <c r="W10" s="10"/>
      <c r="X10" s="42" t="s">
        <v>127</v>
      </c>
      <c r="Y10" s="10"/>
      <c r="Z10" s="40" t="s">
        <v>258</v>
      </c>
    </row>
    <row r="11" spans="1:26" ht="15.6" x14ac:dyDescent="0.3">
      <c r="A11" s="9"/>
      <c r="B11" s="58"/>
      <c r="C11" s="9"/>
      <c r="D11" s="9"/>
      <c r="E11" s="9"/>
      <c r="F11" s="6"/>
      <c r="G11" s="9"/>
      <c r="H11" s="9"/>
      <c r="I11" s="9"/>
      <c r="J11" s="46"/>
      <c r="K11" s="9"/>
      <c r="L11" s="9"/>
      <c r="M11" s="9"/>
      <c r="N11" s="6"/>
      <c r="P11" s="9"/>
      <c r="Q11" s="9"/>
      <c r="R11" s="6"/>
      <c r="S11" s="9"/>
      <c r="T11" s="9"/>
      <c r="U11" s="9"/>
      <c r="V11" s="46"/>
      <c r="W11" s="9"/>
      <c r="X11" s="9"/>
      <c r="Y11" s="9"/>
      <c r="Z11" s="6"/>
    </row>
    <row r="12" spans="1:26" s="23" customFormat="1" collapsed="1" x14ac:dyDescent="0.3">
      <c r="A12" s="10"/>
      <c r="B12" s="25" t="s">
        <v>140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3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3" t="e">
        <f ca="1">-_xll.OneStop.ReportPlayer.OSRFunctions.OSRGet("GL_F_Trans","Value1")</f>
        <v>#NAME?</v>
      </c>
      <c r="E13" s="3"/>
      <c r="F13" s="19"/>
      <c r="G13" s="3"/>
      <c r="H13" s="3" t="e">
        <f ca="1">_xll.OneStop.ReportPlayer.OSRFunctions.OSRGet("GL_F_Trans","Value1")</f>
        <v>#NAME?</v>
      </c>
      <c r="I13" s="3"/>
      <c r="J13" s="19"/>
      <c r="K13" s="3"/>
      <c r="L13" s="3" t="e">
        <f t="shared" ca="1" si="0"/>
        <v>#NAME?</v>
      </c>
      <c r="M13" s="3"/>
      <c r="N13" s="19" t="e">
        <f t="shared" ca="1" si="1"/>
        <v>#NAME?</v>
      </c>
      <c r="O13" s="11"/>
      <c r="P13" s="3" t="e">
        <f ca="1">-_xll.OneStop.ReportPlayer.OSRFunctions.OSRGet("GL_F_Trans","Value1")</f>
        <v>#NAME?</v>
      </c>
      <c r="Q13" s="3"/>
      <c r="R13" s="19"/>
      <c r="S13" s="3"/>
      <c r="T13" s="3" t="e">
        <f ca="1">_xll.OneStop.ReportPlayer.OSRFunctions.OSRGet("GL_F_Trans","Value1")</f>
        <v>#NAME?</v>
      </c>
      <c r="U13" s="3"/>
      <c r="V13" s="19"/>
      <c r="W13" s="3"/>
      <c r="X13" s="3" t="e">
        <f t="shared" ca="1" si="2"/>
        <v>#NAME?</v>
      </c>
      <c r="Y13" s="3"/>
      <c r="Z13" s="19" t="e">
        <f t="shared" ca="1" si="3"/>
        <v>#NAME?</v>
      </c>
    </row>
    <row r="14" spans="1:26" x14ac:dyDescent="0.3">
      <c r="A14" s="9"/>
      <c r="B14" s="10"/>
      <c r="C14" s="9"/>
      <c r="D14" s="2"/>
      <c r="E14" s="2"/>
      <c r="F14" s="6"/>
      <c r="G14" s="2"/>
      <c r="H14" s="2"/>
      <c r="I14" s="2"/>
      <c r="J14" s="6"/>
      <c r="K14" s="2"/>
      <c r="L14" s="2"/>
      <c r="M14" s="2"/>
      <c r="N14" s="6"/>
      <c r="P14" s="2"/>
      <c r="Q14" s="2"/>
      <c r="R14" s="6"/>
      <c r="S14" s="2"/>
      <c r="T14" s="2"/>
      <c r="U14" s="2"/>
      <c r="V14" s="6"/>
      <c r="W14" s="2"/>
      <c r="X14" s="2"/>
      <c r="Y14" s="2"/>
      <c r="Z14" s="6"/>
    </row>
    <row r="15" spans="1:26" s="23" customFormat="1" collapsed="1" x14ac:dyDescent="0.3">
      <c r="A15" s="10"/>
      <c r="B15" s="25" t="s">
        <v>257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3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3" t="e">
        <f ca="1">_xll.OneStop.ReportPlayer.OSRFunctions.OSRGet("GL_F_Trans","Value1")</f>
        <v>#NAME?</v>
      </c>
      <c r="E16" s="3"/>
      <c r="F16" s="19" t="e">
        <f t="shared" ca="1" si="4"/>
        <v>#NAME?</v>
      </c>
      <c r="G16" s="3"/>
      <c r="H16" s="3" t="e">
        <f ca="1">_xll.OneStop.ReportPlayer.OSRFunctions.OSRGet("GL_F_Trans","Value1")</f>
        <v>#NAME?</v>
      </c>
      <c r="I16" s="3"/>
      <c r="J16" s="19" t="e">
        <f t="shared" ca="1" si="5"/>
        <v>#NAME?</v>
      </c>
      <c r="K16" s="3"/>
      <c r="L16" s="3" t="e">
        <f t="shared" ca="1" si="6"/>
        <v>#NAME?</v>
      </c>
      <c r="M16" s="3"/>
      <c r="N16" s="19" t="e">
        <f t="shared" ca="1" si="7"/>
        <v>#NAME?</v>
      </c>
      <c r="O16" s="11"/>
      <c r="P16" s="3" t="e">
        <f ca="1">_xll.OneStop.ReportPlayer.OSRFunctions.OSRGet("GL_F_Trans","Value1")</f>
        <v>#NAME?</v>
      </c>
      <c r="Q16" s="3"/>
      <c r="R16" s="19" t="e">
        <f t="shared" ca="1" si="8"/>
        <v>#NAME?</v>
      </c>
      <c r="S16" s="3"/>
      <c r="T16" s="3" t="e">
        <f ca="1">_xll.OneStop.ReportPlayer.OSRFunctions.OSRGet("GL_F_Trans","Value1")</f>
        <v>#NAME?</v>
      </c>
      <c r="U16" s="3"/>
      <c r="V16" s="19" t="e">
        <f t="shared" ca="1" si="9"/>
        <v>#NAME?</v>
      </c>
      <c r="W16" s="3"/>
      <c r="X16" s="3" t="e">
        <f t="shared" ca="1" si="10"/>
        <v>#NAME?</v>
      </c>
      <c r="Y16" s="3"/>
      <c r="Z16" s="19" t="e">
        <f t="shared" ca="1" si="11"/>
        <v>#NAME?</v>
      </c>
    </row>
    <row r="17" spans="1:26" x14ac:dyDescent="0.3">
      <c r="A17" s="9"/>
      <c r="B17" s="10"/>
      <c r="C17" s="10"/>
      <c r="D17" s="2"/>
      <c r="E17" s="2"/>
      <c r="F17" s="6"/>
      <c r="G17" s="2"/>
      <c r="H17" s="2"/>
      <c r="I17" s="2"/>
      <c r="J17" s="6"/>
      <c r="K17" s="2"/>
      <c r="L17" s="2"/>
      <c r="M17" s="2"/>
      <c r="N17" s="6"/>
      <c r="O17" s="10"/>
      <c r="P17" s="2"/>
      <c r="Q17" s="2"/>
      <c r="R17" s="6"/>
      <c r="S17" s="2"/>
      <c r="T17" s="2"/>
      <c r="U17" s="2"/>
      <c r="V17" s="6"/>
      <c r="W17" s="2"/>
      <c r="X17" s="2"/>
      <c r="Y17" s="2"/>
      <c r="Z17" s="6"/>
    </row>
    <row r="18" spans="1:26" s="23" customFormat="1" x14ac:dyDescent="0.3">
      <c r="A18" s="10"/>
      <c r="B18" s="26" t="s">
        <v>108</v>
      </c>
      <c r="C18" s="26"/>
      <c r="D18" s="21" t="e">
        <f ca="1">D12-D15</f>
        <v>#NAME?</v>
      </c>
      <c r="E18" s="13"/>
      <c r="F18" s="22" t="e">
        <f ca="1">IF(D$12=0,0,D18/D$12)</f>
        <v>#NAME?</v>
      </c>
      <c r="G18" s="13"/>
      <c r="H18" s="21" t="e">
        <f ca="1">H12-H15</f>
        <v>#NAME?</v>
      </c>
      <c r="I18" s="13"/>
      <c r="J18" s="22" t="e">
        <f ca="1">IF(H$12=0,0,H18/H$12)</f>
        <v>#NAME?</v>
      </c>
      <c r="K18" s="16"/>
      <c r="L18" s="21" t="e">
        <f ca="1">+D18-H18</f>
        <v>#NAME?</v>
      </c>
      <c r="M18" s="16"/>
      <c r="N18" s="22" t="e">
        <f ca="1">IF(H18=0,0,L18/H18)</f>
        <v>#NAME?</v>
      </c>
      <c r="O18" s="25"/>
      <c r="P18" s="21" t="e">
        <f ca="1">P12-P15</f>
        <v>#NAME?</v>
      </c>
      <c r="Q18" s="13"/>
      <c r="R18" s="22" t="e">
        <f ca="1">IF(P$12=0,0,P18/P$12)</f>
        <v>#NAME?</v>
      </c>
      <c r="S18" s="13"/>
      <c r="T18" s="21" t="e">
        <f ca="1">T12-T15</f>
        <v>#NAME?</v>
      </c>
      <c r="U18" s="13"/>
      <c r="V18" s="22" t="e">
        <f ca="1">IF(T$12=0,0,T18/T$12)</f>
        <v>#NAME?</v>
      </c>
      <c r="W18" s="16"/>
      <c r="X18" s="21" t="e">
        <f ca="1">+P18-T18</f>
        <v>#NAME?</v>
      </c>
      <c r="Y18" s="16"/>
      <c r="Z18" s="22" t="e">
        <f ca="1">IF(T18=0,0,X18/T18)</f>
        <v>#NAME?</v>
      </c>
    </row>
    <row r="19" spans="1:26" x14ac:dyDescent="0.3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">
      <c r="A20" s="10"/>
      <c r="B20" s="25" t="s">
        <v>295</v>
      </c>
      <c r="C20" s="10"/>
      <c r="D20" s="20" t="e">
        <f ca="1">SUM(_xll.OneStop.ReportPlayer.OSRFunctions.OSRRef(D22))</f>
        <v>#NAME?</v>
      </c>
      <c r="E20" s="20"/>
      <c r="F20" s="32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2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2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2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2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2" t="e">
        <f t="shared" ref="Z20:Z22" ca="1" si="19">IF(T20=0,0,X20/T20)</f>
        <v>#NAME?</v>
      </c>
    </row>
    <row r="21" spans="1:26" s="27" customFormat="1" outlineLevel="1" collapsed="1" x14ac:dyDescent="0.3">
      <c r="A21" s="28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3">
      <c r="A22" s="29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8" t="e">
        <f ca="1">_xll.OneStop.ReportPlayer.OSRFunctions.OSRGet("GL_F_Trans","Value1")</f>
        <v>#NAME?</v>
      </c>
      <c r="E22" s="3"/>
      <c r="F22" s="7" t="e">
        <f t="shared" ca="1" si="12"/>
        <v>#NAME?</v>
      </c>
      <c r="G22" s="3"/>
      <c r="H22" s="8" t="e">
        <f ca="1">_xll.OneStop.ReportPlayer.OSRFunctions.OSRGet("GL_F_Trans","Value1")</f>
        <v>#NAME?</v>
      </c>
      <c r="I22" s="3"/>
      <c r="J22" s="7" t="e">
        <f t="shared" ca="1" si="13"/>
        <v>#NAME?</v>
      </c>
      <c r="K22" s="3"/>
      <c r="L22" s="8" t="e">
        <f t="shared" ca="1" si="14"/>
        <v>#NAME?</v>
      </c>
      <c r="M22" s="3"/>
      <c r="N22" s="7" t="e">
        <f t="shared" ca="1" si="15"/>
        <v>#NAME?</v>
      </c>
      <c r="O22" s="11"/>
      <c r="P22" s="8" t="e">
        <f ca="1">_xll.OneStop.ReportPlayer.OSRFunctions.OSRGet("GL_F_Trans","Value1")</f>
        <v>#NAME?</v>
      </c>
      <c r="Q22" s="3"/>
      <c r="R22" s="7" t="e">
        <f t="shared" ca="1" si="16"/>
        <v>#NAME?</v>
      </c>
      <c r="S22" s="3"/>
      <c r="T22" s="8" t="e">
        <f ca="1">_xll.OneStop.ReportPlayer.OSRFunctions.OSRGet("GL_F_Trans","Value1")</f>
        <v>#NAME?</v>
      </c>
      <c r="U22" s="3"/>
      <c r="V22" s="7" t="e">
        <f t="shared" ca="1" si="17"/>
        <v>#NAME?</v>
      </c>
      <c r="W22" s="3"/>
      <c r="X22" s="8" t="e">
        <f t="shared" ca="1" si="18"/>
        <v>#NAME?</v>
      </c>
      <c r="Y22" s="3"/>
      <c r="Z22" s="7" t="e">
        <f t="shared" ca="1" si="19"/>
        <v>#NAME?</v>
      </c>
    </row>
    <row r="23" spans="1:26" s="62" customFormat="1" x14ac:dyDescent="0.3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3">
      <c r="A24" s="10"/>
      <c r="B24" s="25" t="s">
        <v>293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3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3" t="e">
        <f ca="1">-_xll.OneStop.ReportPlayer.OSRFunctions.OSRGet("GL_F_Trans","Value1")</f>
        <v>#NAME?</v>
      </c>
      <c r="E25" s="3"/>
      <c r="F25" s="19" t="e">
        <f t="shared" ca="1" si="20"/>
        <v>#NAME?</v>
      </c>
      <c r="G25" s="3"/>
      <c r="H25" s="3" t="e">
        <f ca="1">_xll.OneStop.ReportPlayer.OSRFunctions.OSRGet("GL_F_Trans","Value1")</f>
        <v>#NAME?</v>
      </c>
      <c r="I25" s="3"/>
      <c r="J25" s="19" t="e">
        <f t="shared" ca="1" si="21"/>
        <v>#NAME?</v>
      </c>
      <c r="K25" s="3"/>
      <c r="L25" s="3" t="e">
        <f t="shared" ca="1" si="22"/>
        <v>#NAME?</v>
      </c>
      <c r="M25" s="3"/>
      <c r="N25" s="19" t="e">
        <f t="shared" ca="1" si="23"/>
        <v>#NAME?</v>
      </c>
      <c r="O25" s="11"/>
      <c r="P25" s="3" t="e">
        <f ca="1">-_xll.OneStop.ReportPlayer.OSRFunctions.OSRGet("GL_F_Trans","Value1")</f>
        <v>#NAME?</v>
      </c>
      <c r="Q25" s="3"/>
      <c r="R25" s="19" t="e">
        <f t="shared" ca="1" si="24"/>
        <v>#NAME?</v>
      </c>
      <c r="S25" s="3"/>
      <c r="T25" s="3" t="e">
        <f ca="1">_xll.OneStop.ReportPlayer.OSRFunctions.OSRGet("GL_F_Trans","Value1")</f>
        <v>#NAME?</v>
      </c>
      <c r="U25" s="3"/>
      <c r="V25" s="19" t="e">
        <f t="shared" ca="1" si="25"/>
        <v>#NAME?</v>
      </c>
      <c r="W25" s="3"/>
      <c r="X25" s="3" t="e">
        <f t="shared" ca="1" si="26"/>
        <v>#NAME?</v>
      </c>
      <c r="Y25" s="3"/>
      <c r="Z25" s="19" t="e">
        <f t="shared" ca="1" si="27"/>
        <v>#NAME?</v>
      </c>
    </row>
    <row r="26" spans="1:26" x14ac:dyDescent="0.3">
      <c r="A26" s="9"/>
      <c r="B26" s="10"/>
      <c r="C26" s="10"/>
      <c r="D26" s="2"/>
      <c r="E26" s="2"/>
      <c r="F26" s="6"/>
      <c r="G26" s="2"/>
      <c r="H26" s="2"/>
      <c r="I26" s="2"/>
      <c r="J26" s="6"/>
      <c r="K26" s="2"/>
      <c r="L26" s="2"/>
      <c r="M26" s="2"/>
      <c r="N26" s="6"/>
      <c r="O26" s="10"/>
      <c r="P26" s="2"/>
      <c r="Q26" s="2"/>
      <c r="R26" s="6"/>
      <c r="S26" s="2"/>
      <c r="T26" s="2"/>
      <c r="U26" s="2"/>
      <c r="V26" s="6"/>
      <c r="W26" s="2"/>
      <c r="X26" s="2"/>
      <c r="Y26" s="2"/>
      <c r="Z26" s="6"/>
    </row>
    <row r="27" spans="1:26" s="23" customFormat="1" x14ac:dyDescent="0.3">
      <c r="A27" s="10"/>
      <c r="B27" s="26" t="s">
        <v>277</v>
      </c>
      <c r="C27" s="26"/>
      <c r="D27" s="21" t="e">
        <f ca="1">+D18-D20+D24</f>
        <v>#NAME?</v>
      </c>
      <c r="E27" s="13"/>
      <c r="F27" s="22" t="e">
        <f ca="1">IF(D$12=0,0,D27/D$12)</f>
        <v>#NAME?</v>
      </c>
      <c r="G27" s="13"/>
      <c r="H27" s="21" t="e">
        <f ca="1">+H18-H20+H24</f>
        <v>#NAME?</v>
      </c>
      <c r="I27" s="13"/>
      <c r="J27" s="22" t="e">
        <f ca="1">IF(H$12=0,0,H27/H$12)</f>
        <v>#NAME?</v>
      </c>
      <c r="K27" s="16"/>
      <c r="L27" s="21" t="e">
        <f ca="1">+D27-H27</f>
        <v>#NAME?</v>
      </c>
      <c r="M27" s="16"/>
      <c r="N27" s="22" t="e">
        <f ca="1">IF(H27=0,0,L27/H27)</f>
        <v>#NAME?</v>
      </c>
      <c r="O27" s="25"/>
      <c r="P27" s="21" t="e">
        <f ca="1">+P18-P20+P24</f>
        <v>#NAME?</v>
      </c>
      <c r="Q27" s="13"/>
      <c r="R27" s="22" t="e">
        <f ca="1">IF(P$12=0,0,P27/P$12)</f>
        <v>#NAME?</v>
      </c>
      <c r="S27" s="13"/>
      <c r="T27" s="21" t="e">
        <f ca="1">+T18-T20+T24</f>
        <v>#NAME?</v>
      </c>
      <c r="U27" s="13"/>
      <c r="V27" s="22" t="e">
        <f ca="1">IF(T$12=0,0,T27/T$12)</f>
        <v>#NAME?</v>
      </c>
      <c r="W27" s="16"/>
      <c r="X27" s="21" t="e">
        <f ca="1">+P27-T27</f>
        <v>#NAME?</v>
      </c>
      <c r="Y27" s="16"/>
      <c r="Z27" s="22" t="e">
        <f ca="1">IF(T27=0,0,X27/T27)</f>
        <v>#NAME?</v>
      </c>
    </row>
    <row r="28" spans="1:26" x14ac:dyDescent="0.3">
      <c r="A28" s="9"/>
      <c r="B28" s="10"/>
      <c r="C28" s="9"/>
      <c r="D28" s="2"/>
      <c r="E28" s="2"/>
      <c r="F28" s="6"/>
      <c r="G28" s="2"/>
      <c r="H28" s="2"/>
      <c r="I28" s="2"/>
      <c r="J28" s="6"/>
      <c r="K28" s="2"/>
      <c r="L28" s="2"/>
      <c r="M28" s="2"/>
      <c r="N28" s="6"/>
      <c r="P28" s="2"/>
      <c r="Q28" s="2"/>
      <c r="R28" s="6"/>
      <c r="S28" s="2"/>
      <c r="T28" s="2"/>
      <c r="U28" s="2"/>
      <c r="V28" s="6"/>
      <c r="W28" s="2"/>
      <c r="X28" s="2"/>
      <c r="Y28" s="2"/>
      <c r="Z28" s="6"/>
    </row>
    <row r="29" spans="1:26" s="23" customFormat="1" x14ac:dyDescent="0.3">
      <c r="A29" s="52"/>
      <c r="B29" s="10" t="s">
        <v>128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3">
      <c r="A30" s="9"/>
      <c r="B30" s="10"/>
      <c r="C30" s="10"/>
      <c r="D30" s="2"/>
      <c r="E30" s="2"/>
      <c r="F30" s="6"/>
      <c r="G30" s="2"/>
      <c r="H30" s="2"/>
      <c r="I30" s="2"/>
      <c r="J30" s="6"/>
      <c r="K30" s="2"/>
      <c r="L30" s="2"/>
      <c r="M30" s="2"/>
      <c r="N30" s="6"/>
      <c r="O30" s="10"/>
      <c r="P30" s="2"/>
      <c r="Q30" s="2"/>
      <c r="R30" s="6"/>
      <c r="S30" s="2"/>
      <c r="T30" s="2"/>
      <c r="U30" s="2"/>
      <c r="V30" s="6"/>
      <c r="W30" s="2"/>
      <c r="X30" s="2"/>
      <c r="Y30" s="2"/>
      <c r="Z30" s="6"/>
    </row>
    <row r="31" spans="1:26" s="23" customFormat="1" ht="15" thickBot="1" x14ac:dyDescent="0.35">
      <c r="A31" s="10"/>
      <c r="B31" s="26" t="s">
        <v>126</v>
      </c>
      <c r="C31" s="26"/>
      <c r="D31" s="35" t="e">
        <f ca="1">+D27-D29</f>
        <v>#NAME?</v>
      </c>
      <c r="E31" s="13"/>
      <c r="F31" s="30" t="e">
        <f ca="1">IF(D$12=0,0,D31/D$12)</f>
        <v>#NAME?</v>
      </c>
      <c r="G31" s="13"/>
      <c r="H31" s="35" t="e">
        <f ca="1">+H27-H29</f>
        <v>#NAME?</v>
      </c>
      <c r="I31" s="13"/>
      <c r="J31" s="30" t="e">
        <f ca="1">IF(H$12=0,0,H31/H$12)</f>
        <v>#NAME?</v>
      </c>
      <c r="K31" s="16"/>
      <c r="L31" s="35" t="e">
        <f ca="1">D31-H31</f>
        <v>#NAME?</v>
      </c>
      <c r="M31" s="16"/>
      <c r="N31" s="30" t="e">
        <f ca="1">IF(H31=0,0,L31/H31)</f>
        <v>#NAME?</v>
      </c>
      <c r="O31" s="25"/>
      <c r="P31" s="35" t="e">
        <f ca="1">+P27-P29</f>
        <v>#NAME?</v>
      </c>
      <c r="Q31" s="13"/>
      <c r="R31" s="30" t="e">
        <f ca="1">IF(P$12=0,0,P31/P$12)</f>
        <v>#NAME?</v>
      </c>
      <c r="S31" s="13"/>
      <c r="T31" s="35" t="e">
        <f ca="1">+T27-T29</f>
        <v>#NAME?</v>
      </c>
      <c r="U31" s="13"/>
      <c r="V31" s="30" t="e">
        <f ca="1">IF(T$12=0,0,T31/T$12)</f>
        <v>#NAME?</v>
      </c>
      <c r="W31" s="16"/>
      <c r="X31" s="35" t="e">
        <f ca="1">P31-T31</f>
        <v>#NAME?</v>
      </c>
      <c r="Y31" s="16"/>
      <c r="Z31" s="30" t="e">
        <f ca="1">IF(T31=0,0,X31/T31)</f>
        <v>#NAME?</v>
      </c>
    </row>
    <row r="32" spans="1:26" ht="15" thickTop="1" x14ac:dyDescent="0.3">
      <c r="A32" s="9"/>
      <c r="B32" s="9"/>
      <c r="C32" s="9"/>
      <c r="D32" s="2"/>
      <c r="E32" s="2"/>
      <c r="F32" s="6"/>
      <c r="G32" s="2"/>
      <c r="H32" s="2"/>
      <c r="I32" s="2"/>
      <c r="J32" s="6"/>
      <c r="K32" s="2"/>
      <c r="L32" s="2"/>
      <c r="M32" s="2"/>
      <c r="N32" s="6"/>
      <c r="P32" s="2"/>
      <c r="Q32" s="2"/>
      <c r="R32" s="6"/>
      <c r="S32" s="2"/>
      <c r="T32" s="2"/>
      <c r="U32" s="2"/>
      <c r="V32" s="6"/>
      <c r="W32" s="2"/>
      <c r="X32" s="2"/>
      <c r="Y32" s="2"/>
      <c r="Z32" s="6"/>
    </row>
    <row r="33" spans="1:26" s="23" customFormat="1" x14ac:dyDescent="0.3">
      <c r="A33" s="52"/>
      <c r="B33" s="10" t="s">
        <v>184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3">
      <c r="A34" s="52"/>
      <c r="B34" s="10" t="s">
        <v>82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3">
      <c r="A35" s="9"/>
      <c r="B35" s="9"/>
      <c r="C35" s="9"/>
      <c r="D35" s="2"/>
      <c r="E35" s="2"/>
      <c r="F35" s="6"/>
      <c r="G35" s="2"/>
      <c r="H35" s="2"/>
      <c r="I35" s="2"/>
      <c r="J35" s="6"/>
      <c r="K35" s="2"/>
      <c r="L35" s="2"/>
      <c r="M35" s="2"/>
      <c r="N35" s="6"/>
      <c r="P35" s="2"/>
      <c r="Q35" s="2"/>
      <c r="R35" s="6"/>
      <c r="S35" s="2"/>
      <c r="T35" s="2"/>
      <c r="U35" s="2"/>
      <c r="V35" s="6"/>
      <c r="W35" s="2"/>
      <c r="X35" s="2"/>
      <c r="Y35" s="2"/>
      <c r="Z35" s="6"/>
    </row>
    <row r="36" spans="1:26" s="23" customFormat="1" ht="15" thickBot="1" x14ac:dyDescent="0.35">
      <c r="A36" s="10"/>
      <c r="B36" s="26" t="s">
        <v>294</v>
      </c>
      <c r="C36" s="26"/>
      <c r="D36" s="33" t="e">
        <f ca="1">SUM(D31:D35)</f>
        <v>#NAME?</v>
      </c>
      <c r="E36" s="13"/>
      <c r="F36" s="31" t="e">
        <f ca="1">IF(D$12=0,0,D36/D$12)</f>
        <v>#NAME?</v>
      </c>
      <c r="G36" s="13"/>
      <c r="H36" s="33" t="e">
        <f ca="1">SUM(H31:H35)</f>
        <v>#NAME?</v>
      </c>
      <c r="I36" s="13"/>
      <c r="J36" s="31" t="e">
        <f ca="1">IF(H$12=0,0,H36/H$12)</f>
        <v>#NAME?</v>
      </c>
      <c r="K36" s="16"/>
      <c r="L36" s="33" t="e">
        <f ca="1">+D36-H36</f>
        <v>#NAME?</v>
      </c>
      <c r="M36" s="16"/>
      <c r="N36" s="31" t="e">
        <f ca="1">IF(H36=0,0,L36/H36)</f>
        <v>#NAME?</v>
      </c>
      <c r="O36" s="25"/>
      <c r="P36" s="33" t="e">
        <f ca="1">SUM(P31:P35)</f>
        <v>#NAME?</v>
      </c>
      <c r="Q36" s="13"/>
      <c r="R36" s="31" t="e">
        <f ca="1">IF(P$12=0,0,P36/P$12)</f>
        <v>#NAME?</v>
      </c>
      <c r="S36" s="13"/>
      <c r="T36" s="33" t="e">
        <f ca="1">SUM(T31:T35)</f>
        <v>#NAME?</v>
      </c>
      <c r="U36" s="13"/>
      <c r="V36" s="31" t="e">
        <f ca="1">IF(T$12=0,0,T36/T$12)</f>
        <v>#NAME?</v>
      </c>
      <c r="W36" s="16"/>
      <c r="X36" s="33" t="e">
        <f ca="1">+P36-T36</f>
        <v>#NAME?</v>
      </c>
      <c r="Y36" s="16"/>
      <c r="Z36" s="31" t="e">
        <f ca="1">IF(T36=0,0,X36/T36)</f>
        <v>#NAME?</v>
      </c>
    </row>
    <row r="37" spans="1:26" ht="15" thickTop="1" x14ac:dyDescent="0.3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3">
      <c r="A38" s="9"/>
      <c r="B38" s="54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3">
      <c r="A39" s="9"/>
      <c r="B39" s="59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3">
      <c r="A40" s="9"/>
      <c r="B40" s="55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3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>
    <tabColor rgb="FF92D050"/>
    <outlinePr summaryBelow="0" summaryRight="0"/>
  </sheetPr>
  <dimension ref="A2:Z39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50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7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50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7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7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7" customWidth="1" outlineLevel="1"/>
  </cols>
  <sheetData>
    <row r="2" spans="1:26" x14ac:dyDescent="0.3">
      <c r="D2" s="57" t="s">
        <v>23</v>
      </c>
    </row>
    <row r="3" spans="1:26" x14ac:dyDescent="0.3">
      <c r="D3" s="57" t="s">
        <v>237</v>
      </c>
      <c r="E3" s="17"/>
      <c r="F3" s="51"/>
      <c r="G3" s="17"/>
      <c r="H3" s="17"/>
      <c r="I3" s="17"/>
      <c r="J3" s="39"/>
      <c r="K3" s="17"/>
      <c r="L3" s="17"/>
      <c r="M3" s="17"/>
      <c r="N3" s="51"/>
      <c r="O3" s="61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3">
      <c r="D4" s="57" t="str">
        <f>CONCATENATE("Period ",RIGHT(202201,2),", ",2022)</f>
        <v>Period 01, 2022</v>
      </c>
      <c r="E4" s="17"/>
      <c r="F4" s="51"/>
      <c r="G4" s="17"/>
      <c r="H4" s="17"/>
      <c r="I4" s="17"/>
      <c r="J4" s="39"/>
      <c r="K4" s="17"/>
      <c r="L4" s="17"/>
      <c r="M4" s="17"/>
      <c r="N4" s="51"/>
      <c r="O4" s="61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3">
      <c r="A5" s="23"/>
      <c r="D5" s="64">
        <v>44408</v>
      </c>
      <c r="E5" s="17"/>
      <c r="F5" s="51"/>
      <c r="G5" s="17"/>
      <c r="H5" s="17"/>
      <c r="I5" s="17"/>
      <c r="J5" s="39"/>
      <c r="K5" s="17"/>
      <c r="L5" s="17"/>
      <c r="M5" s="17"/>
      <c r="N5" s="51"/>
      <c r="O5" s="61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3">
      <c r="A6" s="23"/>
      <c r="B6" s="47"/>
      <c r="C6" s="47"/>
      <c r="D6" s="23" t="str">
        <f>CONCATENATE("Department ","425", " - ", "Events Center")</f>
        <v>Department 425 - Events Center</v>
      </c>
      <c r="E6" s="17"/>
      <c r="F6" s="51"/>
      <c r="G6" s="17"/>
      <c r="H6" s="17"/>
      <c r="I6" s="17"/>
      <c r="J6" s="39"/>
      <c r="K6" s="17"/>
      <c r="L6" s="17"/>
      <c r="M6" s="17"/>
      <c r="N6" s="51"/>
      <c r="O6" s="60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3">
      <c r="B7" s="63"/>
    </row>
    <row r="8" spans="1:26" x14ac:dyDescent="0.3">
      <c r="B8" s="63"/>
    </row>
    <row r="9" spans="1:26" x14ac:dyDescent="0.3">
      <c r="B9" s="9"/>
      <c r="C9" s="9"/>
      <c r="D9" s="15" t="s">
        <v>292</v>
      </c>
      <c r="E9" s="15"/>
      <c r="F9" s="38"/>
      <c r="G9" s="15"/>
      <c r="H9" s="15"/>
      <c r="I9" s="15"/>
      <c r="J9" s="49"/>
      <c r="K9" s="15"/>
      <c r="L9" s="15"/>
      <c r="M9" s="15"/>
      <c r="N9" s="38"/>
      <c r="P9" s="15" t="s">
        <v>39</v>
      </c>
      <c r="Q9" s="15"/>
      <c r="R9" s="38"/>
      <c r="S9" s="15"/>
      <c r="T9" s="15"/>
      <c r="U9" s="15"/>
      <c r="V9" s="49"/>
      <c r="W9" s="15"/>
      <c r="X9" s="15"/>
      <c r="Y9" s="15"/>
      <c r="Z9" s="38"/>
    </row>
    <row r="10" spans="1:26" x14ac:dyDescent="0.3">
      <c r="A10" s="10"/>
      <c r="B10" s="53"/>
      <c r="C10" s="10"/>
      <c r="D10" s="42" t="s">
        <v>57</v>
      </c>
      <c r="E10" s="34"/>
      <c r="F10" s="40" t="s">
        <v>40</v>
      </c>
      <c r="G10" s="34"/>
      <c r="H10" s="45" t="s">
        <v>238</v>
      </c>
      <c r="I10" s="34"/>
      <c r="J10" s="48" t="s">
        <v>58</v>
      </c>
      <c r="K10" s="10"/>
      <c r="L10" s="42" t="s">
        <v>127</v>
      </c>
      <c r="M10" s="10"/>
      <c r="N10" s="40" t="s">
        <v>258</v>
      </c>
      <c r="O10" s="10"/>
      <c r="P10" s="56" t="s">
        <v>57</v>
      </c>
      <c r="Q10" s="34"/>
      <c r="R10" s="40" t="s">
        <v>40</v>
      </c>
      <c r="S10" s="34"/>
      <c r="T10" s="45" t="s">
        <v>238</v>
      </c>
      <c r="U10" s="34"/>
      <c r="V10" s="48" t="s">
        <v>58</v>
      </c>
      <c r="W10" s="10"/>
      <c r="X10" s="42" t="s">
        <v>127</v>
      </c>
      <c r="Y10" s="10"/>
      <c r="Z10" s="40" t="s">
        <v>258</v>
      </c>
    </row>
    <row r="11" spans="1:26" ht="15.6" x14ac:dyDescent="0.3">
      <c r="A11" s="9"/>
      <c r="B11" s="58"/>
      <c r="C11" s="9"/>
      <c r="D11" s="9"/>
      <c r="E11" s="9"/>
      <c r="F11" s="6"/>
      <c r="G11" s="9"/>
      <c r="H11" s="9"/>
      <c r="I11" s="9"/>
      <c r="J11" s="46"/>
      <c r="K11" s="9"/>
      <c r="L11" s="9"/>
      <c r="M11" s="9"/>
      <c r="N11" s="6"/>
      <c r="P11" s="9"/>
      <c r="Q11" s="9"/>
      <c r="R11" s="6"/>
      <c r="S11" s="9"/>
      <c r="T11" s="9"/>
      <c r="U11" s="9"/>
      <c r="V11" s="46"/>
      <c r="W11" s="9"/>
      <c r="X11" s="9"/>
      <c r="Y11" s="9"/>
      <c r="Z11" s="6"/>
    </row>
    <row r="12" spans="1:26" s="23" customFormat="1" x14ac:dyDescent="0.3">
      <c r="A12" s="10"/>
      <c r="B12" s="25" t="s">
        <v>140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3">
      <c r="A13" s="9"/>
      <c r="B13" s="10"/>
      <c r="C13" s="9"/>
      <c r="D13" s="2"/>
      <c r="E13" s="2"/>
      <c r="F13" s="6"/>
      <c r="G13" s="2"/>
      <c r="H13" s="2"/>
      <c r="I13" s="2"/>
      <c r="J13" s="6"/>
      <c r="K13" s="2"/>
      <c r="L13" s="2"/>
      <c r="M13" s="2"/>
      <c r="N13" s="6"/>
      <c r="P13" s="2"/>
      <c r="Q13" s="2"/>
      <c r="R13" s="6"/>
      <c r="S13" s="2"/>
      <c r="T13" s="2"/>
      <c r="U13" s="2"/>
      <c r="V13" s="6"/>
      <c r="W13" s="2"/>
      <c r="X13" s="2"/>
      <c r="Y13" s="2"/>
      <c r="Z13" s="6"/>
    </row>
    <row r="14" spans="1:26" s="23" customFormat="1" collapsed="1" x14ac:dyDescent="0.3">
      <c r="A14" s="10"/>
      <c r="B14" s="25" t="s">
        <v>257</v>
      </c>
      <c r="C14" s="10"/>
      <c r="D14" s="4">
        <f>SUM(OSRRefD16x_0)</f>
        <v>-1034.73</v>
      </c>
      <c r="E14" s="4"/>
      <c r="F14" s="12">
        <f t="shared" ref="F14:F15" si="0">IF(D$12=0,0,D14/D$12)</f>
        <v>0</v>
      </c>
      <c r="G14" s="4"/>
      <c r="H14" s="4">
        <f>SUM(OSRRefH16x_0)</f>
        <v>0</v>
      </c>
      <c r="I14" s="4"/>
      <c r="J14" s="12">
        <f t="shared" ref="J14:J15" si="1">IF(H$12=0,0,H14/H$12)</f>
        <v>0</v>
      </c>
      <c r="K14" s="4"/>
      <c r="L14" s="4">
        <f t="shared" ref="L14:L15" si="2">+D14-H14</f>
        <v>-1034.73</v>
      </c>
      <c r="M14" s="4"/>
      <c r="N14" s="12">
        <f t="shared" ref="N14:N15" si="3">IF(H14=0,0,L14/H14)</f>
        <v>0</v>
      </c>
      <c r="O14" s="10"/>
      <c r="P14" s="4">
        <f>SUM(OSRRefP16x_0)</f>
        <v>-1034.73</v>
      </c>
      <c r="Q14" s="4"/>
      <c r="R14" s="12">
        <f t="shared" ref="R14:R15" si="4">IF(P$12=0,0,P14/P$12)</f>
        <v>0</v>
      </c>
      <c r="S14" s="4"/>
      <c r="T14" s="4">
        <f>SUM(OSRRefT16x_0)</f>
        <v>0</v>
      </c>
      <c r="U14" s="4"/>
      <c r="V14" s="12">
        <f t="shared" ref="V14:V15" si="5">IF(T$12=0,0,T14/T$12)</f>
        <v>0</v>
      </c>
      <c r="W14" s="4"/>
      <c r="X14" s="4">
        <f t="shared" ref="X14:X15" si="6">+P14-T14</f>
        <v>-1034.73</v>
      </c>
      <c r="Y14" s="4"/>
      <c r="Z14" s="12">
        <f t="shared" ref="Z14:Z15" si="7">IF(T14=0,0,X14/T14)</f>
        <v>0</v>
      </c>
    </row>
    <row r="15" spans="1:26" s="24" customFormat="1" hidden="1" outlineLevel="1" x14ac:dyDescent="0.3">
      <c r="A15" s="44"/>
      <c r="B15" s="11" t="str">
        <f>CONCATENATE("          ", "5053", " - ", "PURCHASES @ COST-FOOD")</f>
        <v xml:space="preserve">          5053 - PURCHASES @ COST-FOOD</v>
      </c>
      <c r="C15" s="11"/>
      <c r="D15" s="3">
        <v>-1034.73</v>
      </c>
      <c r="E15" s="3"/>
      <c r="F15" s="19">
        <f t="shared" si="0"/>
        <v>0</v>
      </c>
      <c r="G15" s="3"/>
      <c r="H15" s="3"/>
      <c r="I15" s="3"/>
      <c r="J15" s="19">
        <f t="shared" si="1"/>
        <v>0</v>
      </c>
      <c r="K15" s="3"/>
      <c r="L15" s="3">
        <f t="shared" si="2"/>
        <v>-1034.73</v>
      </c>
      <c r="M15" s="3"/>
      <c r="N15" s="19">
        <f t="shared" si="3"/>
        <v>0</v>
      </c>
      <c r="O15" s="11"/>
      <c r="P15" s="3">
        <v>-1034.73</v>
      </c>
      <c r="Q15" s="3"/>
      <c r="R15" s="19">
        <f t="shared" si="4"/>
        <v>0</v>
      </c>
      <c r="S15" s="3"/>
      <c r="T15" s="3"/>
      <c r="U15" s="3"/>
      <c r="V15" s="19">
        <f t="shared" si="5"/>
        <v>0</v>
      </c>
      <c r="W15" s="3"/>
      <c r="X15" s="3">
        <f t="shared" si="6"/>
        <v>-1034.73</v>
      </c>
      <c r="Y15" s="3"/>
      <c r="Z15" s="19">
        <f t="shared" si="7"/>
        <v>0</v>
      </c>
    </row>
    <row r="16" spans="1:26" x14ac:dyDescent="0.3">
      <c r="A16" s="9"/>
      <c r="B16" s="10"/>
      <c r="C16" s="10"/>
      <c r="D16" s="2"/>
      <c r="E16" s="2"/>
      <c r="F16" s="6"/>
      <c r="G16" s="2"/>
      <c r="H16" s="2"/>
      <c r="I16" s="2"/>
      <c r="J16" s="6"/>
      <c r="K16" s="2"/>
      <c r="L16" s="2"/>
      <c r="M16" s="2"/>
      <c r="N16" s="6"/>
      <c r="O16" s="10"/>
      <c r="P16" s="2"/>
      <c r="Q16" s="2"/>
      <c r="R16" s="6"/>
      <c r="S16" s="2"/>
      <c r="T16" s="2"/>
      <c r="U16" s="2"/>
      <c r="V16" s="6"/>
      <c r="W16" s="2"/>
      <c r="X16" s="2"/>
      <c r="Y16" s="2"/>
      <c r="Z16" s="6"/>
    </row>
    <row r="17" spans="1:26" s="23" customFormat="1" x14ac:dyDescent="0.3">
      <c r="A17" s="10"/>
      <c r="B17" s="26" t="s">
        <v>108</v>
      </c>
      <c r="C17" s="26"/>
      <c r="D17" s="21">
        <f>D12-D14</f>
        <v>1034.73</v>
      </c>
      <c r="E17" s="13"/>
      <c r="F17" s="22">
        <f>IF(D$12=0,0,D17/D$12)</f>
        <v>0</v>
      </c>
      <c r="G17" s="13"/>
      <c r="H17" s="21">
        <f>H12-H14</f>
        <v>0</v>
      </c>
      <c r="I17" s="13"/>
      <c r="J17" s="22">
        <f>IF(H$12=0,0,H17/H$12)</f>
        <v>0</v>
      </c>
      <c r="K17" s="16"/>
      <c r="L17" s="21">
        <f>+D17-H17</f>
        <v>1034.73</v>
      </c>
      <c r="M17" s="16"/>
      <c r="N17" s="22">
        <f>IF(H17=0,0,L17/H17)</f>
        <v>0</v>
      </c>
      <c r="O17" s="25"/>
      <c r="P17" s="21">
        <f>P12-P14</f>
        <v>1034.73</v>
      </c>
      <c r="Q17" s="13"/>
      <c r="R17" s="22">
        <f>IF(P$12=0,0,P17/P$12)</f>
        <v>0</v>
      </c>
      <c r="S17" s="13"/>
      <c r="T17" s="21">
        <f>T12-T14</f>
        <v>0</v>
      </c>
      <c r="U17" s="13"/>
      <c r="V17" s="22">
        <f>IF(T$12=0,0,T17/T$12)</f>
        <v>0</v>
      </c>
      <c r="W17" s="16"/>
      <c r="X17" s="21">
        <f>+P17-T17</f>
        <v>1034.73</v>
      </c>
      <c r="Y17" s="16"/>
      <c r="Z17" s="22">
        <f>IF(T17=0,0,X17/T17)</f>
        <v>0</v>
      </c>
    </row>
    <row r="18" spans="1:26" x14ac:dyDescent="0.3">
      <c r="A18" s="9"/>
      <c r="B18" s="10"/>
      <c r="C18" s="9"/>
      <c r="D18" s="1"/>
      <c r="E18" s="1"/>
      <c r="F18" s="5"/>
      <c r="G18" s="1"/>
      <c r="H18" s="1"/>
      <c r="I18" s="1"/>
      <c r="J18" s="5"/>
      <c r="K18" s="1"/>
      <c r="L18" s="1"/>
      <c r="M18" s="1"/>
      <c r="N18" s="5"/>
      <c r="O18" s="36"/>
      <c r="P18" s="1"/>
      <c r="Q18" s="1"/>
      <c r="R18" s="5"/>
      <c r="S18" s="1"/>
      <c r="T18" s="1"/>
      <c r="U18" s="1"/>
      <c r="V18" s="5"/>
      <c r="W18" s="1"/>
      <c r="X18" s="1"/>
      <c r="Y18" s="1"/>
      <c r="Z18" s="5"/>
    </row>
    <row r="19" spans="1:26" s="23" customFormat="1" x14ac:dyDescent="0.3">
      <c r="A19" s="10"/>
      <c r="B19" s="25" t="s">
        <v>295</v>
      </c>
      <c r="C19" s="10"/>
      <c r="D19" s="20">
        <f>SUM(OSRRefD22x_0)</f>
        <v>1000.91</v>
      </c>
      <c r="E19" s="20"/>
      <c r="F19" s="32">
        <f t="shared" ref="F19:F23" si="8">IF(D$12=0,0,D19/D$12)</f>
        <v>0</v>
      </c>
      <c r="G19" s="20"/>
      <c r="H19" s="20">
        <f>SUM(OSRRefH22x_0)</f>
        <v>1001</v>
      </c>
      <c r="I19" s="20"/>
      <c r="J19" s="32">
        <f t="shared" ref="J19:J23" si="9">IF(H$12=0,0,H19/H$12)</f>
        <v>0</v>
      </c>
      <c r="K19" s="4"/>
      <c r="L19" s="20">
        <f t="shared" ref="L19:L23" si="10">+D19-H19</f>
        <v>-9.0000000000031832E-2</v>
      </c>
      <c r="M19" s="4"/>
      <c r="N19" s="32">
        <f t="shared" ref="N19:N23" si="11">IF(H19=0,0,L19/H19)</f>
        <v>-8.9910089910121704E-5</v>
      </c>
      <c r="O19" s="10"/>
      <c r="P19" s="20">
        <f>SUM(OSRRefP22x_0)</f>
        <v>1000.91</v>
      </c>
      <c r="Q19" s="20"/>
      <c r="R19" s="32">
        <f t="shared" ref="R19:R23" si="12">IF(P$12=0,0,P19/P$12)</f>
        <v>0</v>
      </c>
      <c r="S19" s="20"/>
      <c r="T19" s="20">
        <f>SUM(OSRRefT22x_0)</f>
        <v>1001</v>
      </c>
      <c r="U19" s="20"/>
      <c r="V19" s="32">
        <f t="shared" ref="V19:V23" si="13">IF(T$12=0,0,T19/T$12)</f>
        <v>0</v>
      </c>
      <c r="W19" s="4"/>
      <c r="X19" s="20">
        <f t="shared" ref="X19:X23" si="14">+P19-T19</f>
        <v>-9.0000000000031832E-2</v>
      </c>
      <c r="Y19" s="4"/>
      <c r="Z19" s="32">
        <f t="shared" ref="Z19:Z23" si="15">IF(T19=0,0,X19/T19)</f>
        <v>-8.9910089910121704E-5</v>
      </c>
    </row>
    <row r="20" spans="1:26" s="27" customFormat="1" outlineLevel="1" collapsed="1" x14ac:dyDescent="0.3">
      <c r="A20" s="28"/>
      <c r="B20" s="14" t="str">
        <f>CONCATENATE("     ","Depreciation                                      ")</f>
        <v xml:space="preserve">     Depreciation                                      </v>
      </c>
      <c r="C20" s="14"/>
      <c r="D20" s="1">
        <f>SUM(OSRRefD22_0x_0)</f>
        <v>1000.91</v>
      </c>
      <c r="E20" s="1"/>
      <c r="F20" s="5">
        <f t="shared" si="8"/>
        <v>0</v>
      </c>
      <c r="G20" s="1"/>
      <c r="H20" s="1">
        <f>SUM(OSRRefH22_0x_0)</f>
        <v>1001</v>
      </c>
      <c r="I20" s="1"/>
      <c r="J20" s="5">
        <f t="shared" si="9"/>
        <v>0</v>
      </c>
      <c r="K20" s="1"/>
      <c r="L20" s="1">
        <f t="shared" si="10"/>
        <v>-9.0000000000031832E-2</v>
      </c>
      <c r="M20" s="1"/>
      <c r="N20" s="5">
        <f t="shared" si="11"/>
        <v>-8.9910089910121704E-5</v>
      </c>
      <c r="O20" s="14"/>
      <c r="P20" s="1">
        <f>SUM(OSRRefP22_0x_0)</f>
        <v>1000.91</v>
      </c>
      <c r="Q20" s="1"/>
      <c r="R20" s="5">
        <f t="shared" si="12"/>
        <v>0</v>
      </c>
      <c r="S20" s="1"/>
      <c r="T20" s="1">
        <f>SUM(OSRRefT22_0x_0)</f>
        <v>1001</v>
      </c>
      <c r="U20" s="1"/>
      <c r="V20" s="5">
        <f t="shared" si="13"/>
        <v>0</v>
      </c>
      <c r="W20" s="1"/>
      <c r="X20" s="1">
        <f t="shared" si="14"/>
        <v>-9.0000000000031832E-2</v>
      </c>
      <c r="Y20" s="1"/>
      <c r="Z20" s="5">
        <f t="shared" si="15"/>
        <v>-8.9910089910121704E-5</v>
      </c>
    </row>
    <row r="21" spans="1:26" s="24" customFormat="1" hidden="1" outlineLevel="2" x14ac:dyDescent="0.3">
      <c r="A21" s="29"/>
      <c r="B21" s="11" t="str">
        <f>CONCATENATE("          ", "6322", " - ", "EQUIPMENT DEPRECIATION EXPENSE")</f>
        <v xml:space="preserve">          6322 - EQUIPMENT DEPRECIATION EXPENSE</v>
      </c>
      <c r="C21" s="11"/>
      <c r="D21" s="8">
        <v>1000.91</v>
      </c>
      <c r="E21" s="3"/>
      <c r="F21" s="7">
        <f t="shared" si="8"/>
        <v>0</v>
      </c>
      <c r="G21" s="3"/>
      <c r="H21" s="8">
        <v>1001</v>
      </c>
      <c r="I21" s="3"/>
      <c r="J21" s="7">
        <f t="shared" si="9"/>
        <v>0</v>
      </c>
      <c r="K21" s="3"/>
      <c r="L21" s="8">
        <f t="shared" si="10"/>
        <v>-9.0000000000031832E-2</v>
      </c>
      <c r="M21" s="3"/>
      <c r="N21" s="7">
        <f t="shared" si="11"/>
        <v>-8.9910089910121704E-5</v>
      </c>
      <c r="O21" s="11"/>
      <c r="P21" s="8">
        <v>1000.91</v>
      </c>
      <c r="Q21" s="3"/>
      <c r="R21" s="7">
        <f t="shared" si="12"/>
        <v>0</v>
      </c>
      <c r="S21" s="3"/>
      <c r="T21" s="8">
        <v>1001</v>
      </c>
      <c r="U21" s="3"/>
      <c r="V21" s="7">
        <f t="shared" si="13"/>
        <v>0</v>
      </c>
      <c r="W21" s="3"/>
      <c r="X21" s="8">
        <f t="shared" si="14"/>
        <v>-9.0000000000031832E-2</v>
      </c>
      <c r="Y21" s="3"/>
      <c r="Z21" s="7">
        <f t="shared" si="15"/>
        <v>-8.9910089910121704E-5</v>
      </c>
    </row>
    <row r="22" spans="1:26" s="27" customFormat="1" outlineLevel="1" collapsed="1" x14ac:dyDescent="0.3">
      <c r="A22" s="28"/>
      <c r="B22" s="14" t="str">
        <f>CONCATENATE("     ","Services                                          ")</f>
        <v xml:space="preserve">     Services                                          </v>
      </c>
      <c r="C22" s="14"/>
      <c r="D22" s="1">
        <f>SUM(OSRRefD22_1x_0)</f>
        <v>0</v>
      </c>
      <c r="E22" s="1"/>
      <c r="F22" s="5">
        <f t="shared" si="8"/>
        <v>0</v>
      </c>
      <c r="G22" s="1"/>
      <c r="H22" s="1">
        <f>SUM(OSRRefH22_1x_0)</f>
        <v>0</v>
      </c>
      <c r="I22" s="1"/>
      <c r="J22" s="5">
        <f t="shared" si="9"/>
        <v>0</v>
      </c>
      <c r="K22" s="1"/>
      <c r="L22" s="1">
        <f t="shared" si="10"/>
        <v>0</v>
      </c>
      <c r="M22" s="1"/>
      <c r="N22" s="5">
        <f t="shared" si="11"/>
        <v>0</v>
      </c>
      <c r="O22" s="14"/>
      <c r="P22" s="1">
        <f>SUM(OSRRefP22_1x_0)</f>
        <v>0</v>
      </c>
      <c r="Q22" s="1"/>
      <c r="R22" s="5">
        <f t="shared" si="12"/>
        <v>0</v>
      </c>
      <c r="S22" s="1"/>
      <c r="T22" s="1">
        <f>SUM(OSRRefT22_1x_0)</f>
        <v>0</v>
      </c>
      <c r="U22" s="1"/>
      <c r="V22" s="5">
        <f t="shared" si="13"/>
        <v>0</v>
      </c>
      <c r="W22" s="1"/>
      <c r="X22" s="1">
        <f t="shared" si="14"/>
        <v>0</v>
      </c>
      <c r="Y22" s="1"/>
      <c r="Z22" s="5">
        <f t="shared" si="15"/>
        <v>0</v>
      </c>
    </row>
    <row r="23" spans="1:26" s="24" customFormat="1" hidden="1" outlineLevel="2" x14ac:dyDescent="0.3">
      <c r="A23" s="29"/>
      <c r="B23" s="11" t="str">
        <f>CONCATENATE("          ", "6284", " - ", "TRASH REMOVAL EXPENSE")</f>
        <v xml:space="preserve">          6284 - TRASH REMOVAL EXPENSE</v>
      </c>
      <c r="C23" s="11"/>
      <c r="D23" s="8"/>
      <c r="E23" s="3"/>
      <c r="F23" s="7">
        <f t="shared" si="8"/>
        <v>0</v>
      </c>
      <c r="G23" s="3"/>
      <c r="H23" s="8">
        <v>0</v>
      </c>
      <c r="I23" s="3"/>
      <c r="J23" s="7">
        <f t="shared" si="9"/>
        <v>0</v>
      </c>
      <c r="K23" s="3"/>
      <c r="L23" s="8">
        <f t="shared" si="10"/>
        <v>0</v>
      </c>
      <c r="M23" s="3"/>
      <c r="N23" s="7">
        <f t="shared" si="11"/>
        <v>0</v>
      </c>
      <c r="O23" s="11"/>
      <c r="P23" s="8"/>
      <c r="Q23" s="3"/>
      <c r="R23" s="7">
        <f t="shared" si="12"/>
        <v>0</v>
      </c>
      <c r="S23" s="3"/>
      <c r="T23" s="8">
        <v>0</v>
      </c>
      <c r="U23" s="3"/>
      <c r="V23" s="7">
        <f t="shared" si="13"/>
        <v>0</v>
      </c>
      <c r="W23" s="3"/>
      <c r="X23" s="8">
        <f t="shared" si="14"/>
        <v>0</v>
      </c>
      <c r="Y23" s="3"/>
      <c r="Z23" s="7">
        <f t="shared" si="15"/>
        <v>0</v>
      </c>
    </row>
    <row r="24" spans="1:26" s="62" customFormat="1" x14ac:dyDescent="0.3">
      <c r="A24" s="36"/>
      <c r="B24" s="36"/>
      <c r="C24" s="36"/>
      <c r="D24" s="1"/>
      <c r="E24" s="1"/>
      <c r="F24" s="5"/>
      <c r="G24" s="1"/>
      <c r="H24" s="1"/>
      <c r="I24" s="1"/>
      <c r="J24" s="5"/>
      <c r="K24" s="1"/>
      <c r="L24" s="1"/>
      <c r="M24" s="1"/>
      <c r="N24" s="5"/>
      <c r="O24" s="36"/>
      <c r="P24" s="1"/>
      <c r="Q24" s="1"/>
      <c r="R24" s="5"/>
      <c r="S24" s="1"/>
      <c r="T24" s="1"/>
      <c r="U24" s="1"/>
      <c r="V24" s="5"/>
      <c r="W24" s="1"/>
      <c r="X24" s="1"/>
      <c r="Y24" s="1"/>
      <c r="Z24" s="5"/>
    </row>
    <row r="25" spans="1:26" s="23" customFormat="1" x14ac:dyDescent="0.3">
      <c r="A25" s="10"/>
      <c r="B25" s="25" t="s">
        <v>293</v>
      </c>
      <c r="C25" s="10"/>
      <c r="D25" s="4">
        <f>SUM(0)</f>
        <v>0</v>
      </c>
      <c r="E25" s="4"/>
      <c r="F25" s="12">
        <f>IF(D$12=0,0,D25/D$12)</f>
        <v>0</v>
      </c>
      <c r="G25" s="4"/>
      <c r="H25" s="4">
        <f>SUM(0)</f>
        <v>0</v>
      </c>
      <c r="I25" s="4"/>
      <c r="J25" s="12">
        <f>IF(H$12=0,0,H25/H$12)</f>
        <v>0</v>
      </c>
      <c r="K25" s="4"/>
      <c r="L25" s="4">
        <f>+D25-H25</f>
        <v>0</v>
      </c>
      <c r="M25" s="4"/>
      <c r="N25" s="12">
        <f>IF(H25=0,0,L25/H25)</f>
        <v>0</v>
      </c>
      <c r="O25" s="10"/>
      <c r="P25" s="4">
        <f>SUM(0)</f>
        <v>0</v>
      </c>
      <c r="Q25" s="4"/>
      <c r="R25" s="12">
        <f>IF(P$12=0,0,P25/P$12)</f>
        <v>0</v>
      </c>
      <c r="S25" s="4"/>
      <c r="T25" s="4">
        <f>SUM(0)</f>
        <v>0</v>
      </c>
      <c r="U25" s="4"/>
      <c r="V25" s="12">
        <f>IF(T$12=0,0,T25/T$12)</f>
        <v>0</v>
      </c>
      <c r="W25" s="4"/>
      <c r="X25" s="4">
        <f>+P25-T25</f>
        <v>0</v>
      </c>
      <c r="Y25" s="4"/>
      <c r="Z25" s="12">
        <f>IF(T25=0,0,X25/T25)</f>
        <v>0</v>
      </c>
    </row>
    <row r="26" spans="1:26" x14ac:dyDescent="0.3">
      <c r="A26" s="9"/>
      <c r="B26" s="10"/>
      <c r="C26" s="10"/>
      <c r="D26" s="2"/>
      <c r="E26" s="2"/>
      <c r="F26" s="6"/>
      <c r="G26" s="2"/>
      <c r="H26" s="2"/>
      <c r="I26" s="2"/>
      <c r="J26" s="6"/>
      <c r="K26" s="2"/>
      <c r="L26" s="2"/>
      <c r="M26" s="2"/>
      <c r="N26" s="6"/>
      <c r="O26" s="10"/>
      <c r="P26" s="2"/>
      <c r="Q26" s="2"/>
      <c r="R26" s="6"/>
      <c r="S26" s="2"/>
      <c r="T26" s="2"/>
      <c r="U26" s="2"/>
      <c r="V26" s="6"/>
      <c r="W26" s="2"/>
      <c r="X26" s="2"/>
      <c r="Y26" s="2"/>
      <c r="Z26" s="6"/>
    </row>
    <row r="27" spans="1:26" s="23" customFormat="1" x14ac:dyDescent="0.3">
      <c r="A27" s="10"/>
      <c r="B27" s="26" t="s">
        <v>277</v>
      </c>
      <c r="C27" s="26"/>
      <c r="D27" s="21">
        <f>+D17-D19+D25</f>
        <v>33.82000000000005</v>
      </c>
      <c r="E27" s="13"/>
      <c r="F27" s="22">
        <f>IF(D$12=0,0,D27/D$12)</f>
        <v>0</v>
      </c>
      <c r="G27" s="13"/>
      <c r="H27" s="21">
        <f>+H17-H19+H25</f>
        <v>-1001</v>
      </c>
      <c r="I27" s="13"/>
      <c r="J27" s="22">
        <f>IF(H$12=0,0,H27/H$12)</f>
        <v>0</v>
      </c>
      <c r="K27" s="16"/>
      <c r="L27" s="21">
        <f>+D27-H27</f>
        <v>1034.8200000000002</v>
      </c>
      <c r="M27" s="16"/>
      <c r="N27" s="22">
        <f>IF(H27=0,0,L27/H27)</f>
        <v>-1.0337862137862139</v>
      </c>
      <c r="O27" s="25"/>
      <c r="P27" s="21">
        <f>+P17-P19+P25</f>
        <v>33.82000000000005</v>
      </c>
      <c r="Q27" s="13"/>
      <c r="R27" s="22">
        <f>IF(P$12=0,0,P27/P$12)</f>
        <v>0</v>
      </c>
      <c r="S27" s="13"/>
      <c r="T27" s="21">
        <f>+T17-T19+T25</f>
        <v>-1001</v>
      </c>
      <c r="U27" s="13"/>
      <c r="V27" s="22">
        <f>IF(T$12=0,0,T27/T$12)</f>
        <v>0</v>
      </c>
      <c r="W27" s="16"/>
      <c r="X27" s="21">
        <f>+P27-T27</f>
        <v>1034.8200000000002</v>
      </c>
      <c r="Y27" s="16"/>
      <c r="Z27" s="22">
        <f>IF(T27=0,0,X27/T27)</f>
        <v>-1.0337862137862139</v>
      </c>
    </row>
    <row r="28" spans="1:26" x14ac:dyDescent="0.3">
      <c r="A28" s="9"/>
      <c r="B28" s="10"/>
      <c r="C28" s="9"/>
      <c r="D28" s="2"/>
      <c r="E28" s="2"/>
      <c r="F28" s="6"/>
      <c r="G28" s="2"/>
      <c r="H28" s="2"/>
      <c r="I28" s="2"/>
      <c r="J28" s="6"/>
      <c r="K28" s="2"/>
      <c r="L28" s="2"/>
      <c r="M28" s="2"/>
      <c r="N28" s="6"/>
      <c r="P28" s="2"/>
      <c r="Q28" s="2"/>
      <c r="R28" s="6"/>
      <c r="S28" s="2"/>
      <c r="T28" s="2"/>
      <c r="U28" s="2"/>
      <c r="V28" s="6"/>
      <c r="W28" s="2"/>
      <c r="X28" s="2"/>
      <c r="Y28" s="2"/>
      <c r="Z28" s="6"/>
    </row>
    <row r="29" spans="1:26" s="23" customFormat="1" x14ac:dyDescent="0.3">
      <c r="A29" s="52"/>
      <c r="B29" s="10" t="s">
        <v>128</v>
      </c>
      <c r="C29" s="10"/>
      <c r="D29" s="4"/>
      <c r="E29" s="4"/>
      <c r="F29" s="12">
        <f>IF(D$12=0,0,D29/D$12)</f>
        <v>0</v>
      </c>
      <c r="G29" s="4"/>
      <c r="H29" s="4"/>
      <c r="I29" s="4"/>
      <c r="J29" s="12">
        <f>IF(H$12=0,0,H29/H$12)</f>
        <v>0</v>
      </c>
      <c r="K29" s="4"/>
      <c r="L29" s="4">
        <f>+D29-H29</f>
        <v>0</v>
      </c>
      <c r="M29" s="4"/>
      <c r="N29" s="12">
        <f>IF(H29=0,0,L29/H29)</f>
        <v>0</v>
      </c>
      <c r="O29" s="10"/>
      <c r="P29" s="4"/>
      <c r="Q29" s="4"/>
      <c r="R29" s="12">
        <f>IF(P$12=0,0,P29/P$12)</f>
        <v>0</v>
      </c>
      <c r="S29" s="4"/>
      <c r="T29" s="4"/>
      <c r="U29" s="4"/>
      <c r="V29" s="12">
        <f>IF(T$12=0,0,T29/T$12)</f>
        <v>0</v>
      </c>
      <c r="W29" s="4"/>
      <c r="X29" s="4">
        <f>+P29-T29</f>
        <v>0</v>
      </c>
      <c r="Y29" s="4"/>
      <c r="Z29" s="12">
        <f>IF(T29=0,0,X29/T29)</f>
        <v>0</v>
      </c>
    </row>
    <row r="30" spans="1:26" x14ac:dyDescent="0.3">
      <c r="A30" s="9"/>
      <c r="B30" s="10"/>
      <c r="C30" s="10"/>
      <c r="D30" s="2"/>
      <c r="E30" s="2"/>
      <c r="F30" s="6"/>
      <c r="G30" s="2"/>
      <c r="H30" s="2"/>
      <c r="I30" s="2"/>
      <c r="J30" s="6"/>
      <c r="K30" s="2"/>
      <c r="L30" s="2"/>
      <c r="M30" s="2"/>
      <c r="N30" s="6"/>
      <c r="O30" s="10"/>
      <c r="P30" s="2"/>
      <c r="Q30" s="2"/>
      <c r="R30" s="6"/>
      <c r="S30" s="2"/>
      <c r="T30" s="2"/>
      <c r="U30" s="2"/>
      <c r="V30" s="6"/>
      <c r="W30" s="2"/>
      <c r="X30" s="2"/>
      <c r="Y30" s="2"/>
      <c r="Z30" s="6"/>
    </row>
    <row r="31" spans="1:26" s="23" customFormat="1" ht="15" thickBot="1" x14ac:dyDescent="0.35">
      <c r="A31" s="10"/>
      <c r="B31" s="26" t="s">
        <v>126</v>
      </c>
      <c r="C31" s="26"/>
      <c r="D31" s="35">
        <f>+D27-D29</f>
        <v>33.82000000000005</v>
      </c>
      <c r="E31" s="13"/>
      <c r="F31" s="30">
        <f>IF(D$12=0,0,D31/D$12)</f>
        <v>0</v>
      </c>
      <c r="G31" s="13"/>
      <c r="H31" s="35">
        <f>+H27-H29</f>
        <v>-1001</v>
      </c>
      <c r="I31" s="13"/>
      <c r="J31" s="30">
        <f>IF(H$12=0,0,H31/H$12)</f>
        <v>0</v>
      </c>
      <c r="K31" s="16"/>
      <c r="L31" s="35">
        <f>D31-H31</f>
        <v>1034.8200000000002</v>
      </c>
      <c r="M31" s="16"/>
      <c r="N31" s="30">
        <f>IF(H31=0,0,L31/H31)</f>
        <v>-1.0337862137862139</v>
      </c>
      <c r="O31" s="25"/>
      <c r="P31" s="35">
        <f>+P27-P29</f>
        <v>33.82000000000005</v>
      </c>
      <c r="Q31" s="13"/>
      <c r="R31" s="30">
        <f>IF(P$12=0,0,P31/P$12)</f>
        <v>0</v>
      </c>
      <c r="S31" s="13"/>
      <c r="T31" s="35">
        <f>+T27-T29</f>
        <v>-1001</v>
      </c>
      <c r="U31" s="13"/>
      <c r="V31" s="30">
        <f>IF(T$12=0,0,T31/T$12)</f>
        <v>0</v>
      </c>
      <c r="W31" s="16"/>
      <c r="X31" s="35">
        <f>P31-T31</f>
        <v>1034.8200000000002</v>
      </c>
      <c r="Y31" s="16"/>
      <c r="Z31" s="30">
        <f>IF(T31=0,0,X31/T31)</f>
        <v>-1.0337862137862139</v>
      </c>
    </row>
    <row r="32" spans="1:26" ht="15" thickTop="1" x14ac:dyDescent="0.3">
      <c r="A32" s="9"/>
      <c r="B32" s="9"/>
      <c r="C32" s="9"/>
      <c r="D32" s="2"/>
      <c r="E32" s="2"/>
      <c r="F32" s="6"/>
      <c r="G32" s="2"/>
      <c r="H32" s="2"/>
      <c r="I32" s="2"/>
      <c r="J32" s="6"/>
      <c r="K32" s="2"/>
      <c r="L32" s="2"/>
      <c r="M32" s="2"/>
      <c r="N32" s="6"/>
      <c r="P32" s="2"/>
      <c r="Q32" s="2"/>
      <c r="R32" s="6"/>
      <c r="S32" s="2"/>
      <c r="T32" s="2"/>
      <c r="U32" s="2"/>
      <c r="V32" s="6"/>
      <c r="W32" s="2"/>
      <c r="X32" s="2"/>
      <c r="Y32" s="2"/>
      <c r="Z32" s="6"/>
    </row>
    <row r="33" spans="1:26" x14ac:dyDescent="0.3">
      <c r="A33" s="9"/>
      <c r="B33" s="9"/>
      <c r="C33" s="9"/>
      <c r="D33" s="2"/>
      <c r="E33" s="2"/>
      <c r="F33" s="6"/>
      <c r="G33" s="2"/>
      <c r="H33" s="2"/>
      <c r="I33" s="2"/>
      <c r="J33" s="6"/>
      <c r="K33" s="2"/>
      <c r="L33" s="2"/>
      <c r="M33" s="2"/>
      <c r="N33" s="6"/>
      <c r="P33" s="2"/>
      <c r="Q33" s="2"/>
      <c r="R33" s="6"/>
      <c r="S33" s="2"/>
      <c r="T33" s="2"/>
      <c r="U33" s="2"/>
      <c r="V33" s="6"/>
      <c r="W33" s="2"/>
      <c r="X33" s="2"/>
      <c r="Y33" s="2"/>
      <c r="Z33" s="6"/>
    </row>
    <row r="34" spans="1:26" s="23" customFormat="1" ht="15" thickBot="1" x14ac:dyDescent="0.35">
      <c r="A34" s="10"/>
      <c r="B34" s="26" t="s">
        <v>294</v>
      </c>
      <c r="C34" s="26"/>
      <c r="D34" s="33">
        <f>SUM(D31:D33)</f>
        <v>33.82000000000005</v>
      </c>
      <c r="E34" s="13"/>
      <c r="F34" s="31">
        <f>IF(D$12=0,0,D34/D$12)</f>
        <v>0</v>
      </c>
      <c r="G34" s="13"/>
      <c r="H34" s="33">
        <f>SUM(H31:H33)</f>
        <v>-1001</v>
      </c>
      <c r="I34" s="13"/>
      <c r="J34" s="31">
        <f>IF(H$12=0,0,H34/H$12)</f>
        <v>0</v>
      </c>
      <c r="K34" s="16"/>
      <c r="L34" s="33">
        <f>+D34-H34</f>
        <v>1034.8200000000002</v>
      </c>
      <c r="M34" s="16"/>
      <c r="N34" s="31">
        <f>IF(H34=0,0,L34/H34)</f>
        <v>-1.0337862137862139</v>
      </c>
      <c r="O34" s="25"/>
      <c r="P34" s="33">
        <f>SUM(P31:P33)</f>
        <v>33.82000000000005</v>
      </c>
      <c r="Q34" s="13"/>
      <c r="R34" s="31">
        <f>IF(P$12=0,0,P34/P$12)</f>
        <v>0</v>
      </c>
      <c r="S34" s="13"/>
      <c r="T34" s="33">
        <f>SUM(T31:T33)</f>
        <v>-1001</v>
      </c>
      <c r="U34" s="13"/>
      <c r="V34" s="31">
        <f>IF(T$12=0,0,T34/T$12)</f>
        <v>0</v>
      </c>
      <c r="W34" s="16"/>
      <c r="X34" s="33">
        <f>+P34-T34</f>
        <v>1034.8200000000002</v>
      </c>
      <c r="Y34" s="16"/>
      <c r="Z34" s="31">
        <f>IF(T34=0,0,X34/T34)</f>
        <v>-1.0337862137862139</v>
      </c>
    </row>
    <row r="35" spans="1:26" ht="15" thickTop="1" x14ac:dyDescent="0.3">
      <c r="A35" s="9"/>
      <c r="C35" s="9"/>
      <c r="D35" s="18"/>
      <c r="E35" s="18"/>
      <c r="G35" s="18"/>
      <c r="H35" s="18"/>
      <c r="I35" s="18"/>
      <c r="J35" s="43"/>
      <c r="K35" s="18"/>
      <c r="L35" s="18"/>
      <c r="M35" s="18"/>
      <c r="P35" s="18"/>
      <c r="Q35" s="18"/>
      <c r="R35" s="43"/>
      <c r="S35" s="18"/>
      <c r="T35" s="18"/>
      <c r="U35" s="18"/>
      <c r="V35" s="43"/>
      <c r="W35" s="18"/>
      <c r="X35" s="18"/>
    </row>
    <row r="36" spans="1:26" x14ac:dyDescent="0.3">
      <c r="A36" s="9"/>
      <c r="B36" s="54">
        <v>44462.64548684028</v>
      </c>
      <c r="D36" s="18"/>
      <c r="E36" s="18"/>
      <c r="G36" s="18"/>
      <c r="H36" s="18"/>
      <c r="I36" s="18"/>
      <c r="J36" s="43"/>
      <c r="K36" s="18"/>
      <c r="L36" s="18"/>
      <c r="M36" s="18"/>
      <c r="P36" s="18"/>
      <c r="Q36" s="18"/>
      <c r="R36" s="43"/>
      <c r="S36" s="18"/>
      <c r="T36" s="18"/>
      <c r="U36" s="18"/>
      <c r="V36" s="43"/>
      <c r="W36" s="18"/>
      <c r="X36" s="18"/>
    </row>
    <row r="37" spans="1:26" x14ac:dyDescent="0.3">
      <c r="A37" s="9"/>
      <c r="B37" s="59" t="s">
        <v>56</v>
      </c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3">
      <c r="A38" s="9"/>
      <c r="B38" s="55"/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3"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</sheetData>
  <pageMargins left="0.25" right="0.25" top="0.75" bottom="0.75" header="0.3" footer="0.3"/>
  <pageSetup scale="55" fitToWidth="2" orientation="landscape"/>
  <drawing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>
    <tabColor rgb="FF92D050"/>
    <outlinePr summaryBelow="0" summaryRight="0"/>
  </sheetPr>
  <dimension ref="A2:Z35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1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50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7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50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7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7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7" customWidth="1" outlineLevel="1"/>
  </cols>
  <sheetData>
    <row r="2" spans="1:26" x14ac:dyDescent="0.3">
      <c r="D2" s="57" t="s">
        <v>23</v>
      </c>
    </row>
    <row r="3" spans="1:26" x14ac:dyDescent="0.3">
      <c r="D3" s="57" t="s">
        <v>237</v>
      </c>
      <c r="E3" s="17"/>
      <c r="F3" s="51"/>
      <c r="G3" s="17"/>
      <c r="H3" s="17"/>
      <c r="I3" s="17"/>
      <c r="J3" s="39"/>
      <c r="K3" s="17"/>
      <c r="L3" s="17"/>
      <c r="M3" s="17"/>
      <c r="N3" s="51"/>
      <c r="O3" s="61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3">
      <c r="D4" s="57" t="str">
        <f>CONCATENATE("Period ",RIGHT(202201,2),", ",2022)</f>
        <v>Period 01, 2022</v>
      </c>
      <c r="E4" s="17"/>
      <c r="F4" s="51"/>
      <c r="G4" s="17"/>
      <c r="H4" s="17"/>
      <c r="I4" s="17"/>
      <c r="J4" s="39"/>
      <c r="K4" s="17"/>
      <c r="L4" s="17"/>
      <c r="M4" s="17"/>
      <c r="N4" s="51"/>
      <c r="O4" s="61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3">
      <c r="A5" s="23"/>
      <c r="D5" s="64">
        <v>44408</v>
      </c>
      <c r="E5" s="17"/>
      <c r="F5" s="51"/>
      <c r="G5" s="17"/>
      <c r="H5" s="17"/>
      <c r="I5" s="17"/>
      <c r="J5" s="39"/>
      <c r="K5" s="17"/>
      <c r="L5" s="17"/>
      <c r="M5" s="17"/>
      <c r="N5" s="51"/>
      <c r="O5" s="61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3">
      <c r="A6" s="23"/>
      <c r="B6" s="47"/>
      <c r="C6" s="47"/>
      <c r="D6" s="23" t="str">
        <f>CONCATENATE("Department ","455", " - ", "Vending (old)")</f>
        <v>Department 455 - Vending (old)</v>
      </c>
      <c r="E6" s="17"/>
      <c r="F6" s="51"/>
      <c r="G6" s="17"/>
      <c r="H6" s="17"/>
      <c r="I6" s="17"/>
      <c r="J6" s="39"/>
      <c r="K6" s="17"/>
      <c r="L6" s="17"/>
      <c r="M6" s="17"/>
      <c r="N6" s="51"/>
      <c r="O6" s="60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3">
      <c r="B7" s="63"/>
    </row>
    <row r="8" spans="1:26" x14ac:dyDescent="0.3">
      <c r="B8" s="63"/>
    </row>
    <row r="9" spans="1:26" x14ac:dyDescent="0.3">
      <c r="B9" s="9"/>
      <c r="C9" s="9"/>
      <c r="D9" s="15" t="s">
        <v>292</v>
      </c>
      <c r="E9" s="15"/>
      <c r="F9" s="38"/>
      <c r="G9" s="15"/>
      <c r="H9" s="15"/>
      <c r="I9" s="15"/>
      <c r="J9" s="49"/>
      <c r="K9" s="15"/>
      <c r="L9" s="15"/>
      <c r="M9" s="15"/>
      <c r="N9" s="38"/>
      <c r="P9" s="15" t="s">
        <v>39</v>
      </c>
      <c r="Q9" s="15"/>
      <c r="R9" s="38"/>
      <c r="S9" s="15"/>
      <c r="T9" s="15"/>
      <c r="U9" s="15"/>
      <c r="V9" s="49"/>
      <c r="W9" s="15"/>
      <c r="X9" s="15"/>
      <c r="Y9" s="15"/>
      <c r="Z9" s="38"/>
    </row>
    <row r="10" spans="1:26" x14ac:dyDescent="0.3">
      <c r="A10" s="10"/>
      <c r="B10" s="53"/>
      <c r="C10" s="10"/>
      <c r="D10" s="42" t="s">
        <v>57</v>
      </c>
      <c r="E10" s="34"/>
      <c r="F10" s="40" t="s">
        <v>40</v>
      </c>
      <c r="G10" s="34"/>
      <c r="H10" s="45" t="s">
        <v>238</v>
      </c>
      <c r="I10" s="34"/>
      <c r="J10" s="48" t="s">
        <v>58</v>
      </c>
      <c r="K10" s="10"/>
      <c r="L10" s="42" t="s">
        <v>127</v>
      </c>
      <c r="M10" s="10"/>
      <c r="N10" s="40" t="s">
        <v>258</v>
      </c>
      <c r="O10" s="10"/>
      <c r="P10" s="56" t="s">
        <v>57</v>
      </c>
      <c r="Q10" s="34"/>
      <c r="R10" s="40" t="s">
        <v>40</v>
      </c>
      <c r="S10" s="34"/>
      <c r="T10" s="45" t="s">
        <v>238</v>
      </c>
      <c r="U10" s="34"/>
      <c r="V10" s="48" t="s">
        <v>58</v>
      </c>
      <c r="W10" s="10"/>
      <c r="X10" s="42" t="s">
        <v>127</v>
      </c>
      <c r="Y10" s="10"/>
      <c r="Z10" s="40" t="s">
        <v>258</v>
      </c>
    </row>
    <row r="11" spans="1:26" ht="15.6" x14ac:dyDescent="0.3">
      <c r="A11" s="9"/>
      <c r="B11" s="58"/>
      <c r="C11" s="9"/>
      <c r="D11" s="9"/>
      <c r="E11" s="9"/>
      <c r="F11" s="6"/>
      <c r="G11" s="9"/>
      <c r="H11" s="9"/>
      <c r="I11" s="9"/>
      <c r="J11" s="46"/>
      <c r="K11" s="9"/>
      <c r="L11" s="9"/>
      <c r="M11" s="9"/>
      <c r="N11" s="6"/>
      <c r="P11" s="9"/>
      <c r="Q11" s="9"/>
      <c r="R11" s="6"/>
      <c r="S11" s="9"/>
      <c r="T11" s="9"/>
      <c r="U11" s="9"/>
      <c r="V11" s="46"/>
      <c r="W11" s="9"/>
      <c r="X11" s="9"/>
      <c r="Y11" s="9"/>
      <c r="Z11" s="6"/>
    </row>
    <row r="12" spans="1:26" s="23" customFormat="1" x14ac:dyDescent="0.3">
      <c r="A12" s="10"/>
      <c r="B12" s="25" t="s">
        <v>140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3">
      <c r="A13" s="9"/>
      <c r="B13" s="10"/>
      <c r="C13" s="9"/>
      <c r="D13" s="2"/>
      <c r="E13" s="2"/>
      <c r="F13" s="6"/>
      <c r="G13" s="2"/>
      <c r="H13" s="2"/>
      <c r="I13" s="2"/>
      <c r="J13" s="6"/>
      <c r="K13" s="2"/>
      <c r="L13" s="2"/>
      <c r="M13" s="2"/>
      <c r="N13" s="6"/>
      <c r="P13" s="2"/>
      <c r="Q13" s="2"/>
      <c r="R13" s="6"/>
      <c r="S13" s="2"/>
      <c r="T13" s="2"/>
      <c r="U13" s="2"/>
      <c r="V13" s="6"/>
      <c r="W13" s="2"/>
      <c r="X13" s="2"/>
      <c r="Y13" s="2"/>
      <c r="Z13" s="6"/>
    </row>
    <row r="14" spans="1:26" s="23" customFormat="1" x14ac:dyDescent="0.3">
      <c r="A14" s="10"/>
      <c r="B14" s="25" t="s">
        <v>257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3">
      <c r="A15" s="9"/>
      <c r="B15" s="10"/>
      <c r="C15" s="10"/>
      <c r="D15" s="2"/>
      <c r="E15" s="2"/>
      <c r="F15" s="6"/>
      <c r="G15" s="2"/>
      <c r="H15" s="2"/>
      <c r="I15" s="2"/>
      <c r="J15" s="6"/>
      <c r="K15" s="2"/>
      <c r="L15" s="2"/>
      <c r="M15" s="2"/>
      <c r="N15" s="6"/>
      <c r="O15" s="10"/>
      <c r="P15" s="2"/>
      <c r="Q15" s="2"/>
      <c r="R15" s="6"/>
      <c r="S15" s="2"/>
      <c r="T15" s="2"/>
      <c r="U15" s="2"/>
      <c r="V15" s="6"/>
      <c r="W15" s="2"/>
      <c r="X15" s="2"/>
      <c r="Y15" s="2"/>
      <c r="Z15" s="6"/>
    </row>
    <row r="16" spans="1:26" s="23" customFormat="1" x14ac:dyDescent="0.3">
      <c r="A16" s="10"/>
      <c r="B16" s="26" t="s">
        <v>108</v>
      </c>
      <c r="C16" s="26"/>
      <c r="D16" s="21">
        <f>D12-D14</f>
        <v>0</v>
      </c>
      <c r="E16" s="13"/>
      <c r="F16" s="22">
        <f>IF(D$12=0,0,D16/D$12)</f>
        <v>0</v>
      </c>
      <c r="G16" s="13"/>
      <c r="H16" s="21">
        <f>H12-H14</f>
        <v>0</v>
      </c>
      <c r="I16" s="13"/>
      <c r="J16" s="22">
        <f>IF(H$12=0,0,H16/H$12)</f>
        <v>0</v>
      </c>
      <c r="K16" s="16"/>
      <c r="L16" s="21">
        <f>+D16-H16</f>
        <v>0</v>
      </c>
      <c r="M16" s="16"/>
      <c r="N16" s="22">
        <f>IF(H16=0,0,L16/H16)</f>
        <v>0</v>
      </c>
      <c r="O16" s="25"/>
      <c r="P16" s="21">
        <f>P12-P14</f>
        <v>0</v>
      </c>
      <c r="Q16" s="13"/>
      <c r="R16" s="22">
        <f>IF(P$12=0,0,P16/P$12)</f>
        <v>0</v>
      </c>
      <c r="S16" s="13"/>
      <c r="T16" s="21">
        <f>T12-T14</f>
        <v>0</v>
      </c>
      <c r="U16" s="13"/>
      <c r="V16" s="22">
        <f>IF(T$12=0,0,T16/T$12)</f>
        <v>0</v>
      </c>
      <c r="W16" s="16"/>
      <c r="X16" s="21">
        <f>+P16-T16</f>
        <v>0</v>
      </c>
      <c r="Y16" s="16"/>
      <c r="Z16" s="22">
        <f>IF(T16=0,0,X16/T16)</f>
        <v>0</v>
      </c>
    </row>
    <row r="17" spans="1:26" x14ac:dyDescent="0.3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3">
      <c r="A18" s="10"/>
      <c r="B18" s="25" t="s">
        <v>295</v>
      </c>
      <c r="C18" s="10"/>
      <c r="D18" s="20">
        <f>SUM(0)</f>
        <v>0</v>
      </c>
      <c r="E18" s="20"/>
      <c r="F18" s="32">
        <f>IF(D$12=0,0,D18/D$12)</f>
        <v>0</v>
      </c>
      <c r="G18" s="20"/>
      <c r="H18" s="20">
        <f>SUM(0)</f>
        <v>0</v>
      </c>
      <c r="I18" s="20"/>
      <c r="J18" s="32">
        <f>IF(H$12=0,0,H18/H$12)</f>
        <v>0</v>
      </c>
      <c r="K18" s="4"/>
      <c r="L18" s="20">
        <f>+D18-H18</f>
        <v>0</v>
      </c>
      <c r="M18" s="4"/>
      <c r="N18" s="32">
        <f>IF(H18=0,0,L18/H18)</f>
        <v>0</v>
      </c>
      <c r="O18" s="10"/>
      <c r="P18" s="20">
        <f>SUM(0)</f>
        <v>0</v>
      </c>
      <c r="Q18" s="20"/>
      <c r="R18" s="32">
        <f>IF(P$12=0,0,P18/P$12)</f>
        <v>0</v>
      </c>
      <c r="S18" s="20"/>
      <c r="T18" s="20">
        <f>SUM(0)</f>
        <v>0</v>
      </c>
      <c r="U18" s="20"/>
      <c r="V18" s="32">
        <f>IF(T$12=0,0,T18/T$12)</f>
        <v>0</v>
      </c>
      <c r="W18" s="4"/>
      <c r="X18" s="20">
        <f>+P18-T18</f>
        <v>0</v>
      </c>
      <c r="Y18" s="4"/>
      <c r="Z18" s="32">
        <f>IF(T18=0,0,X18/T18)</f>
        <v>0</v>
      </c>
    </row>
    <row r="19" spans="1:26" s="62" customFormat="1" x14ac:dyDescent="0.3">
      <c r="A19" s="36"/>
      <c r="B19" s="36"/>
      <c r="C19" s="36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collapsed="1" x14ac:dyDescent="0.3">
      <c r="A20" s="10"/>
      <c r="B20" s="25" t="s">
        <v>293</v>
      </c>
      <c r="C20" s="10"/>
      <c r="D20" s="4">
        <f>SUM(OSRRefD25x_0)</f>
        <v>1238.1199999999999</v>
      </c>
      <c r="E20" s="4"/>
      <c r="F20" s="12">
        <f t="shared" ref="F20:F21" si="0">IF(D$12=0,0,D20/D$12)</f>
        <v>0</v>
      </c>
      <c r="G20" s="4"/>
      <c r="H20" s="4">
        <f>SUM(OSRRefH25x_0)</f>
        <v>0</v>
      </c>
      <c r="I20" s="4"/>
      <c r="J20" s="12">
        <f t="shared" ref="J20:J21" si="1">IF(H$12=0,0,H20/H$12)</f>
        <v>0</v>
      </c>
      <c r="K20" s="4"/>
      <c r="L20" s="4">
        <f t="shared" ref="L20:L21" si="2">+D20-H20</f>
        <v>1238.1199999999999</v>
      </c>
      <c r="M20" s="4"/>
      <c r="N20" s="12">
        <f t="shared" ref="N20:N21" si="3">IF(H20=0,0,L20/H20)</f>
        <v>0</v>
      </c>
      <c r="O20" s="10"/>
      <c r="P20" s="4">
        <f>SUM(OSRRefP25x_0)</f>
        <v>1238.1199999999999</v>
      </c>
      <c r="Q20" s="4"/>
      <c r="R20" s="12">
        <f t="shared" ref="R20:R21" si="4">IF(P$12=0,0,P20/P$12)</f>
        <v>0</v>
      </c>
      <c r="S20" s="4"/>
      <c r="T20" s="4">
        <f>SUM(OSRRefT25x_0)</f>
        <v>0</v>
      </c>
      <c r="U20" s="4"/>
      <c r="V20" s="12">
        <f t="shared" ref="V20:V21" si="5">IF(T$12=0,0,T20/T$12)</f>
        <v>0</v>
      </c>
      <c r="W20" s="4"/>
      <c r="X20" s="4">
        <f t="shared" ref="X20:X21" si="6">+P20-T20</f>
        <v>1238.1199999999999</v>
      </c>
      <c r="Y20" s="4"/>
      <c r="Z20" s="12">
        <f t="shared" ref="Z20:Z21" si="7">IF(T20=0,0,X20/T20)</f>
        <v>0</v>
      </c>
    </row>
    <row r="21" spans="1:26" s="24" customFormat="1" hidden="1" outlineLevel="1" x14ac:dyDescent="0.3">
      <c r="A21" s="44"/>
      <c r="B21" s="11" t="str">
        <f>CONCATENATE("          ", "9160", " - ", "MISC. INCOME")</f>
        <v xml:space="preserve">          9160 - MISC. INCOME</v>
      </c>
      <c r="C21" s="11"/>
      <c r="D21" s="3">
        <f>--1238.12</f>
        <v>1238.1199999999999</v>
      </c>
      <c r="E21" s="3"/>
      <c r="F21" s="19">
        <f t="shared" si="0"/>
        <v>0</v>
      </c>
      <c r="G21" s="3"/>
      <c r="H21" s="3"/>
      <c r="I21" s="3"/>
      <c r="J21" s="19">
        <f t="shared" si="1"/>
        <v>0</v>
      </c>
      <c r="K21" s="3"/>
      <c r="L21" s="3">
        <f t="shared" si="2"/>
        <v>1238.1199999999999</v>
      </c>
      <c r="M21" s="3"/>
      <c r="N21" s="19">
        <f t="shared" si="3"/>
        <v>0</v>
      </c>
      <c r="O21" s="11"/>
      <c r="P21" s="3">
        <f>--1238.12</f>
        <v>1238.1199999999999</v>
      </c>
      <c r="Q21" s="3"/>
      <c r="R21" s="19">
        <f t="shared" si="4"/>
        <v>0</v>
      </c>
      <c r="S21" s="3"/>
      <c r="T21" s="3"/>
      <c r="U21" s="3"/>
      <c r="V21" s="19">
        <f t="shared" si="5"/>
        <v>0</v>
      </c>
      <c r="W21" s="3"/>
      <c r="X21" s="3">
        <f t="shared" si="6"/>
        <v>1238.1199999999999</v>
      </c>
      <c r="Y21" s="3"/>
      <c r="Z21" s="19">
        <f t="shared" si="7"/>
        <v>0</v>
      </c>
    </row>
    <row r="22" spans="1:26" x14ac:dyDescent="0.3">
      <c r="A22" s="9"/>
      <c r="B22" s="10"/>
      <c r="C22" s="10"/>
      <c r="D22" s="2"/>
      <c r="E22" s="2"/>
      <c r="F22" s="6"/>
      <c r="G22" s="2"/>
      <c r="H22" s="2"/>
      <c r="I22" s="2"/>
      <c r="J22" s="6"/>
      <c r="K22" s="2"/>
      <c r="L22" s="2"/>
      <c r="M22" s="2"/>
      <c r="N22" s="6"/>
      <c r="O22" s="10"/>
      <c r="P22" s="2"/>
      <c r="Q22" s="2"/>
      <c r="R22" s="6"/>
      <c r="S22" s="2"/>
      <c r="T22" s="2"/>
      <c r="U22" s="2"/>
      <c r="V22" s="6"/>
      <c r="W22" s="2"/>
      <c r="X22" s="2"/>
      <c r="Y22" s="2"/>
      <c r="Z22" s="6"/>
    </row>
    <row r="23" spans="1:26" s="23" customFormat="1" x14ac:dyDescent="0.3">
      <c r="A23" s="10"/>
      <c r="B23" s="26" t="s">
        <v>277</v>
      </c>
      <c r="C23" s="26"/>
      <c r="D23" s="21">
        <f>+D16-D18+D20</f>
        <v>1238.1199999999999</v>
      </c>
      <c r="E23" s="13"/>
      <c r="F23" s="22">
        <f>IF(D$12=0,0,D23/D$12)</f>
        <v>0</v>
      </c>
      <c r="G23" s="13"/>
      <c r="H23" s="21">
        <f>+H16-H18+H20</f>
        <v>0</v>
      </c>
      <c r="I23" s="13"/>
      <c r="J23" s="22">
        <f>IF(H$12=0,0,H23/H$12)</f>
        <v>0</v>
      </c>
      <c r="K23" s="16"/>
      <c r="L23" s="21">
        <f>+D23-H23</f>
        <v>1238.1199999999999</v>
      </c>
      <c r="M23" s="16"/>
      <c r="N23" s="22">
        <f>IF(H23=0,0,L23/H23)</f>
        <v>0</v>
      </c>
      <c r="O23" s="25"/>
      <c r="P23" s="21">
        <f>+P16-P18+P20</f>
        <v>1238.1199999999999</v>
      </c>
      <c r="Q23" s="13"/>
      <c r="R23" s="22">
        <f>IF(P$12=0,0,P23/P$12)</f>
        <v>0</v>
      </c>
      <c r="S23" s="13"/>
      <c r="T23" s="21">
        <f>+T16-T18+T20</f>
        <v>0</v>
      </c>
      <c r="U23" s="13"/>
      <c r="V23" s="22">
        <f>IF(T$12=0,0,T23/T$12)</f>
        <v>0</v>
      </c>
      <c r="W23" s="16"/>
      <c r="X23" s="21">
        <f>+P23-T23</f>
        <v>1238.1199999999999</v>
      </c>
      <c r="Y23" s="16"/>
      <c r="Z23" s="22">
        <f>IF(T23=0,0,X23/T23)</f>
        <v>0</v>
      </c>
    </row>
    <row r="24" spans="1:26" x14ac:dyDescent="0.3">
      <c r="A24" s="9"/>
      <c r="B24" s="10"/>
      <c r="C24" s="9"/>
      <c r="D24" s="2"/>
      <c r="E24" s="2"/>
      <c r="F24" s="6"/>
      <c r="G24" s="2"/>
      <c r="H24" s="2"/>
      <c r="I24" s="2"/>
      <c r="J24" s="6"/>
      <c r="K24" s="2"/>
      <c r="L24" s="2"/>
      <c r="M24" s="2"/>
      <c r="N24" s="6"/>
      <c r="P24" s="2"/>
      <c r="Q24" s="2"/>
      <c r="R24" s="6"/>
      <c r="S24" s="2"/>
      <c r="T24" s="2"/>
      <c r="U24" s="2"/>
      <c r="V24" s="6"/>
      <c r="W24" s="2"/>
      <c r="X24" s="2"/>
      <c r="Y24" s="2"/>
      <c r="Z24" s="6"/>
    </row>
    <row r="25" spans="1:26" s="23" customFormat="1" x14ac:dyDescent="0.3">
      <c r="A25" s="52"/>
      <c r="B25" s="10" t="s">
        <v>128</v>
      </c>
      <c r="C25" s="10"/>
      <c r="D25" s="4"/>
      <c r="E25" s="4"/>
      <c r="F25" s="12">
        <f>IF(D$12=0,0,D25/D$12)</f>
        <v>0</v>
      </c>
      <c r="G25" s="4"/>
      <c r="H25" s="4"/>
      <c r="I25" s="4"/>
      <c r="J25" s="12">
        <f>IF(H$12=0,0,H25/H$12)</f>
        <v>0</v>
      </c>
      <c r="K25" s="4"/>
      <c r="L25" s="4">
        <f>+D25-H25</f>
        <v>0</v>
      </c>
      <c r="M25" s="4"/>
      <c r="N25" s="12">
        <f>IF(H25=0,0,L25/H25)</f>
        <v>0</v>
      </c>
      <c r="O25" s="10"/>
      <c r="P25" s="4"/>
      <c r="Q25" s="4"/>
      <c r="R25" s="12">
        <f>IF(P$12=0,0,P25/P$12)</f>
        <v>0</v>
      </c>
      <c r="S25" s="4"/>
      <c r="T25" s="4"/>
      <c r="U25" s="4"/>
      <c r="V25" s="12">
        <f>IF(T$12=0,0,T25/T$12)</f>
        <v>0</v>
      </c>
      <c r="W25" s="4"/>
      <c r="X25" s="4">
        <f>+P25-T25</f>
        <v>0</v>
      </c>
      <c r="Y25" s="4"/>
      <c r="Z25" s="12">
        <f>IF(T25=0,0,X25/T25)</f>
        <v>0</v>
      </c>
    </row>
    <row r="26" spans="1:26" x14ac:dyDescent="0.3">
      <c r="A26" s="9"/>
      <c r="B26" s="10"/>
      <c r="C26" s="10"/>
      <c r="D26" s="2"/>
      <c r="E26" s="2"/>
      <c r="F26" s="6"/>
      <c r="G26" s="2"/>
      <c r="H26" s="2"/>
      <c r="I26" s="2"/>
      <c r="J26" s="6"/>
      <c r="K26" s="2"/>
      <c r="L26" s="2"/>
      <c r="M26" s="2"/>
      <c r="N26" s="6"/>
      <c r="O26" s="10"/>
      <c r="P26" s="2"/>
      <c r="Q26" s="2"/>
      <c r="R26" s="6"/>
      <c r="S26" s="2"/>
      <c r="T26" s="2"/>
      <c r="U26" s="2"/>
      <c r="V26" s="6"/>
      <c r="W26" s="2"/>
      <c r="X26" s="2"/>
      <c r="Y26" s="2"/>
      <c r="Z26" s="6"/>
    </row>
    <row r="27" spans="1:26" s="23" customFormat="1" ht="15" thickBot="1" x14ac:dyDescent="0.35">
      <c r="A27" s="10"/>
      <c r="B27" s="26" t="s">
        <v>126</v>
      </c>
      <c r="C27" s="26"/>
      <c r="D27" s="35">
        <f>+D23-D25</f>
        <v>1238.1199999999999</v>
      </c>
      <c r="E27" s="13"/>
      <c r="F27" s="30">
        <f>IF(D$12=0,0,D27/D$12)</f>
        <v>0</v>
      </c>
      <c r="G27" s="13"/>
      <c r="H27" s="35">
        <f>+H23-H25</f>
        <v>0</v>
      </c>
      <c r="I27" s="13"/>
      <c r="J27" s="30">
        <f>IF(H$12=0,0,H27/H$12)</f>
        <v>0</v>
      </c>
      <c r="K27" s="16"/>
      <c r="L27" s="35">
        <f>D27-H27</f>
        <v>1238.1199999999999</v>
      </c>
      <c r="M27" s="16"/>
      <c r="N27" s="30">
        <f>IF(H27=0,0,L27/H27)</f>
        <v>0</v>
      </c>
      <c r="O27" s="25"/>
      <c r="P27" s="35">
        <f>+P23-P25</f>
        <v>1238.1199999999999</v>
      </c>
      <c r="Q27" s="13"/>
      <c r="R27" s="30">
        <f>IF(P$12=0,0,P27/P$12)</f>
        <v>0</v>
      </c>
      <c r="S27" s="13"/>
      <c r="T27" s="35">
        <f>+T23-T25</f>
        <v>0</v>
      </c>
      <c r="U27" s="13"/>
      <c r="V27" s="30">
        <f>IF(T$12=0,0,T27/T$12)</f>
        <v>0</v>
      </c>
      <c r="W27" s="16"/>
      <c r="X27" s="35">
        <f>P27-T27</f>
        <v>1238.1199999999999</v>
      </c>
      <c r="Y27" s="16"/>
      <c r="Z27" s="30">
        <f>IF(T27=0,0,X27/T27)</f>
        <v>0</v>
      </c>
    </row>
    <row r="28" spans="1:26" ht="15" thickTop="1" x14ac:dyDescent="0.3">
      <c r="A28" s="9"/>
      <c r="B28" s="9"/>
      <c r="C28" s="9"/>
      <c r="D28" s="2"/>
      <c r="E28" s="2"/>
      <c r="F28" s="6"/>
      <c r="G28" s="2"/>
      <c r="H28" s="2"/>
      <c r="I28" s="2"/>
      <c r="J28" s="6"/>
      <c r="K28" s="2"/>
      <c r="L28" s="2"/>
      <c r="M28" s="2"/>
      <c r="N28" s="6"/>
      <c r="P28" s="2"/>
      <c r="Q28" s="2"/>
      <c r="R28" s="6"/>
      <c r="S28" s="2"/>
      <c r="T28" s="2"/>
      <c r="U28" s="2"/>
      <c r="V28" s="6"/>
      <c r="W28" s="2"/>
      <c r="X28" s="2"/>
      <c r="Y28" s="2"/>
      <c r="Z28" s="6"/>
    </row>
    <row r="29" spans="1:26" x14ac:dyDescent="0.3">
      <c r="A29" s="9"/>
      <c r="B29" s="9"/>
      <c r="C29" s="9"/>
      <c r="D29" s="2"/>
      <c r="E29" s="2"/>
      <c r="F29" s="6"/>
      <c r="G29" s="2"/>
      <c r="H29" s="2"/>
      <c r="I29" s="2"/>
      <c r="J29" s="6"/>
      <c r="K29" s="2"/>
      <c r="L29" s="2"/>
      <c r="M29" s="2"/>
      <c r="N29" s="6"/>
      <c r="P29" s="2"/>
      <c r="Q29" s="2"/>
      <c r="R29" s="6"/>
      <c r="S29" s="2"/>
      <c r="T29" s="2"/>
      <c r="U29" s="2"/>
      <c r="V29" s="6"/>
      <c r="W29" s="2"/>
      <c r="X29" s="2"/>
      <c r="Y29" s="2"/>
      <c r="Z29" s="6"/>
    </row>
    <row r="30" spans="1:26" s="23" customFormat="1" ht="15" thickBot="1" x14ac:dyDescent="0.35">
      <c r="A30" s="10"/>
      <c r="B30" s="26" t="s">
        <v>294</v>
      </c>
      <c r="C30" s="26"/>
      <c r="D30" s="33">
        <f>SUM(D27:D29)</f>
        <v>1238.1199999999999</v>
      </c>
      <c r="E30" s="13"/>
      <c r="F30" s="31">
        <f>IF(D$12=0,0,D30/D$12)</f>
        <v>0</v>
      </c>
      <c r="G30" s="13"/>
      <c r="H30" s="33">
        <f>SUM(H27:H29)</f>
        <v>0</v>
      </c>
      <c r="I30" s="13"/>
      <c r="J30" s="31">
        <f>IF(H$12=0,0,H30/H$12)</f>
        <v>0</v>
      </c>
      <c r="K30" s="16"/>
      <c r="L30" s="33">
        <f>+D30-H30</f>
        <v>1238.1199999999999</v>
      </c>
      <c r="M30" s="16"/>
      <c r="N30" s="31">
        <f>IF(H30=0,0,L30/H30)</f>
        <v>0</v>
      </c>
      <c r="O30" s="25"/>
      <c r="P30" s="33">
        <f>SUM(P27:P29)</f>
        <v>1238.1199999999999</v>
      </c>
      <c r="Q30" s="13"/>
      <c r="R30" s="31">
        <f>IF(P$12=0,0,P30/P$12)</f>
        <v>0</v>
      </c>
      <c r="S30" s="13"/>
      <c r="T30" s="33">
        <f>SUM(T27:T29)</f>
        <v>0</v>
      </c>
      <c r="U30" s="13"/>
      <c r="V30" s="31">
        <f>IF(T$12=0,0,T30/T$12)</f>
        <v>0</v>
      </c>
      <c r="W30" s="16"/>
      <c r="X30" s="33">
        <f>+P30-T30</f>
        <v>1238.1199999999999</v>
      </c>
      <c r="Y30" s="16"/>
      <c r="Z30" s="31">
        <f>IF(T30=0,0,X30/T30)</f>
        <v>0</v>
      </c>
    </row>
    <row r="31" spans="1:26" ht="15" thickTop="1" x14ac:dyDescent="0.3">
      <c r="A31" s="9"/>
      <c r="C31" s="9"/>
      <c r="D31" s="18"/>
      <c r="E31" s="18"/>
      <c r="G31" s="18"/>
      <c r="H31" s="18"/>
      <c r="I31" s="18"/>
      <c r="J31" s="43"/>
      <c r="K31" s="18"/>
      <c r="L31" s="18"/>
      <c r="M31" s="18"/>
      <c r="P31" s="18"/>
      <c r="Q31" s="18"/>
      <c r="R31" s="43"/>
      <c r="S31" s="18"/>
      <c r="T31" s="18"/>
      <c r="U31" s="18"/>
      <c r="V31" s="43"/>
      <c r="W31" s="18"/>
      <c r="X31" s="18"/>
    </row>
    <row r="32" spans="1:26" x14ac:dyDescent="0.3">
      <c r="A32" s="9"/>
      <c r="B32" s="54">
        <v>44462.64548684028</v>
      </c>
      <c r="D32" s="18"/>
      <c r="E32" s="18"/>
      <c r="G32" s="18"/>
      <c r="H32" s="18"/>
      <c r="I32" s="18"/>
      <c r="J32" s="43"/>
      <c r="K32" s="18"/>
      <c r="L32" s="18"/>
      <c r="M32" s="18"/>
      <c r="P32" s="18"/>
      <c r="Q32" s="18"/>
      <c r="R32" s="43"/>
      <c r="S32" s="18"/>
      <c r="T32" s="18"/>
      <c r="U32" s="18"/>
      <c r="V32" s="43"/>
      <c r="W32" s="18"/>
      <c r="X32" s="18"/>
    </row>
    <row r="33" spans="1:24" x14ac:dyDescent="0.3">
      <c r="A33" s="9"/>
      <c r="B33" s="59" t="s">
        <v>56</v>
      </c>
      <c r="D33" s="18"/>
      <c r="E33" s="18"/>
      <c r="G33" s="18"/>
      <c r="H33" s="18"/>
      <c r="I33" s="18"/>
      <c r="J33" s="43"/>
      <c r="K33" s="18"/>
      <c r="L33" s="18"/>
      <c r="M33" s="18"/>
      <c r="P33" s="18"/>
      <c r="Q33" s="18"/>
      <c r="R33" s="43"/>
      <c r="S33" s="18"/>
      <c r="T33" s="18"/>
      <c r="U33" s="18"/>
      <c r="V33" s="43"/>
      <c r="W33" s="18"/>
      <c r="X33" s="18"/>
    </row>
    <row r="34" spans="1:24" x14ac:dyDescent="0.3">
      <c r="A34" s="9"/>
      <c r="B34" s="55"/>
      <c r="D34" s="18"/>
      <c r="E34" s="18"/>
      <c r="G34" s="18"/>
      <c r="H34" s="18"/>
      <c r="I34" s="18"/>
      <c r="J34" s="43"/>
      <c r="K34" s="18"/>
      <c r="L34" s="18"/>
      <c r="M34" s="18"/>
      <c r="P34" s="18"/>
      <c r="Q34" s="18"/>
      <c r="R34" s="43"/>
      <c r="S34" s="18"/>
      <c r="T34" s="18"/>
      <c r="U34" s="18"/>
      <c r="V34" s="43"/>
      <c r="W34" s="18"/>
      <c r="X34" s="18"/>
    </row>
    <row r="35" spans="1:24" x14ac:dyDescent="0.3">
      <c r="D35" s="18"/>
      <c r="E35" s="18"/>
      <c r="G35" s="18"/>
      <c r="H35" s="18"/>
      <c r="I35" s="18"/>
      <c r="J35" s="43"/>
      <c r="K35" s="18"/>
      <c r="L35" s="18"/>
      <c r="M35" s="18"/>
      <c r="P35" s="18"/>
      <c r="Q35" s="18"/>
      <c r="R35" s="43"/>
      <c r="S35" s="18"/>
      <c r="T35" s="18"/>
      <c r="U35" s="18"/>
      <c r="V35" s="43"/>
      <c r="W35" s="18"/>
      <c r="X35" s="18"/>
    </row>
  </sheetData>
  <pageMargins left="0.25" right="0.25" top="0.75" bottom="0.75" header="0.3" footer="0.3"/>
  <pageSetup scale="55" fitToWidth="2" orientation="landscape"/>
  <drawing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tabColor rgb="FFFFFF00"/>
    <outlinePr summaryBelow="0" summaryRight="0"/>
  </sheetPr>
  <dimension ref="A2:Z10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50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7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50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7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7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7" customWidth="1" outlineLevel="1"/>
  </cols>
  <sheetData>
    <row r="2" spans="1:26" x14ac:dyDescent="0.3">
      <c r="D2" s="57" t="s">
        <v>23</v>
      </c>
    </row>
    <row r="3" spans="1:26" x14ac:dyDescent="0.3">
      <c r="D3" s="57" t="s">
        <v>237</v>
      </c>
      <c r="E3" s="17"/>
      <c r="F3" s="51"/>
      <c r="G3" s="17"/>
      <c r="H3" s="17"/>
      <c r="I3" s="17"/>
      <c r="J3" s="39"/>
      <c r="K3" s="17"/>
      <c r="L3" s="17"/>
      <c r="M3" s="17"/>
      <c r="N3" s="51"/>
      <c r="O3" s="61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3">
      <c r="D4" s="57" t="str">
        <f>CONCATENATE("Period ",RIGHT(202201,2),", ",2022)</f>
        <v>Period 01, 2022</v>
      </c>
      <c r="E4" s="17"/>
      <c r="F4" s="51"/>
      <c r="G4" s="17"/>
      <c r="H4" s="17"/>
      <c r="I4" s="17"/>
      <c r="J4" s="39"/>
      <c r="K4" s="17"/>
      <c r="L4" s="17"/>
      <c r="M4" s="17"/>
      <c r="N4" s="51"/>
      <c r="O4" s="61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3">
      <c r="A5" s="23"/>
      <c r="D5" s="64">
        <v>44408</v>
      </c>
      <c r="E5" s="17"/>
      <c r="F5" s="51"/>
      <c r="G5" s="17"/>
      <c r="H5" s="17"/>
      <c r="I5" s="17"/>
      <c r="J5" s="39"/>
      <c r="K5" s="17"/>
      <c r="L5" s="17"/>
      <c r="M5" s="17"/>
      <c r="N5" s="51"/>
      <c r="O5" s="61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3">
      <c r="A6" s="23"/>
      <c r="B6" s="47"/>
      <c r="C6" s="47"/>
      <c r="D6" s="23" t="s">
        <v>183</v>
      </c>
      <c r="E6" s="17"/>
      <c r="F6" s="51"/>
      <c r="G6" s="17"/>
      <c r="H6" s="17"/>
      <c r="I6" s="17"/>
      <c r="J6" s="39"/>
      <c r="K6" s="17"/>
      <c r="L6" s="17"/>
      <c r="M6" s="17"/>
      <c r="N6" s="51"/>
      <c r="O6" s="60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3">
      <c r="B7" s="63"/>
    </row>
    <row r="8" spans="1:26" x14ac:dyDescent="0.3">
      <c r="B8" s="63"/>
    </row>
    <row r="9" spans="1:26" x14ac:dyDescent="0.3">
      <c r="B9" s="9"/>
      <c r="C9" s="9"/>
      <c r="D9" s="15" t="s">
        <v>292</v>
      </c>
      <c r="E9" s="15"/>
      <c r="F9" s="38"/>
      <c r="G9" s="15"/>
      <c r="H9" s="15"/>
      <c r="I9" s="15"/>
      <c r="J9" s="49"/>
      <c r="K9" s="15"/>
      <c r="L9" s="15"/>
      <c r="M9" s="15"/>
      <c r="N9" s="38"/>
      <c r="P9" s="15" t="s">
        <v>39</v>
      </c>
      <c r="Q9" s="15"/>
      <c r="R9" s="38"/>
      <c r="S9" s="15"/>
      <c r="T9" s="15"/>
      <c r="U9" s="15"/>
      <c r="V9" s="49"/>
      <c r="W9" s="15"/>
      <c r="X9" s="15"/>
      <c r="Y9" s="15"/>
      <c r="Z9" s="38"/>
    </row>
    <row r="10" spans="1:26" x14ac:dyDescent="0.3">
      <c r="A10" s="10"/>
      <c r="B10" s="53"/>
      <c r="C10" s="10"/>
      <c r="D10" s="42" t="s">
        <v>57</v>
      </c>
      <c r="E10" s="34"/>
      <c r="F10" s="40" t="s">
        <v>40</v>
      </c>
      <c r="G10" s="34"/>
      <c r="H10" s="45" t="s">
        <v>238</v>
      </c>
      <c r="I10" s="34"/>
      <c r="J10" s="48" t="s">
        <v>58</v>
      </c>
      <c r="K10" s="10"/>
      <c r="L10" s="42" t="s">
        <v>127</v>
      </c>
      <c r="M10" s="10"/>
      <c r="N10" s="40" t="s">
        <v>258</v>
      </c>
      <c r="O10" s="10"/>
      <c r="P10" s="56" t="s">
        <v>57</v>
      </c>
      <c r="Q10" s="34"/>
      <c r="R10" s="40" t="s">
        <v>40</v>
      </c>
      <c r="S10" s="34"/>
      <c r="T10" s="45" t="s">
        <v>238</v>
      </c>
      <c r="U10" s="34"/>
      <c r="V10" s="48" t="s">
        <v>58</v>
      </c>
      <c r="W10" s="10"/>
      <c r="X10" s="42" t="s">
        <v>127</v>
      </c>
      <c r="Y10" s="10"/>
      <c r="Z10" s="40" t="s">
        <v>258</v>
      </c>
    </row>
    <row r="11" spans="1:26" ht="15.6" x14ac:dyDescent="0.3">
      <c r="A11" s="9"/>
      <c r="B11" s="58"/>
      <c r="C11" s="9"/>
      <c r="D11" s="9"/>
      <c r="E11" s="9"/>
      <c r="F11" s="6"/>
      <c r="G11" s="9"/>
      <c r="H11" s="9"/>
      <c r="I11" s="9"/>
      <c r="J11" s="46"/>
      <c r="K11" s="9"/>
      <c r="L11" s="9"/>
      <c r="M11" s="9"/>
      <c r="N11" s="6"/>
      <c r="P11" s="9"/>
      <c r="Q11" s="9"/>
      <c r="R11" s="6"/>
      <c r="S11" s="9"/>
      <c r="T11" s="9"/>
      <c r="U11" s="9"/>
      <c r="V11" s="46"/>
      <c r="W11" s="9"/>
      <c r="X11" s="9"/>
      <c r="Y11" s="9"/>
      <c r="Z11" s="6"/>
    </row>
    <row r="12" spans="1:26" s="23" customFormat="1" collapsed="1" x14ac:dyDescent="0.3">
      <c r="A12" s="10"/>
      <c r="B12" s="25" t="s">
        <v>140</v>
      </c>
      <c r="C12" s="10"/>
      <c r="D12" s="4">
        <f>SUM(OSRRefD13x_0)</f>
        <v>22987.35</v>
      </c>
      <c r="E12" s="4"/>
      <c r="F12" s="12"/>
      <c r="G12" s="4"/>
      <c r="H12" s="4">
        <f>SUM(OSRRefH13x_0)</f>
        <v>0</v>
      </c>
      <c r="I12" s="4"/>
      <c r="J12" s="12"/>
      <c r="K12" s="4"/>
      <c r="L12" s="4">
        <f t="shared" ref="L12:L15" si="0">+D12-H12</f>
        <v>22987.35</v>
      </c>
      <c r="M12" s="4"/>
      <c r="N12" s="12">
        <f t="shared" ref="N12:N15" si="1">IF(H12=0,0,L12/H12)</f>
        <v>0</v>
      </c>
      <c r="O12" s="10"/>
      <c r="P12" s="4">
        <f>SUM(OSRRefP13x_0)</f>
        <v>22987.35</v>
      </c>
      <c r="Q12" s="4"/>
      <c r="R12" s="12"/>
      <c r="S12" s="4"/>
      <c r="T12" s="4">
        <f>SUM(OSRRefT13x_0)</f>
        <v>0</v>
      </c>
      <c r="U12" s="4"/>
      <c r="V12" s="12"/>
      <c r="W12" s="4"/>
      <c r="X12" s="4">
        <f t="shared" ref="X12:X15" si="2">+P12-T12</f>
        <v>22987.35</v>
      </c>
      <c r="Y12" s="4"/>
      <c r="Z12" s="12">
        <f t="shared" ref="Z12:Z15" si="3">IF(T12=0,0,X12/T12)</f>
        <v>0</v>
      </c>
    </row>
    <row r="13" spans="1:26" s="24" customFormat="1" hidden="1" outlineLevel="1" x14ac:dyDescent="0.3">
      <c r="A13" s="44"/>
      <c r="B13" s="11" t="str">
        <f>CONCATENATE("          ", "4053", " - ", "TAXABLE SALES-FOOD")</f>
        <v xml:space="preserve">          4053 - TAXABLE SALES-FOOD</v>
      </c>
      <c r="C13" s="11"/>
      <c r="D13" s="3">
        <f>--106.64</f>
        <v>106.64</v>
      </c>
      <c r="E13" s="3"/>
      <c r="F13" s="19"/>
      <c r="G13" s="3"/>
      <c r="H13" s="3"/>
      <c r="I13" s="3"/>
      <c r="J13" s="19"/>
      <c r="K13" s="3"/>
      <c r="L13" s="3">
        <f t="shared" si="0"/>
        <v>106.64</v>
      </c>
      <c r="M13" s="3"/>
      <c r="N13" s="19">
        <f t="shared" si="1"/>
        <v>0</v>
      </c>
      <c r="O13" s="11"/>
      <c r="P13" s="3">
        <f>--106.64</f>
        <v>106.64</v>
      </c>
      <c r="Q13" s="3"/>
      <c r="R13" s="19"/>
      <c r="S13" s="3"/>
      <c r="T13" s="3"/>
      <c r="U13" s="3"/>
      <c r="V13" s="19"/>
      <c r="W13" s="3"/>
      <c r="X13" s="3">
        <f t="shared" si="2"/>
        <v>106.64</v>
      </c>
      <c r="Y13" s="3"/>
      <c r="Z13" s="19">
        <f t="shared" si="3"/>
        <v>0</v>
      </c>
    </row>
    <row r="14" spans="1:26" s="24" customFormat="1" hidden="1" outlineLevel="1" x14ac:dyDescent="0.3">
      <c r="A14" s="44"/>
      <c r="B14" s="11" t="str">
        <f>CONCATENATE("          ", "4151", " - ", "NON-TAXABLE SALES-FOOD")</f>
        <v xml:space="preserve">          4151 - NON-TAXABLE SALES-FOOD</v>
      </c>
      <c r="C14" s="11"/>
      <c r="D14" s="3">
        <f>--19600</f>
        <v>19600</v>
      </c>
      <c r="E14" s="3"/>
      <c r="F14" s="19"/>
      <c r="G14" s="3"/>
      <c r="H14" s="3"/>
      <c r="I14" s="3"/>
      <c r="J14" s="19"/>
      <c r="K14" s="3"/>
      <c r="L14" s="3">
        <f t="shared" si="0"/>
        <v>19600</v>
      </c>
      <c r="M14" s="3"/>
      <c r="N14" s="19">
        <f t="shared" si="1"/>
        <v>0</v>
      </c>
      <c r="O14" s="11"/>
      <c r="P14" s="3">
        <f>--19600</f>
        <v>19600</v>
      </c>
      <c r="Q14" s="3"/>
      <c r="R14" s="19"/>
      <c r="S14" s="3"/>
      <c r="T14" s="3"/>
      <c r="U14" s="3"/>
      <c r="V14" s="19"/>
      <c r="W14" s="3"/>
      <c r="X14" s="3">
        <f t="shared" si="2"/>
        <v>19600</v>
      </c>
      <c r="Y14" s="3"/>
      <c r="Z14" s="19">
        <f t="shared" si="3"/>
        <v>0</v>
      </c>
    </row>
    <row r="15" spans="1:26" s="24" customFormat="1" hidden="1" outlineLevel="1" x14ac:dyDescent="0.3">
      <c r="A15" s="44"/>
      <c r="B15" s="11" t="str">
        <f>CONCATENATE("          ", "4153", " - ", "NON-TAXABLE SALES-FOOD")</f>
        <v xml:space="preserve">          4153 - NON-TAXABLE SALES-FOOD</v>
      </c>
      <c r="C15" s="11"/>
      <c r="D15" s="3">
        <f>--3280.71</f>
        <v>3280.71</v>
      </c>
      <c r="E15" s="3"/>
      <c r="F15" s="19"/>
      <c r="G15" s="3"/>
      <c r="H15" s="3"/>
      <c r="I15" s="3"/>
      <c r="J15" s="19"/>
      <c r="K15" s="3"/>
      <c r="L15" s="3">
        <f t="shared" si="0"/>
        <v>3280.71</v>
      </c>
      <c r="M15" s="3"/>
      <c r="N15" s="19">
        <f t="shared" si="1"/>
        <v>0</v>
      </c>
      <c r="O15" s="11"/>
      <c r="P15" s="3">
        <f>--3280.71</f>
        <v>3280.71</v>
      </c>
      <c r="Q15" s="3"/>
      <c r="R15" s="19"/>
      <c r="S15" s="3"/>
      <c r="T15" s="3"/>
      <c r="U15" s="3"/>
      <c r="V15" s="19"/>
      <c r="W15" s="3"/>
      <c r="X15" s="3">
        <f t="shared" si="2"/>
        <v>3280.71</v>
      </c>
      <c r="Y15" s="3"/>
      <c r="Z15" s="19">
        <f t="shared" si="3"/>
        <v>0</v>
      </c>
    </row>
    <row r="16" spans="1:26" x14ac:dyDescent="0.3">
      <c r="A16" s="9"/>
      <c r="B16" s="10"/>
      <c r="C16" s="9"/>
      <c r="D16" s="2"/>
      <c r="E16" s="2"/>
      <c r="F16" s="6"/>
      <c r="G16" s="2"/>
      <c r="H16" s="2"/>
      <c r="I16" s="2"/>
      <c r="J16" s="6"/>
      <c r="K16" s="2"/>
      <c r="L16" s="2"/>
      <c r="M16" s="2"/>
      <c r="N16" s="6"/>
      <c r="P16" s="2"/>
      <c r="Q16" s="2"/>
      <c r="R16" s="6"/>
      <c r="S16" s="2"/>
      <c r="T16" s="2"/>
      <c r="U16" s="2"/>
      <c r="V16" s="6"/>
      <c r="W16" s="2"/>
      <c r="X16" s="2"/>
      <c r="Y16" s="2"/>
      <c r="Z16" s="6"/>
    </row>
    <row r="17" spans="1:26" s="23" customFormat="1" collapsed="1" x14ac:dyDescent="0.3">
      <c r="A17" s="10"/>
      <c r="B17" s="25" t="s">
        <v>257</v>
      </c>
      <c r="C17" s="10"/>
      <c r="D17" s="4">
        <f>SUM(OSRRefD16x_0)</f>
        <v>17128.84</v>
      </c>
      <c r="E17" s="4"/>
      <c r="F17" s="12">
        <f t="shared" ref="F17:F19" si="4">IF(D$12=0,0,D17/D$12)</f>
        <v>0.74514200201415126</v>
      </c>
      <c r="G17" s="4"/>
      <c r="H17" s="4">
        <f>SUM(OSRRefH16x_0)</f>
        <v>0</v>
      </c>
      <c r="I17" s="4"/>
      <c r="J17" s="12">
        <f t="shared" ref="J17:J19" si="5">IF(H$12=0,0,H17/H$12)</f>
        <v>0</v>
      </c>
      <c r="K17" s="4"/>
      <c r="L17" s="4">
        <f t="shared" ref="L17:L19" si="6">+D17-H17</f>
        <v>17128.84</v>
      </c>
      <c r="M17" s="4"/>
      <c r="N17" s="12">
        <f t="shared" ref="N17:N19" si="7">IF(H17=0,0,L17/H17)</f>
        <v>0</v>
      </c>
      <c r="O17" s="10"/>
      <c r="P17" s="4">
        <f>SUM(OSRRefP16x_0)</f>
        <v>17128.84</v>
      </c>
      <c r="Q17" s="4"/>
      <c r="R17" s="12">
        <f t="shared" ref="R17:R19" si="8">IF(P$12=0,0,P17/P$12)</f>
        <v>0.74514200201415126</v>
      </c>
      <c r="S17" s="4"/>
      <c r="T17" s="4">
        <f>SUM(OSRRefT16x_0)</f>
        <v>0</v>
      </c>
      <c r="U17" s="4"/>
      <c r="V17" s="12">
        <f t="shared" ref="V17:V19" si="9">IF(T$12=0,0,T17/T$12)</f>
        <v>0</v>
      </c>
      <c r="W17" s="4"/>
      <c r="X17" s="4">
        <f t="shared" ref="X17:X19" si="10">+P17-T17</f>
        <v>17128.84</v>
      </c>
      <c r="Y17" s="4"/>
      <c r="Z17" s="12">
        <f t="shared" ref="Z17:Z19" si="11">IF(T17=0,0,X17/T17)</f>
        <v>0</v>
      </c>
    </row>
    <row r="18" spans="1:26" s="24" customFormat="1" hidden="1" outlineLevel="1" x14ac:dyDescent="0.3">
      <c r="A18" s="44"/>
      <c r="B18" s="11" t="str">
        <f>CONCATENATE("          ", "5053", " - ", "PURCHASES @ COST-FOOD")</f>
        <v xml:space="preserve">          5053 - PURCHASES @ COST-FOOD</v>
      </c>
      <c r="C18" s="11"/>
      <c r="D18" s="3">
        <v>17968.84</v>
      </c>
      <c r="E18" s="3"/>
      <c r="F18" s="19">
        <f t="shared" si="4"/>
        <v>0.7816838391550136</v>
      </c>
      <c r="G18" s="3"/>
      <c r="H18" s="3"/>
      <c r="I18" s="3"/>
      <c r="J18" s="19">
        <f t="shared" si="5"/>
        <v>0</v>
      </c>
      <c r="K18" s="3"/>
      <c r="L18" s="3">
        <f t="shared" si="6"/>
        <v>17968.84</v>
      </c>
      <c r="M18" s="3"/>
      <c r="N18" s="19">
        <f t="shared" si="7"/>
        <v>0</v>
      </c>
      <c r="O18" s="11"/>
      <c r="P18" s="3">
        <v>17968.84</v>
      </c>
      <c r="Q18" s="3"/>
      <c r="R18" s="19">
        <f t="shared" si="8"/>
        <v>0.7816838391550136</v>
      </c>
      <c r="S18" s="3"/>
      <c r="T18" s="3"/>
      <c r="U18" s="3"/>
      <c r="V18" s="19">
        <f t="shared" si="9"/>
        <v>0</v>
      </c>
      <c r="W18" s="3"/>
      <c r="X18" s="3">
        <f t="shared" si="10"/>
        <v>17968.84</v>
      </c>
      <c r="Y18" s="3"/>
      <c r="Z18" s="19">
        <f t="shared" si="11"/>
        <v>0</v>
      </c>
    </row>
    <row r="19" spans="1:26" s="24" customFormat="1" hidden="1" outlineLevel="1" x14ac:dyDescent="0.3">
      <c r="A19" s="44"/>
      <c r="B19" s="11" t="str">
        <f>CONCATENATE("          ", "5059", " - ", "PURCHASES @ COST-FOOD")</f>
        <v xml:space="preserve">          5059 - PURCHASES @ COST-FOOD</v>
      </c>
      <c r="C19" s="11"/>
      <c r="D19" s="3">
        <v>-840</v>
      </c>
      <c r="E19" s="3"/>
      <c r="F19" s="19">
        <f t="shared" si="4"/>
        <v>-3.654183714086226E-2</v>
      </c>
      <c r="G19" s="3"/>
      <c r="H19" s="3"/>
      <c r="I19" s="3"/>
      <c r="J19" s="19">
        <f t="shared" si="5"/>
        <v>0</v>
      </c>
      <c r="K19" s="3"/>
      <c r="L19" s="3">
        <f t="shared" si="6"/>
        <v>-840</v>
      </c>
      <c r="M19" s="3"/>
      <c r="N19" s="19">
        <f t="shared" si="7"/>
        <v>0</v>
      </c>
      <c r="O19" s="11"/>
      <c r="P19" s="3">
        <v>-840</v>
      </c>
      <c r="Q19" s="3"/>
      <c r="R19" s="19">
        <f t="shared" si="8"/>
        <v>-3.654183714086226E-2</v>
      </c>
      <c r="S19" s="3"/>
      <c r="T19" s="3"/>
      <c r="U19" s="3"/>
      <c r="V19" s="19">
        <f t="shared" si="9"/>
        <v>0</v>
      </c>
      <c r="W19" s="3"/>
      <c r="X19" s="3">
        <f t="shared" si="10"/>
        <v>-840</v>
      </c>
      <c r="Y19" s="3"/>
      <c r="Z19" s="19">
        <f t="shared" si="11"/>
        <v>0</v>
      </c>
    </row>
    <row r="20" spans="1:26" x14ac:dyDescent="0.3">
      <c r="A20" s="9"/>
      <c r="B20" s="10"/>
      <c r="C20" s="10"/>
      <c r="D20" s="2"/>
      <c r="E20" s="2"/>
      <c r="F20" s="6"/>
      <c r="G20" s="2"/>
      <c r="H20" s="2"/>
      <c r="I20" s="2"/>
      <c r="J20" s="6"/>
      <c r="K20" s="2"/>
      <c r="L20" s="2"/>
      <c r="M20" s="2"/>
      <c r="N20" s="6"/>
      <c r="O20" s="10"/>
      <c r="P20" s="2"/>
      <c r="Q20" s="2"/>
      <c r="R20" s="6"/>
      <c r="S20" s="2"/>
      <c r="T20" s="2"/>
      <c r="U20" s="2"/>
      <c r="V20" s="6"/>
      <c r="W20" s="2"/>
      <c r="X20" s="2"/>
      <c r="Y20" s="2"/>
      <c r="Z20" s="6"/>
    </row>
    <row r="21" spans="1:26" s="23" customFormat="1" x14ac:dyDescent="0.3">
      <c r="A21" s="10"/>
      <c r="B21" s="26" t="s">
        <v>108</v>
      </c>
      <c r="C21" s="26"/>
      <c r="D21" s="21">
        <f>D12-D17</f>
        <v>5858.5099999999984</v>
      </c>
      <c r="E21" s="13"/>
      <c r="F21" s="22">
        <f>IF(D$12=0,0,D21/D$12)</f>
        <v>0.25485799798584868</v>
      </c>
      <c r="G21" s="13"/>
      <c r="H21" s="21">
        <f>H12-H17</f>
        <v>0</v>
      </c>
      <c r="I21" s="13"/>
      <c r="J21" s="22">
        <f>IF(H$12=0,0,H21/H$12)</f>
        <v>0</v>
      </c>
      <c r="K21" s="16"/>
      <c r="L21" s="21">
        <f>+D21-H21</f>
        <v>5858.5099999999984</v>
      </c>
      <c r="M21" s="16"/>
      <c r="N21" s="22">
        <f>IF(H21=0,0,L21/H21)</f>
        <v>0</v>
      </c>
      <c r="O21" s="25"/>
      <c r="P21" s="21">
        <f>P12-P17</f>
        <v>5858.5099999999984</v>
      </c>
      <c r="Q21" s="13"/>
      <c r="R21" s="22">
        <f>IF(P$12=0,0,P21/P$12)</f>
        <v>0.25485799798584868</v>
      </c>
      <c r="S21" s="13"/>
      <c r="T21" s="21">
        <f>T12-T17</f>
        <v>0</v>
      </c>
      <c r="U21" s="13"/>
      <c r="V21" s="22">
        <f>IF(T$12=0,0,T21/T$12)</f>
        <v>0</v>
      </c>
      <c r="W21" s="16"/>
      <c r="X21" s="21">
        <f>+P21-T21</f>
        <v>5858.5099999999984</v>
      </c>
      <c r="Y21" s="16"/>
      <c r="Z21" s="22">
        <f>IF(T21=0,0,X21/T21)</f>
        <v>0</v>
      </c>
    </row>
    <row r="22" spans="1:26" x14ac:dyDescent="0.3">
      <c r="A22" s="9"/>
      <c r="B22" s="10"/>
      <c r="C22" s="9"/>
      <c r="D22" s="1"/>
      <c r="E22" s="1"/>
      <c r="F22" s="5"/>
      <c r="G22" s="1"/>
      <c r="H22" s="1"/>
      <c r="I22" s="1"/>
      <c r="J22" s="5"/>
      <c r="K22" s="1"/>
      <c r="L22" s="1"/>
      <c r="M22" s="1"/>
      <c r="N22" s="5"/>
      <c r="O22" s="36"/>
      <c r="P22" s="1"/>
      <c r="Q22" s="1"/>
      <c r="R22" s="5"/>
      <c r="S22" s="1"/>
      <c r="T22" s="1"/>
      <c r="U22" s="1"/>
      <c r="V22" s="5"/>
      <c r="W22" s="1"/>
      <c r="X22" s="1"/>
      <c r="Y22" s="1"/>
      <c r="Z22" s="5"/>
    </row>
    <row r="23" spans="1:26" s="23" customFormat="1" x14ac:dyDescent="0.3">
      <c r="A23" s="10"/>
      <c r="B23" s="25" t="s">
        <v>295</v>
      </c>
      <c r="C23" s="10"/>
      <c r="D23" s="20">
        <f>SUM(OSRRefD22x_0)</f>
        <v>194629.89000000007</v>
      </c>
      <c r="E23" s="20"/>
      <c r="F23" s="32">
        <f t="shared" ref="F23:F34" si="12">IF(D$12=0,0,D23/D$12)</f>
        <v>8.4668258846713549</v>
      </c>
      <c r="G23" s="20"/>
      <c r="H23" s="20">
        <f>SUM(OSRRefH22x_0)</f>
        <v>342167.83140633255</v>
      </c>
      <c r="I23" s="20"/>
      <c r="J23" s="32">
        <f t="shared" ref="J23:J34" si="13">IF(H$12=0,0,H23/H$12)</f>
        <v>0</v>
      </c>
      <c r="K23" s="4"/>
      <c r="L23" s="20">
        <f t="shared" ref="L23:L34" si="14">+D23-H23</f>
        <v>-147537.94140633248</v>
      </c>
      <c r="M23" s="4"/>
      <c r="N23" s="32">
        <f t="shared" ref="N23:N34" si="15">IF(H23=0,0,L23/H23)</f>
        <v>-0.43118589143795816</v>
      </c>
      <c r="O23" s="10"/>
      <c r="P23" s="20">
        <f>SUM(OSRRefP22x_0)</f>
        <v>194629.89000000007</v>
      </c>
      <c r="Q23" s="20"/>
      <c r="R23" s="32">
        <f t="shared" ref="R23:R34" si="16">IF(P$12=0,0,P23/P$12)</f>
        <v>8.4668258846713549</v>
      </c>
      <c r="S23" s="20"/>
      <c r="T23" s="20">
        <f>SUM(OSRRefT22x_0)</f>
        <v>342167.83140633255</v>
      </c>
      <c r="U23" s="20"/>
      <c r="V23" s="32">
        <f t="shared" ref="V23:V34" si="17">IF(T$12=0,0,T23/T$12)</f>
        <v>0</v>
      </c>
      <c r="W23" s="4"/>
      <c r="X23" s="20">
        <f t="shared" ref="X23:X34" si="18">+P23-T23</f>
        <v>-147537.94140633248</v>
      </c>
      <c r="Y23" s="4"/>
      <c r="Z23" s="32">
        <f t="shared" ref="Z23:Z34" si="19">IF(T23=0,0,X23/T23)</f>
        <v>-0.43118589143795816</v>
      </c>
    </row>
    <row r="24" spans="1:26" s="27" customFormat="1" outlineLevel="1" collapsed="1" x14ac:dyDescent="0.3">
      <c r="A24" s="28"/>
      <c r="B24" s="14" t="str">
        <f>CONCATENATE("     ","*Benefits                                         ")</f>
        <v xml:space="preserve">     *Benefits                                         </v>
      </c>
      <c r="C24" s="14"/>
      <c r="D24" s="1">
        <f>SUM(OSRRefD22_0x_0)</f>
        <v>67799.51999999999</v>
      </c>
      <c r="E24" s="1"/>
      <c r="F24" s="5">
        <f t="shared" si="12"/>
        <v>2.9494274024626583</v>
      </c>
      <c r="G24" s="1"/>
      <c r="H24" s="1">
        <f>SUM(OSRRefH22_0x_0)</f>
        <v>115982.92896402499</v>
      </c>
      <c r="I24" s="1"/>
      <c r="J24" s="5">
        <f t="shared" si="13"/>
        <v>0</v>
      </c>
      <c r="K24" s="1"/>
      <c r="L24" s="1">
        <f t="shared" si="14"/>
        <v>-48183.408964025002</v>
      </c>
      <c r="M24" s="1"/>
      <c r="N24" s="5">
        <f t="shared" si="15"/>
        <v>-0.41543535237819607</v>
      </c>
      <c r="O24" s="14"/>
      <c r="P24" s="1">
        <f>SUM(OSRRefP22_0x_0)</f>
        <v>67799.51999999999</v>
      </c>
      <c r="Q24" s="1"/>
      <c r="R24" s="5">
        <f t="shared" si="16"/>
        <v>2.9494274024626583</v>
      </c>
      <c r="S24" s="1"/>
      <c r="T24" s="1">
        <f>SUM(OSRRefT22_0x_0)</f>
        <v>115982.92896402499</v>
      </c>
      <c r="U24" s="1"/>
      <c r="V24" s="5">
        <f t="shared" si="17"/>
        <v>0</v>
      </c>
      <c r="W24" s="1"/>
      <c r="X24" s="1">
        <f t="shared" si="18"/>
        <v>-48183.408964025002</v>
      </c>
      <c r="Y24" s="1"/>
      <c r="Z24" s="5">
        <f t="shared" si="19"/>
        <v>-0.41543535237819607</v>
      </c>
    </row>
    <row r="25" spans="1:26" s="24" customFormat="1" hidden="1" outlineLevel="2" x14ac:dyDescent="0.3">
      <c r="A25" s="29"/>
      <c r="B25" s="11" t="str">
        <f>CONCATENATE("          ", "6111", " - ", "F.I.C.A.")</f>
        <v xml:space="preserve">          6111 - F.I.C.A.</v>
      </c>
      <c r="C25" s="11"/>
      <c r="D25" s="8">
        <v>6629.57</v>
      </c>
      <c r="E25" s="3"/>
      <c r="F25" s="7">
        <f t="shared" si="12"/>
        <v>0.28840079434993593</v>
      </c>
      <c r="G25" s="3"/>
      <c r="H25" s="8">
        <v>13339.8689621019</v>
      </c>
      <c r="I25" s="3"/>
      <c r="J25" s="7">
        <f t="shared" si="13"/>
        <v>0</v>
      </c>
      <c r="K25" s="3"/>
      <c r="L25" s="8">
        <f t="shared" si="14"/>
        <v>-6710.2989621019005</v>
      </c>
      <c r="M25" s="3"/>
      <c r="N25" s="7">
        <f t="shared" si="15"/>
        <v>-0.50302585288998147</v>
      </c>
      <c r="O25" s="11"/>
      <c r="P25" s="8">
        <v>6629.57</v>
      </c>
      <c r="Q25" s="3"/>
      <c r="R25" s="7">
        <f t="shared" si="16"/>
        <v>0.28840079434993593</v>
      </c>
      <c r="S25" s="3"/>
      <c r="T25" s="8">
        <v>13339.8689621019</v>
      </c>
      <c r="U25" s="3"/>
      <c r="V25" s="7">
        <f t="shared" si="17"/>
        <v>0</v>
      </c>
      <c r="W25" s="3"/>
      <c r="X25" s="8">
        <f t="shared" si="18"/>
        <v>-6710.2989621019005</v>
      </c>
      <c r="Y25" s="3"/>
      <c r="Z25" s="7">
        <f t="shared" si="19"/>
        <v>-0.50302585288998147</v>
      </c>
    </row>
    <row r="26" spans="1:26" s="24" customFormat="1" hidden="1" outlineLevel="2" x14ac:dyDescent="0.3">
      <c r="A26" s="29"/>
      <c r="B26" s="11" t="str">
        <f>CONCATENATE("          ", "6112", " - ", "COMPENSATION INSURANCE")</f>
        <v xml:space="preserve">          6112 - COMPENSATION INSURANCE</v>
      </c>
      <c r="C26" s="11"/>
      <c r="D26" s="8">
        <v>3112.97</v>
      </c>
      <c r="E26" s="3"/>
      <c r="F26" s="7">
        <f t="shared" si="12"/>
        <v>0.13542100329094045</v>
      </c>
      <c r="G26" s="3"/>
      <c r="H26" s="8">
        <v>6606.3116903653899</v>
      </c>
      <c r="I26" s="3"/>
      <c r="J26" s="7">
        <f t="shared" si="13"/>
        <v>0</v>
      </c>
      <c r="K26" s="3"/>
      <c r="L26" s="8">
        <f t="shared" si="14"/>
        <v>-3493.3416903653901</v>
      </c>
      <c r="M26" s="3"/>
      <c r="N26" s="7">
        <f t="shared" si="15"/>
        <v>-0.52878850621899376</v>
      </c>
      <c r="O26" s="11"/>
      <c r="P26" s="8">
        <v>3112.97</v>
      </c>
      <c r="Q26" s="3"/>
      <c r="R26" s="7">
        <f t="shared" si="16"/>
        <v>0.13542100329094045</v>
      </c>
      <c r="S26" s="3"/>
      <c r="T26" s="8">
        <v>6606.3116903653899</v>
      </c>
      <c r="U26" s="3"/>
      <c r="V26" s="7">
        <f t="shared" si="17"/>
        <v>0</v>
      </c>
      <c r="W26" s="3"/>
      <c r="X26" s="8">
        <f t="shared" si="18"/>
        <v>-3493.3416903653901</v>
      </c>
      <c r="Y26" s="3"/>
      <c r="Z26" s="7">
        <f t="shared" si="19"/>
        <v>-0.52878850621899376</v>
      </c>
    </row>
    <row r="27" spans="1:26" s="24" customFormat="1" hidden="1" outlineLevel="2" x14ac:dyDescent="0.3">
      <c r="A27" s="29"/>
      <c r="B27" s="11" t="str">
        <f>CONCATENATE("          ", "6113", " - ", "GROUP INSURANCE")</f>
        <v xml:space="preserve">          6113 - GROUP INSURANCE</v>
      </c>
      <c r="C27" s="11"/>
      <c r="D27" s="8">
        <v>40765.769999999997</v>
      </c>
      <c r="E27" s="3"/>
      <c r="F27" s="7">
        <f t="shared" si="12"/>
        <v>1.7734001526926766</v>
      </c>
      <c r="G27" s="3"/>
      <c r="H27" s="8">
        <v>73881.615384615405</v>
      </c>
      <c r="I27" s="3"/>
      <c r="J27" s="7">
        <f t="shared" si="13"/>
        <v>0</v>
      </c>
      <c r="K27" s="3"/>
      <c r="L27" s="8">
        <f t="shared" si="14"/>
        <v>-33115.845384615408</v>
      </c>
      <c r="M27" s="3"/>
      <c r="N27" s="7">
        <f t="shared" si="15"/>
        <v>-0.44822849652406521</v>
      </c>
      <c r="O27" s="11"/>
      <c r="P27" s="8">
        <v>40765.769999999997</v>
      </c>
      <c r="Q27" s="3"/>
      <c r="R27" s="7">
        <f t="shared" si="16"/>
        <v>1.7734001526926766</v>
      </c>
      <c r="S27" s="3"/>
      <c r="T27" s="8">
        <v>73881.615384615405</v>
      </c>
      <c r="U27" s="3"/>
      <c r="V27" s="7">
        <f t="shared" si="17"/>
        <v>0</v>
      </c>
      <c r="W27" s="3"/>
      <c r="X27" s="8">
        <f t="shared" si="18"/>
        <v>-33115.845384615408</v>
      </c>
      <c r="Y27" s="3"/>
      <c r="Z27" s="7">
        <f t="shared" si="19"/>
        <v>-0.44822849652406521</v>
      </c>
    </row>
    <row r="28" spans="1:26" s="24" customFormat="1" hidden="1" outlineLevel="2" x14ac:dyDescent="0.3">
      <c r="A28" s="29"/>
      <c r="B28" s="11" t="str">
        <f>CONCATENATE("          ", "6114", " - ", "STATE UNEMPLOYMENT INSURANCE")</f>
        <v xml:space="preserve">          6114 - STATE UNEMPLOYMENT INSURANCE</v>
      </c>
      <c r="C28" s="11"/>
      <c r="D28" s="8">
        <v>224.82</v>
      </c>
      <c r="E28" s="3"/>
      <c r="F28" s="7">
        <f t="shared" si="12"/>
        <v>9.7801616976293491E-3</v>
      </c>
      <c r="G28" s="3"/>
      <c r="H28" s="8">
        <v>366.04893271153901</v>
      </c>
      <c r="I28" s="3"/>
      <c r="J28" s="7">
        <f t="shared" si="13"/>
        <v>0</v>
      </c>
      <c r="K28" s="3"/>
      <c r="L28" s="8">
        <f t="shared" si="14"/>
        <v>-141.22893271153902</v>
      </c>
      <c r="M28" s="3"/>
      <c r="N28" s="7">
        <f t="shared" si="15"/>
        <v>-0.38581981831055628</v>
      </c>
      <c r="O28" s="11"/>
      <c r="P28" s="8">
        <v>224.82</v>
      </c>
      <c r="Q28" s="3"/>
      <c r="R28" s="7">
        <f t="shared" si="16"/>
        <v>9.7801616976293491E-3</v>
      </c>
      <c r="S28" s="3"/>
      <c r="T28" s="8">
        <v>366.04893271153901</v>
      </c>
      <c r="U28" s="3"/>
      <c r="V28" s="7">
        <f t="shared" si="17"/>
        <v>0</v>
      </c>
      <c r="W28" s="3"/>
      <c r="X28" s="8">
        <f t="shared" si="18"/>
        <v>-141.22893271153902</v>
      </c>
      <c r="Y28" s="3"/>
      <c r="Z28" s="7">
        <f t="shared" si="19"/>
        <v>-0.38581981831055628</v>
      </c>
    </row>
    <row r="29" spans="1:26" s="24" customFormat="1" hidden="1" outlineLevel="2" x14ac:dyDescent="0.3">
      <c r="A29" s="29"/>
      <c r="B29" s="11" t="str">
        <f>CONCATENATE("          ", "6115", " - ", "P.E.R.S.")</f>
        <v xml:space="preserve">          6115 - P.E.R.S.</v>
      </c>
      <c r="C29" s="11"/>
      <c r="D29" s="8">
        <v>3537.53</v>
      </c>
      <c r="E29" s="3"/>
      <c r="F29" s="7">
        <f t="shared" si="12"/>
        <v>0.15389029183442199</v>
      </c>
      <c r="G29" s="3"/>
      <c r="H29" s="8">
        <v>4789.9708596153896</v>
      </c>
      <c r="I29" s="3"/>
      <c r="J29" s="7">
        <f t="shared" si="13"/>
        <v>0</v>
      </c>
      <c r="K29" s="3"/>
      <c r="L29" s="8">
        <f t="shared" si="14"/>
        <v>-1252.4408596153894</v>
      </c>
      <c r="M29" s="3"/>
      <c r="N29" s="7">
        <f t="shared" si="15"/>
        <v>-0.26147149874643583</v>
      </c>
      <c r="O29" s="11"/>
      <c r="P29" s="8">
        <v>3537.53</v>
      </c>
      <c r="Q29" s="3"/>
      <c r="R29" s="7">
        <f t="shared" si="16"/>
        <v>0.15389029183442199</v>
      </c>
      <c r="S29" s="3"/>
      <c r="T29" s="8">
        <v>4789.9708596153896</v>
      </c>
      <c r="U29" s="3"/>
      <c r="V29" s="7">
        <f t="shared" si="17"/>
        <v>0</v>
      </c>
      <c r="W29" s="3"/>
      <c r="X29" s="8">
        <f t="shared" si="18"/>
        <v>-1252.4408596153894</v>
      </c>
      <c r="Y29" s="3"/>
      <c r="Z29" s="7">
        <f t="shared" si="19"/>
        <v>-0.26147149874643583</v>
      </c>
    </row>
    <row r="30" spans="1:26" s="24" customFormat="1" hidden="1" outlineLevel="2" x14ac:dyDescent="0.3">
      <c r="A30" s="29"/>
      <c r="B30" s="11" t="str">
        <f>CONCATENATE("          ", "6116", " - ", "EDUCATIONAL BENEFITS")</f>
        <v xml:space="preserve">          6116 - EDUCATIONAL BENEFITS</v>
      </c>
      <c r="C30" s="11"/>
      <c r="D30" s="8"/>
      <c r="E30" s="3"/>
      <c r="F30" s="7">
        <f t="shared" si="12"/>
        <v>0</v>
      </c>
      <c r="G30" s="3"/>
      <c r="H30" s="8">
        <v>0</v>
      </c>
      <c r="I30" s="3"/>
      <c r="J30" s="7">
        <f t="shared" si="13"/>
        <v>0</v>
      </c>
      <c r="K30" s="3"/>
      <c r="L30" s="8">
        <f t="shared" si="14"/>
        <v>0</v>
      </c>
      <c r="M30" s="3"/>
      <c r="N30" s="7">
        <f t="shared" si="15"/>
        <v>0</v>
      </c>
      <c r="O30" s="11"/>
      <c r="P30" s="8"/>
      <c r="Q30" s="3"/>
      <c r="R30" s="7">
        <f t="shared" si="16"/>
        <v>0</v>
      </c>
      <c r="S30" s="3"/>
      <c r="T30" s="8">
        <v>0</v>
      </c>
      <c r="U30" s="3"/>
      <c r="V30" s="7">
        <f t="shared" si="17"/>
        <v>0</v>
      </c>
      <c r="W30" s="3"/>
      <c r="X30" s="8">
        <f t="shared" si="18"/>
        <v>0</v>
      </c>
      <c r="Y30" s="3"/>
      <c r="Z30" s="7">
        <f t="shared" si="19"/>
        <v>0</v>
      </c>
    </row>
    <row r="31" spans="1:26" s="24" customFormat="1" hidden="1" outlineLevel="2" x14ac:dyDescent="0.3">
      <c r="A31" s="29"/>
      <c r="B31" s="11" t="str">
        <f>CONCATENATE("          ", "6117", " - ", "RETIREMENT STAFF HOURLY")</f>
        <v xml:space="preserve">          6117 - RETIREMENT STAFF HOURLY</v>
      </c>
      <c r="C31" s="11"/>
      <c r="D31" s="8">
        <v>1281.6400000000001</v>
      </c>
      <c r="E31" s="3"/>
      <c r="F31" s="7">
        <f t="shared" si="12"/>
        <v>5.5754143039541321E-2</v>
      </c>
      <c r="G31" s="3"/>
      <c r="H31" s="8"/>
      <c r="I31" s="3"/>
      <c r="J31" s="7">
        <f t="shared" si="13"/>
        <v>0</v>
      </c>
      <c r="K31" s="3"/>
      <c r="L31" s="8">
        <f t="shared" si="14"/>
        <v>1281.6400000000001</v>
      </c>
      <c r="M31" s="3"/>
      <c r="N31" s="7">
        <f t="shared" si="15"/>
        <v>0</v>
      </c>
      <c r="O31" s="11"/>
      <c r="P31" s="8">
        <v>1281.6400000000001</v>
      </c>
      <c r="Q31" s="3"/>
      <c r="R31" s="7">
        <f t="shared" si="16"/>
        <v>5.5754143039541321E-2</v>
      </c>
      <c r="S31" s="3"/>
      <c r="T31" s="8"/>
      <c r="U31" s="3"/>
      <c r="V31" s="7">
        <f t="shared" si="17"/>
        <v>0</v>
      </c>
      <c r="W31" s="3"/>
      <c r="X31" s="8">
        <f t="shared" si="18"/>
        <v>1281.6400000000001</v>
      </c>
      <c r="Y31" s="3"/>
      <c r="Z31" s="7">
        <f t="shared" si="19"/>
        <v>0</v>
      </c>
    </row>
    <row r="32" spans="1:26" s="24" customFormat="1" hidden="1" outlineLevel="2" x14ac:dyDescent="0.3">
      <c r="A32" s="29"/>
      <c r="B32" s="11" t="str">
        <f>CONCATENATE("          ", "6118", " - ", "VACATION")</f>
        <v xml:space="preserve">          6118 - VACATION</v>
      </c>
      <c r="C32" s="11"/>
      <c r="D32" s="8">
        <v>6030.08</v>
      </c>
      <c r="E32" s="3"/>
      <c r="F32" s="7">
        <f t="shared" si="12"/>
        <v>0.26232166822186986</v>
      </c>
      <c r="G32" s="3"/>
      <c r="H32" s="8">
        <v>7091.5040673076901</v>
      </c>
      <c r="I32" s="3"/>
      <c r="J32" s="7">
        <f t="shared" si="13"/>
        <v>0</v>
      </c>
      <c r="K32" s="3"/>
      <c r="L32" s="8">
        <f t="shared" si="14"/>
        <v>-1061.4240673076902</v>
      </c>
      <c r="M32" s="3"/>
      <c r="N32" s="7">
        <f t="shared" si="15"/>
        <v>-0.14967545068484503</v>
      </c>
      <c r="O32" s="11"/>
      <c r="P32" s="8">
        <v>6030.08</v>
      </c>
      <c r="Q32" s="3"/>
      <c r="R32" s="7">
        <f t="shared" si="16"/>
        <v>0.26232166822186986</v>
      </c>
      <c r="S32" s="3"/>
      <c r="T32" s="8">
        <v>7091.5040673076901</v>
      </c>
      <c r="U32" s="3"/>
      <c r="V32" s="7">
        <f t="shared" si="17"/>
        <v>0</v>
      </c>
      <c r="W32" s="3"/>
      <c r="X32" s="8">
        <f t="shared" si="18"/>
        <v>-1061.4240673076902</v>
      </c>
      <c r="Y32" s="3"/>
      <c r="Z32" s="7">
        <f t="shared" si="19"/>
        <v>-0.14967545068484503</v>
      </c>
    </row>
    <row r="33" spans="1:26" s="24" customFormat="1" hidden="1" outlineLevel="2" x14ac:dyDescent="0.3">
      <c r="A33" s="29"/>
      <c r="B33" s="11" t="str">
        <f>CONCATENATE("          ", "6119", " - ", "SICK LEAVE")</f>
        <v xml:space="preserve">          6119 - SICK LEAVE</v>
      </c>
      <c r="C33" s="11"/>
      <c r="D33" s="8">
        <v>3948.81</v>
      </c>
      <c r="E33" s="3"/>
      <c r="F33" s="7">
        <f t="shared" si="12"/>
        <v>0.1717818713335813</v>
      </c>
      <c r="G33" s="3"/>
      <c r="H33" s="8">
        <v>5707.6090673076897</v>
      </c>
      <c r="I33" s="3"/>
      <c r="J33" s="7">
        <f t="shared" si="13"/>
        <v>0</v>
      </c>
      <c r="K33" s="3"/>
      <c r="L33" s="8">
        <f t="shared" si="14"/>
        <v>-1758.7990673076897</v>
      </c>
      <c r="M33" s="3"/>
      <c r="N33" s="7">
        <f t="shared" si="15"/>
        <v>-0.3081498831764462</v>
      </c>
      <c r="O33" s="11"/>
      <c r="P33" s="8">
        <v>3948.81</v>
      </c>
      <c r="Q33" s="3"/>
      <c r="R33" s="7">
        <f t="shared" si="16"/>
        <v>0.1717818713335813</v>
      </c>
      <c r="S33" s="3"/>
      <c r="T33" s="8">
        <v>5707.6090673076897</v>
      </c>
      <c r="U33" s="3"/>
      <c r="V33" s="7">
        <f t="shared" si="17"/>
        <v>0</v>
      </c>
      <c r="W33" s="3"/>
      <c r="X33" s="8">
        <f t="shared" si="18"/>
        <v>-1758.7990673076897</v>
      </c>
      <c r="Y33" s="3"/>
      <c r="Z33" s="7">
        <f t="shared" si="19"/>
        <v>-0.3081498831764462</v>
      </c>
    </row>
    <row r="34" spans="1:26" s="24" customFormat="1" hidden="1" outlineLevel="2" x14ac:dyDescent="0.3">
      <c r="A34" s="29"/>
      <c r="B34" s="11" t="str">
        <f>CONCATENATE("          ", "6156", " - ", "EMPLOYEE MEALS")</f>
        <v xml:space="preserve">          6156 - EMPLOYEE MEALS</v>
      </c>
      <c r="C34" s="11"/>
      <c r="D34" s="8">
        <v>2268.33</v>
      </c>
      <c r="E34" s="3"/>
      <c r="F34" s="7">
        <f t="shared" si="12"/>
        <v>9.8677316002062004E-2</v>
      </c>
      <c r="G34" s="3"/>
      <c r="H34" s="8">
        <v>4200</v>
      </c>
      <c r="I34" s="3"/>
      <c r="J34" s="7">
        <f t="shared" si="13"/>
        <v>0</v>
      </c>
      <c r="K34" s="3"/>
      <c r="L34" s="8">
        <f t="shared" si="14"/>
        <v>-1931.67</v>
      </c>
      <c r="M34" s="3"/>
      <c r="N34" s="7">
        <f t="shared" si="15"/>
        <v>-0.45992142857142859</v>
      </c>
      <c r="O34" s="11"/>
      <c r="P34" s="8">
        <v>2268.33</v>
      </c>
      <c r="Q34" s="3"/>
      <c r="R34" s="7">
        <f t="shared" si="16"/>
        <v>9.8677316002062004E-2</v>
      </c>
      <c r="S34" s="3"/>
      <c r="T34" s="8">
        <v>4200</v>
      </c>
      <c r="U34" s="3"/>
      <c r="V34" s="7">
        <f t="shared" si="17"/>
        <v>0</v>
      </c>
      <c r="W34" s="3"/>
      <c r="X34" s="8">
        <f t="shared" si="18"/>
        <v>-1931.67</v>
      </c>
      <c r="Y34" s="3"/>
      <c r="Z34" s="7">
        <f t="shared" si="19"/>
        <v>-0.45992142857142859</v>
      </c>
    </row>
    <row r="35" spans="1:26" s="27" customFormat="1" outlineLevel="1" collapsed="1" x14ac:dyDescent="0.3">
      <c r="A35" s="28"/>
      <c r="B35" s="14" t="str">
        <f>CONCATENATE("     ","*Payroll                                          ")</f>
        <v xml:space="preserve">     *Payroll                                          </v>
      </c>
      <c r="C35" s="14"/>
      <c r="D35" s="1">
        <f>SUM(OSRRefD22_1x_0)</f>
        <v>100195.54000000001</v>
      </c>
      <c r="E35" s="1"/>
      <c r="F35" s="5">
        <f t="shared" ref="F35:F45" si="20">IF(D$12=0,0,D35/D$12)</f>
        <v>4.3587251249056553</v>
      </c>
      <c r="G35" s="1"/>
      <c r="H35" s="1">
        <f>SUM(OSRRefH22_1x_0)</f>
        <v>161815.90244230759</v>
      </c>
      <c r="I35" s="1"/>
      <c r="J35" s="5">
        <f t="shared" ref="J35:J45" si="21">IF(H$12=0,0,H35/H$12)</f>
        <v>0</v>
      </c>
      <c r="K35" s="1"/>
      <c r="L35" s="1">
        <f t="shared" ref="L35:L45" si="22">+D35-H35</f>
        <v>-61620.362442307582</v>
      </c>
      <c r="M35" s="1"/>
      <c r="N35" s="5">
        <f t="shared" ref="N35:N45" si="23">IF(H35=0,0,L35/H35)</f>
        <v>-0.38080535665694021</v>
      </c>
      <c r="O35" s="14"/>
      <c r="P35" s="1">
        <f>SUM(OSRRefP22_1x_0)</f>
        <v>100195.54000000001</v>
      </c>
      <c r="Q35" s="1"/>
      <c r="R35" s="5">
        <f t="shared" ref="R35:R45" si="24">IF(P$12=0,0,P35/P$12)</f>
        <v>4.3587251249056553</v>
      </c>
      <c r="S35" s="1"/>
      <c r="T35" s="1">
        <f>SUM(OSRRefT22_1x_0)</f>
        <v>161815.90244230759</v>
      </c>
      <c r="U35" s="1"/>
      <c r="V35" s="5">
        <f t="shared" ref="V35:V45" si="25">IF(T$12=0,0,T35/T$12)</f>
        <v>0</v>
      </c>
      <c r="W35" s="1"/>
      <c r="X35" s="1">
        <f t="shared" ref="X35:X45" si="26">+P35-T35</f>
        <v>-61620.362442307582</v>
      </c>
      <c r="Y35" s="1"/>
      <c r="Z35" s="5">
        <f t="shared" ref="Z35:Z45" si="27">IF(T35=0,0,X35/T35)</f>
        <v>-0.38080535665694021</v>
      </c>
    </row>
    <row r="36" spans="1:26" s="24" customFormat="1" hidden="1" outlineLevel="2" x14ac:dyDescent="0.3">
      <c r="A36" s="29"/>
      <c r="B36" s="11" t="str">
        <f>CONCATENATE("          ", "6001", " - ", "ADMINISTRATIVE SALARIES")</f>
        <v xml:space="preserve">          6001 - ADMINISTRATIVE SALARIES</v>
      </c>
      <c r="C36" s="11"/>
      <c r="D36" s="8">
        <v>11199.54</v>
      </c>
      <c r="E36" s="3"/>
      <c r="F36" s="7">
        <f t="shared" si="20"/>
        <v>0.48720448420544349</v>
      </c>
      <c r="G36" s="3"/>
      <c r="H36" s="8">
        <v>0</v>
      </c>
      <c r="I36" s="3"/>
      <c r="J36" s="7">
        <f t="shared" si="21"/>
        <v>0</v>
      </c>
      <c r="K36" s="3"/>
      <c r="L36" s="8">
        <f t="shared" si="22"/>
        <v>11199.54</v>
      </c>
      <c r="M36" s="3"/>
      <c r="N36" s="7">
        <f t="shared" si="23"/>
        <v>0</v>
      </c>
      <c r="O36" s="11"/>
      <c r="P36" s="8">
        <v>11199.54</v>
      </c>
      <c r="Q36" s="3"/>
      <c r="R36" s="7">
        <f t="shared" si="24"/>
        <v>0.48720448420544349</v>
      </c>
      <c r="S36" s="3"/>
      <c r="T36" s="8">
        <v>0</v>
      </c>
      <c r="U36" s="3"/>
      <c r="V36" s="7">
        <f t="shared" si="25"/>
        <v>0</v>
      </c>
      <c r="W36" s="3"/>
      <c r="X36" s="8">
        <f t="shared" si="26"/>
        <v>11199.54</v>
      </c>
      <c r="Y36" s="3"/>
      <c r="Z36" s="7">
        <f t="shared" si="27"/>
        <v>0</v>
      </c>
    </row>
    <row r="37" spans="1:26" s="24" customFormat="1" hidden="1" outlineLevel="2" x14ac:dyDescent="0.3">
      <c r="A37" s="29"/>
      <c r="B37" s="11" t="str">
        <f>CONCATENATE("          ", "6002", " - ", "STAFF SALARIES")</f>
        <v xml:space="preserve">          6002 - STAFF SALARIES</v>
      </c>
      <c r="C37" s="11"/>
      <c r="D37" s="8">
        <v>35123.440000000002</v>
      </c>
      <c r="E37" s="3"/>
      <c r="F37" s="7">
        <f t="shared" si="20"/>
        <v>1.5279464575081514</v>
      </c>
      <c r="G37" s="3"/>
      <c r="H37" s="8">
        <v>52467.470442307596</v>
      </c>
      <c r="I37" s="3"/>
      <c r="J37" s="7">
        <f t="shared" si="21"/>
        <v>0</v>
      </c>
      <c r="K37" s="3"/>
      <c r="L37" s="8">
        <f t="shared" si="22"/>
        <v>-17344.030442307594</v>
      </c>
      <c r="M37" s="3"/>
      <c r="N37" s="7">
        <f t="shared" si="23"/>
        <v>-0.33056730763071218</v>
      </c>
      <c r="O37" s="11"/>
      <c r="P37" s="8">
        <v>35123.440000000002</v>
      </c>
      <c r="Q37" s="3"/>
      <c r="R37" s="7">
        <f t="shared" si="24"/>
        <v>1.5279464575081514</v>
      </c>
      <c r="S37" s="3"/>
      <c r="T37" s="8">
        <v>52467.470442307596</v>
      </c>
      <c r="U37" s="3"/>
      <c r="V37" s="7">
        <f t="shared" si="25"/>
        <v>0</v>
      </c>
      <c r="W37" s="3"/>
      <c r="X37" s="8">
        <f t="shared" si="26"/>
        <v>-17344.030442307594</v>
      </c>
      <c r="Y37" s="3"/>
      <c r="Z37" s="7">
        <f t="shared" si="27"/>
        <v>-0.33056730763071218</v>
      </c>
    </row>
    <row r="38" spans="1:26" s="24" customFormat="1" hidden="1" outlineLevel="2" x14ac:dyDescent="0.3">
      <c r="A38" s="29"/>
      <c r="B38" s="11" t="str">
        <f>CONCATENATE("          ", "6003", " - ", "STAFF HOURLY-9 MONTH")</f>
        <v xml:space="preserve">          6003 - STAFF HOURLY-9 MONTH</v>
      </c>
      <c r="C38" s="11"/>
      <c r="D38" s="8"/>
      <c r="E38" s="3"/>
      <c r="F38" s="7">
        <f t="shared" si="20"/>
        <v>0</v>
      </c>
      <c r="G38" s="3"/>
      <c r="H38" s="8">
        <v>0</v>
      </c>
      <c r="I38" s="3"/>
      <c r="J38" s="7">
        <f t="shared" si="21"/>
        <v>0</v>
      </c>
      <c r="K38" s="3"/>
      <c r="L38" s="8">
        <f t="shared" si="22"/>
        <v>0</v>
      </c>
      <c r="M38" s="3"/>
      <c r="N38" s="7">
        <f t="shared" si="23"/>
        <v>0</v>
      </c>
      <c r="O38" s="11"/>
      <c r="P38" s="8"/>
      <c r="Q38" s="3"/>
      <c r="R38" s="7">
        <f t="shared" si="24"/>
        <v>0</v>
      </c>
      <c r="S38" s="3"/>
      <c r="T38" s="8">
        <v>0</v>
      </c>
      <c r="U38" s="3"/>
      <c r="V38" s="7">
        <f t="shared" si="25"/>
        <v>0</v>
      </c>
      <c r="W38" s="3"/>
      <c r="X38" s="8">
        <f t="shared" si="26"/>
        <v>0</v>
      </c>
      <c r="Y38" s="3"/>
      <c r="Z38" s="7">
        <f t="shared" si="27"/>
        <v>0</v>
      </c>
    </row>
    <row r="39" spans="1:26" s="24" customFormat="1" hidden="1" outlineLevel="2" x14ac:dyDescent="0.3">
      <c r="A39" s="29"/>
      <c r="B39" s="11" t="str">
        <f>CONCATENATE("          ", "6004", " - ", "STAFF HOURLY")</f>
        <v xml:space="preserve">          6004 - STAFF HOURLY</v>
      </c>
      <c r="C39" s="11"/>
      <c r="D39" s="8">
        <v>38469.89</v>
      </c>
      <c r="E39" s="3"/>
      <c r="F39" s="7">
        <f t="shared" si="20"/>
        <v>1.6735243514367686</v>
      </c>
      <c r="G39" s="3"/>
      <c r="H39" s="8">
        <v>109348.432</v>
      </c>
      <c r="I39" s="3"/>
      <c r="J39" s="7">
        <f t="shared" si="21"/>
        <v>0</v>
      </c>
      <c r="K39" s="3"/>
      <c r="L39" s="8">
        <f t="shared" si="22"/>
        <v>-70878.542000000001</v>
      </c>
      <c r="M39" s="3"/>
      <c r="N39" s="7">
        <f t="shared" si="23"/>
        <v>-0.64818983412583364</v>
      </c>
      <c r="O39" s="11"/>
      <c r="P39" s="8">
        <v>38469.89</v>
      </c>
      <c r="Q39" s="3"/>
      <c r="R39" s="7">
        <f t="shared" si="24"/>
        <v>1.6735243514367686</v>
      </c>
      <c r="S39" s="3"/>
      <c r="T39" s="8">
        <v>109348.432</v>
      </c>
      <c r="U39" s="3"/>
      <c r="V39" s="7">
        <f t="shared" si="25"/>
        <v>0</v>
      </c>
      <c r="W39" s="3"/>
      <c r="X39" s="8">
        <f t="shared" si="26"/>
        <v>-70878.542000000001</v>
      </c>
      <c r="Y39" s="3"/>
      <c r="Z39" s="7">
        <f t="shared" si="27"/>
        <v>-0.64818983412583364</v>
      </c>
    </row>
    <row r="40" spans="1:26" s="24" customFormat="1" hidden="1" outlineLevel="2" x14ac:dyDescent="0.3">
      <c r="A40" s="29"/>
      <c r="B40" s="11" t="str">
        <f>CONCATENATE("          ", "6005", " - ", "TEMPORARY WAGES-HOURLY")</f>
        <v xml:space="preserve">          6005 - TEMPORARY WAGES-HOURLY</v>
      </c>
      <c r="C40" s="11"/>
      <c r="D40" s="8">
        <v>4625.88</v>
      </c>
      <c r="E40" s="3"/>
      <c r="F40" s="7">
        <f t="shared" si="20"/>
        <v>0.20123589713472848</v>
      </c>
      <c r="G40" s="3"/>
      <c r="H40" s="8">
        <v>0</v>
      </c>
      <c r="I40" s="3"/>
      <c r="J40" s="7">
        <f t="shared" si="21"/>
        <v>0</v>
      </c>
      <c r="K40" s="3"/>
      <c r="L40" s="8">
        <f t="shared" si="22"/>
        <v>4625.88</v>
      </c>
      <c r="M40" s="3"/>
      <c r="N40" s="7">
        <f t="shared" si="23"/>
        <v>0</v>
      </c>
      <c r="O40" s="11"/>
      <c r="P40" s="8">
        <v>4625.88</v>
      </c>
      <c r="Q40" s="3"/>
      <c r="R40" s="7">
        <f t="shared" si="24"/>
        <v>0.20123589713472848</v>
      </c>
      <c r="S40" s="3"/>
      <c r="T40" s="8">
        <v>0</v>
      </c>
      <c r="U40" s="3"/>
      <c r="V40" s="7">
        <f t="shared" si="25"/>
        <v>0</v>
      </c>
      <c r="W40" s="3"/>
      <c r="X40" s="8">
        <f t="shared" si="26"/>
        <v>4625.88</v>
      </c>
      <c r="Y40" s="3"/>
      <c r="Z40" s="7">
        <f t="shared" si="27"/>
        <v>0</v>
      </c>
    </row>
    <row r="41" spans="1:26" s="24" customFormat="1" hidden="1" outlineLevel="2" x14ac:dyDescent="0.3">
      <c r="A41" s="29"/>
      <c r="B41" s="11" t="str">
        <f>CONCATENATE("          ", "6006", " - ", "TEMPORARY PART TIME")</f>
        <v xml:space="preserve">          6006 - TEMPORARY PART TIME</v>
      </c>
      <c r="C41" s="11"/>
      <c r="D41" s="8"/>
      <c r="E41" s="3"/>
      <c r="F41" s="7">
        <f t="shared" si="20"/>
        <v>0</v>
      </c>
      <c r="G41" s="3"/>
      <c r="H41" s="8">
        <v>0</v>
      </c>
      <c r="I41" s="3"/>
      <c r="J41" s="7">
        <f t="shared" si="21"/>
        <v>0</v>
      </c>
      <c r="K41" s="3"/>
      <c r="L41" s="8">
        <f t="shared" si="22"/>
        <v>0</v>
      </c>
      <c r="M41" s="3"/>
      <c r="N41" s="7">
        <f t="shared" si="23"/>
        <v>0</v>
      </c>
      <c r="O41" s="11"/>
      <c r="P41" s="8"/>
      <c r="Q41" s="3"/>
      <c r="R41" s="7">
        <f t="shared" si="24"/>
        <v>0</v>
      </c>
      <c r="S41" s="3"/>
      <c r="T41" s="8">
        <v>0</v>
      </c>
      <c r="U41" s="3"/>
      <c r="V41" s="7">
        <f t="shared" si="25"/>
        <v>0</v>
      </c>
      <c r="W41" s="3"/>
      <c r="X41" s="8">
        <f t="shared" si="26"/>
        <v>0</v>
      </c>
      <c r="Y41" s="3"/>
      <c r="Z41" s="7">
        <f t="shared" si="27"/>
        <v>0</v>
      </c>
    </row>
    <row r="42" spans="1:26" s="24" customFormat="1" hidden="1" outlineLevel="2" x14ac:dyDescent="0.3">
      <c r="A42" s="29"/>
      <c r="B42" s="11" t="str">
        <f>CONCATENATE("          ", "6007", " - ", "STUDENT HOURLY")</f>
        <v xml:space="preserve">          6007 - STUDENT HOURLY</v>
      </c>
      <c r="C42" s="11"/>
      <c r="D42" s="8">
        <v>10776.79</v>
      </c>
      <c r="E42" s="3"/>
      <c r="F42" s="7">
        <f t="shared" si="20"/>
        <v>0.46881393462056314</v>
      </c>
      <c r="G42" s="3"/>
      <c r="H42" s="8">
        <v>0</v>
      </c>
      <c r="I42" s="3"/>
      <c r="J42" s="7">
        <f t="shared" si="21"/>
        <v>0</v>
      </c>
      <c r="K42" s="3"/>
      <c r="L42" s="8">
        <f t="shared" si="22"/>
        <v>10776.79</v>
      </c>
      <c r="M42" s="3"/>
      <c r="N42" s="7">
        <f t="shared" si="23"/>
        <v>0</v>
      </c>
      <c r="O42" s="11"/>
      <c r="P42" s="8">
        <v>10776.79</v>
      </c>
      <c r="Q42" s="3"/>
      <c r="R42" s="7">
        <f t="shared" si="24"/>
        <v>0.46881393462056314</v>
      </c>
      <c r="S42" s="3"/>
      <c r="T42" s="8">
        <v>0</v>
      </c>
      <c r="U42" s="3"/>
      <c r="V42" s="7">
        <f t="shared" si="25"/>
        <v>0</v>
      </c>
      <c r="W42" s="3"/>
      <c r="X42" s="8">
        <f t="shared" si="26"/>
        <v>10776.79</v>
      </c>
      <c r="Y42" s="3"/>
      <c r="Z42" s="7">
        <f t="shared" si="27"/>
        <v>0</v>
      </c>
    </row>
    <row r="43" spans="1:26" s="24" customFormat="1" hidden="1" outlineLevel="2" x14ac:dyDescent="0.3">
      <c r="A43" s="29"/>
      <c r="B43" s="11" t="str">
        <f>CONCATENATE("          ", "6008", " - ", "STUDENT HOURLY-FICA EXEMPT")</f>
        <v xml:space="preserve">          6008 - STUDENT HOURLY-FICA EXEMPT</v>
      </c>
      <c r="C43" s="11"/>
      <c r="D43" s="8"/>
      <c r="E43" s="3"/>
      <c r="F43" s="7">
        <f t="shared" si="20"/>
        <v>0</v>
      </c>
      <c r="G43" s="3"/>
      <c r="H43" s="8">
        <v>0</v>
      </c>
      <c r="I43" s="3"/>
      <c r="J43" s="7">
        <f t="shared" si="21"/>
        <v>0</v>
      </c>
      <c r="K43" s="3"/>
      <c r="L43" s="8">
        <f t="shared" si="22"/>
        <v>0</v>
      </c>
      <c r="M43" s="3"/>
      <c r="N43" s="7">
        <f t="shared" si="23"/>
        <v>0</v>
      </c>
      <c r="O43" s="11"/>
      <c r="P43" s="8"/>
      <c r="Q43" s="3"/>
      <c r="R43" s="7">
        <f t="shared" si="24"/>
        <v>0</v>
      </c>
      <c r="S43" s="3"/>
      <c r="T43" s="8">
        <v>0</v>
      </c>
      <c r="U43" s="3"/>
      <c r="V43" s="7">
        <f t="shared" si="25"/>
        <v>0</v>
      </c>
      <c r="W43" s="3"/>
      <c r="X43" s="8">
        <f t="shared" si="26"/>
        <v>0</v>
      </c>
      <c r="Y43" s="3"/>
      <c r="Z43" s="7">
        <f t="shared" si="27"/>
        <v>0</v>
      </c>
    </row>
    <row r="44" spans="1:26" s="24" customFormat="1" hidden="1" outlineLevel="2" x14ac:dyDescent="0.3">
      <c r="A44" s="29"/>
      <c r="B44" s="11" t="str">
        <f>CONCATENATE("          ", "6009", " - ", "TEMPORARY-SEASONAL")</f>
        <v xml:space="preserve">          6009 - TEMPORARY-SEASONAL</v>
      </c>
      <c r="C44" s="11"/>
      <c r="D44" s="8"/>
      <c r="E44" s="3"/>
      <c r="F44" s="7">
        <f t="shared" si="20"/>
        <v>0</v>
      </c>
      <c r="G44" s="3"/>
      <c r="H44" s="8">
        <v>0</v>
      </c>
      <c r="I44" s="3"/>
      <c r="J44" s="7">
        <f t="shared" si="21"/>
        <v>0</v>
      </c>
      <c r="K44" s="3"/>
      <c r="L44" s="8">
        <f t="shared" si="22"/>
        <v>0</v>
      </c>
      <c r="M44" s="3"/>
      <c r="N44" s="7">
        <f t="shared" si="23"/>
        <v>0</v>
      </c>
      <c r="O44" s="11"/>
      <c r="P44" s="8"/>
      <c r="Q44" s="3"/>
      <c r="R44" s="7">
        <f t="shared" si="24"/>
        <v>0</v>
      </c>
      <c r="S44" s="3"/>
      <c r="T44" s="8">
        <v>0</v>
      </c>
      <c r="U44" s="3"/>
      <c r="V44" s="7">
        <f t="shared" si="25"/>
        <v>0</v>
      </c>
      <c r="W44" s="3"/>
      <c r="X44" s="8">
        <f t="shared" si="26"/>
        <v>0</v>
      </c>
      <c r="Y44" s="3"/>
      <c r="Z44" s="7">
        <f t="shared" si="27"/>
        <v>0</v>
      </c>
    </row>
    <row r="45" spans="1:26" s="24" customFormat="1" hidden="1" outlineLevel="2" x14ac:dyDescent="0.3">
      <c r="A45" s="29"/>
      <c r="B45" s="11" t="str">
        <f>CONCATENATE("          ", "6010", " - ", "GRATUITY")</f>
        <v xml:space="preserve">          6010 - GRATUITY</v>
      </c>
      <c r="C45" s="11"/>
      <c r="D45" s="8"/>
      <c r="E45" s="3"/>
      <c r="F45" s="7">
        <f t="shared" si="20"/>
        <v>0</v>
      </c>
      <c r="G45" s="3"/>
      <c r="H45" s="8">
        <v>0</v>
      </c>
      <c r="I45" s="3"/>
      <c r="J45" s="7">
        <f t="shared" si="21"/>
        <v>0</v>
      </c>
      <c r="K45" s="3"/>
      <c r="L45" s="8">
        <f t="shared" si="22"/>
        <v>0</v>
      </c>
      <c r="M45" s="3"/>
      <c r="N45" s="7">
        <f t="shared" si="23"/>
        <v>0</v>
      </c>
      <c r="O45" s="11"/>
      <c r="P45" s="8"/>
      <c r="Q45" s="3"/>
      <c r="R45" s="7">
        <f t="shared" si="24"/>
        <v>0</v>
      </c>
      <c r="S45" s="3"/>
      <c r="T45" s="8">
        <v>0</v>
      </c>
      <c r="U45" s="3"/>
      <c r="V45" s="7">
        <f t="shared" si="25"/>
        <v>0</v>
      </c>
      <c r="W45" s="3"/>
      <c r="X45" s="8">
        <f t="shared" si="26"/>
        <v>0</v>
      </c>
      <c r="Y45" s="3"/>
      <c r="Z45" s="7">
        <f t="shared" si="27"/>
        <v>0</v>
      </c>
    </row>
    <row r="46" spans="1:26" s="27" customFormat="1" outlineLevel="1" collapsed="1" x14ac:dyDescent="0.3">
      <c r="A46" s="28"/>
      <c r="B46" s="14" t="str">
        <f>CONCATENATE("     ","Advertising/Promo                                 ")</f>
        <v xml:space="preserve">     Advertising/Promo                                 </v>
      </c>
      <c r="C46" s="14"/>
      <c r="D46" s="1">
        <f>SUM(OSRRefD22_2x_0)</f>
        <v>120.94</v>
      </c>
      <c r="E46" s="1"/>
      <c r="F46" s="5">
        <f t="shared" ref="F46:F67" si="28">IF(D$12=0,0,D46/D$12)</f>
        <v>5.2611545045427163E-3</v>
      </c>
      <c r="G46" s="1"/>
      <c r="H46" s="1">
        <f>SUM(OSRRefH22_2x_0)</f>
        <v>950</v>
      </c>
      <c r="I46" s="1"/>
      <c r="J46" s="5">
        <f t="shared" ref="J46:J67" si="29">IF(H$12=0,0,H46/H$12)</f>
        <v>0</v>
      </c>
      <c r="K46" s="1"/>
      <c r="L46" s="1">
        <f t="shared" ref="L46:L67" si="30">+D46-H46</f>
        <v>-829.06</v>
      </c>
      <c r="M46" s="1"/>
      <c r="N46" s="5">
        <f t="shared" ref="N46:N67" si="31">IF(H46=0,0,L46/H46)</f>
        <v>-0.87269473684210519</v>
      </c>
      <c r="O46" s="14"/>
      <c r="P46" s="1">
        <f>SUM(OSRRefP22_2x_0)</f>
        <v>120.94</v>
      </c>
      <c r="Q46" s="1"/>
      <c r="R46" s="5">
        <f t="shared" ref="R46:R67" si="32">IF(P$12=0,0,P46/P$12)</f>
        <v>5.2611545045427163E-3</v>
      </c>
      <c r="S46" s="1"/>
      <c r="T46" s="1">
        <f>SUM(OSRRefT22_2x_0)</f>
        <v>950</v>
      </c>
      <c r="U46" s="1"/>
      <c r="V46" s="5">
        <f t="shared" ref="V46:V67" si="33">IF(T$12=0,0,T46/T$12)</f>
        <v>0</v>
      </c>
      <c r="W46" s="1"/>
      <c r="X46" s="1">
        <f t="shared" ref="X46:X67" si="34">+P46-T46</f>
        <v>-829.06</v>
      </c>
      <c r="Y46" s="1"/>
      <c r="Z46" s="5">
        <f t="shared" ref="Z46:Z67" si="35">IF(T46=0,0,X46/T46)</f>
        <v>-0.87269473684210519</v>
      </c>
    </row>
    <row r="47" spans="1:26" s="24" customFormat="1" hidden="1" outlineLevel="2" x14ac:dyDescent="0.3">
      <c r="A47" s="29"/>
      <c r="B47" s="11" t="str">
        <f>CONCATENATE("          ", "6362", " - ", "ADVERTISING EXPENSE")</f>
        <v xml:space="preserve">          6362 - ADVERTISING EXPENSE</v>
      </c>
      <c r="C47" s="11"/>
      <c r="D47" s="8">
        <v>120.94</v>
      </c>
      <c r="E47" s="3"/>
      <c r="F47" s="7">
        <f t="shared" si="28"/>
        <v>5.2611545045427163E-3</v>
      </c>
      <c r="G47" s="3"/>
      <c r="H47" s="8">
        <v>950</v>
      </c>
      <c r="I47" s="3"/>
      <c r="J47" s="7">
        <f t="shared" si="29"/>
        <v>0</v>
      </c>
      <c r="K47" s="3"/>
      <c r="L47" s="8">
        <f t="shared" si="30"/>
        <v>-829.06</v>
      </c>
      <c r="M47" s="3"/>
      <c r="N47" s="7">
        <f t="shared" si="31"/>
        <v>-0.87269473684210519</v>
      </c>
      <c r="O47" s="11"/>
      <c r="P47" s="8">
        <v>120.94</v>
      </c>
      <c r="Q47" s="3"/>
      <c r="R47" s="7">
        <f t="shared" si="32"/>
        <v>5.2611545045427163E-3</v>
      </c>
      <c r="S47" s="3"/>
      <c r="T47" s="8">
        <v>950</v>
      </c>
      <c r="U47" s="3"/>
      <c r="V47" s="7">
        <f t="shared" si="33"/>
        <v>0</v>
      </c>
      <c r="W47" s="3"/>
      <c r="X47" s="8">
        <f t="shared" si="34"/>
        <v>-829.06</v>
      </c>
      <c r="Y47" s="3"/>
      <c r="Z47" s="7">
        <f t="shared" si="35"/>
        <v>-0.87269473684210519</v>
      </c>
    </row>
    <row r="48" spans="1:26" s="27" customFormat="1" outlineLevel="1" collapsed="1" x14ac:dyDescent="0.3">
      <c r="A48" s="28"/>
      <c r="B48" s="14" t="str">
        <f>CONCATENATE("     ","Bad Debts/Over/Short                              ")</f>
        <v xml:space="preserve">     Bad Debts/Over/Short                              </v>
      </c>
      <c r="C48" s="14"/>
      <c r="D48" s="1">
        <f>SUM(OSRRefD22_3x_0)</f>
        <v>0</v>
      </c>
      <c r="E48" s="1"/>
      <c r="F48" s="5">
        <f t="shared" si="28"/>
        <v>0</v>
      </c>
      <c r="G48" s="1"/>
      <c r="H48" s="1">
        <f>SUM(OSRRefH22_3x_0)</f>
        <v>15</v>
      </c>
      <c r="I48" s="1"/>
      <c r="J48" s="5">
        <f t="shared" si="29"/>
        <v>0</v>
      </c>
      <c r="K48" s="1"/>
      <c r="L48" s="1">
        <f t="shared" si="30"/>
        <v>-15</v>
      </c>
      <c r="M48" s="1"/>
      <c r="N48" s="5">
        <f t="shared" si="31"/>
        <v>-1</v>
      </c>
      <c r="O48" s="14"/>
      <c r="P48" s="1">
        <f>SUM(OSRRefP22_3x_0)</f>
        <v>0</v>
      </c>
      <c r="Q48" s="1"/>
      <c r="R48" s="5">
        <f t="shared" si="32"/>
        <v>0</v>
      </c>
      <c r="S48" s="1"/>
      <c r="T48" s="1">
        <f>SUM(OSRRefT22_3x_0)</f>
        <v>15</v>
      </c>
      <c r="U48" s="1"/>
      <c r="V48" s="5">
        <f t="shared" si="33"/>
        <v>0</v>
      </c>
      <c r="W48" s="1"/>
      <c r="X48" s="1">
        <f t="shared" si="34"/>
        <v>-15</v>
      </c>
      <c r="Y48" s="1"/>
      <c r="Z48" s="5">
        <f t="shared" si="35"/>
        <v>-1</v>
      </c>
    </row>
    <row r="49" spans="1:26" s="24" customFormat="1" hidden="1" outlineLevel="2" x14ac:dyDescent="0.3">
      <c r="A49" s="29"/>
      <c r="B49" s="11" t="str">
        <f>CONCATENATE("          ", "6272", " - ", "CASH (OVER/SHORT)")</f>
        <v xml:space="preserve">          6272 - CASH (OVER/SHORT)</v>
      </c>
      <c r="C49" s="11"/>
      <c r="D49" s="8"/>
      <c r="E49" s="3"/>
      <c r="F49" s="7">
        <f t="shared" si="28"/>
        <v>0</v>
      </c>
      <c r="G49" s="3"/>
      <c r="H49" s="8">
        <v>15</v>
      </c>
      <c r="I49" s="3"/>
      <c r="J49" s="7">
        <f t="shared" si="29"/>
        <v>0</v>
      </c>
      <c r="K49" s="3"/>
      <c r="L49" s="8">
        <f t="shared" si="30"/>
        <v>-15</v>
      </c>
      <c r="M49" s="3"/>
      <c r="N49" s="7">
        <f t="shared" si="31"/>
        <v>-1</v>
      </c>
      <c r="O49" s="11"/>
      <c r="P49" s="8"/>
      <c r="Q49" s="3"/>
      <c r="R49" s="7">
        <f t="shared" si="32"/>
        <v>0</v>
      </c>
      <c r="S49" s="3"/>
      <c r="T49" s="8">
        <v>15</v>
      </c>
      <c r="U49" s="3"/>
      <c r="V49" s="7">
        <f t="shared" si="33"/>
        <v>0</v>
      </c>
      <c r="W49" s="3"/>
      <c r="X49" s="8">
        <f t="shared" si="34"/>
        <v>-15</v>
      </c>
      <c r="Y49" s="3"/>
      <c r="Z49" s="7">
        <f t="shared" si="35"/>
        <v>-1</v>
      </c>
    </row>
    <row r="50" spans="1:26" s="27" customFormat="1" outlineLevel="1" collapsed="1" x14ac:dyDescent="0.3">
      <c r="A50" s="28"/>
      <c r="B50" s="14" t="str">
        <f>CONCATENATE("     ","Bank/card Fees                                    ")</f>
        <v xml:space="preserve">     Bank/card Fees                                    </v>
      </c>
      <c r="C50" s="14"/>
      <c r="D50" s="1">
        <f>SUM(OSRRefD22_4x_0)</f>
        <v>77.05</v>
      </c>
      <c r="E50" s="1"/>
      <c r="F50" s="5">
        <f t="shared" si="28"/>
        <v>3.3518435139326631E-3</v>
      </c>
      <c r="G50" s="1"/>
      <c r="H50" s="1">
        <f>SUM(OSRRefH22_4x_0)</f>
        <v>250</v>
      </c>
      <c r="I50" s="1"/>
      <c r="J50" s="5">
        <f t="shared" si="29"/>
        <v>0</v>
      </c>
      <c r="K50" s="1"/>
      <c r="L50" s="1">
        <f t="shared" si="30"/>
        <v>-172.95</v>
      </c>
      <c r="M50" s="1"/>
      <c r="N50" s="5">
        <f t="shared" si="31"/>
        <v>-0.69179999999999997</v>
      </c>
      <c r="O50" s="14"/>
      <c r="P50" s="1">
        <f>SUM(OSRRefP22_4x_0)</f>
        <v>77.05</v>
      </c>
      <c r="Q50" s="1"/>
      <c r="R50" s="5">
        <f t="shared" si="32"/>
        <v>3.3518435139326631E-3</v>
      </c>
      <c r="S50" s="1"/>
      <c r="T50" s="1">
        <f>SUM(OSRRefT22_4x_0)</f>
        <v>250</v>
      </c>
      <c r="U50" s="1"/>
      <c r="V50" s="5">
        <f t="shared" si="33"/>
        <v>0</v>
      </c>
      <c r="W50" s="1"/>
      <c r="X50" s="1">
        <f t="shared" si="34"/>
        <v>-172.95</v>
      </c>
      <c r="Y50" s="1"/>
      <c r="Z50" s="5">
        <f t="shared" si="35"/>
        <v>-0.69179999999999997</v>
      </c>
    </row>
    <row r="51" spans="1:26" s="24" customFormat="1" hidden="1" outlineLevel="2" x14ac:dyDescent="0.3">
      <c r="A51" s="29"/>
      <c r="B51" s="11" t="str">
        <f>CONCATENATE("          ", "6381", " - ", "BANK/CREDIT CARD FEES")</f>
        <v xml:space="preserve">          6381 - BANK/CREDIT CARD FEES</v>
      </c>
      <c r="C51" s="11"/>
      <c r="D51" s="8">
        <v>77.05</v>
      </c>
      <c r="E51" s="3"/>
      <c r="F51" s="7">
        <f t="shared" si="28"/>
        <v>3.3518435139326631E-3</v>
      </c>
      <c r="G51" s="3"/>
      <c r="H51" s="8">
        <v>250</v>
      </c>
      <c r="I51" s="3"/>
      <c r="J51" s="7">
        <f t="shared" si="29"/>
        <v>0</v>
      </c>
      <c r="K51" s="3"/>
      <c r="L51" s="8">
        <f t="shared" si="30"/>
        <v>-172.95</v>
      </c>
      <c r="M51" s="3"/>
      <c r="N51" s="7">
        <f t="shared" si="31"/>
        <v>-0.69179999999999997</v>
      </c>
      <c r="O51" s="11"/>
      <c r="P51" s="8">
        <v>77.05</v>
      </c>
      <c r="Q51" s="3"/>
      <c r="R51" s="7">
        <f t="shared" si="32"/>
        <v>3.3518435139326631E-3</v>
      </c>
      <c r="S51" s="3"/>
      <c r="T51" s="8">
        <v>250</v>
      </c>
      <c r="U51" s="3"/>
      <c r="V51" s="7">
        <f t="shared" si="33"/>
        <v>0</v>
      </c>
      <c r="W51" s="3"/>
      <c r="X51" s="8">
        <f t="shared" si="34"/>
        <v>-172.95</v>
      </c>
      <c r="Y51" s="3"/>
      <c r="Z51" s="7">
        <f t="shared" si="35"/>
        <v>-0.69179999999999997</v>
      </c>
    </row>
    <row r="52" spans="1:26" s="27" customFormat="1" outlineLevel="1" collapsed="1" x14ac:dyDescent="0.3">
      <c r="A52" s="28"/>
      <c r="B52" s="14" t="str">
        <f>CONCATENATE("     ","Depreciation                                      ")</f>
        <v xml:space="preserve">     Depreciation                                      </v>
      </c>
      <c r="C52" s="14"/>
      <c r="D52" s="1">
        <f>SUM(OSRRefD22_5x_0)</f>
        <v>760.04</v>
      </c>
      <c r="E52" s="1"/>
      <c r="F52" s="5">
        <f t="shared" si="28"/>
        <v>3.3063402262548752E-2</v>
      </c>
      <c r="G52" s="1"/>
      <c r="H52" s="1">
        <f>SUM(OSRRefH22_5x_0)</f>
        <v>486</v>
      </c>
      <c r="I52" s="1"/>
      <c r="J52" s="5">
        <f t="shared" si="29"/>
        <v>0</v>
      </c>
      <c r="K52" s="1"/>
      <c r="L52" s="1">
        <f t="shared" si="30"/>
        <v>274.03999999999996</v>
      </c>
      <c r="M52" s="1"/>
      <c r="N52" s="5">
        <f t="shared" si="31"/>
        <v>0.56386831275720162</v>
      </c>
      <c r="O52" s="14"/>
      <c r="P52" s="1">
        <f>SUM(OSRRefP22_5x_0)</f>
        <v>760.04</v>
      </c>
      <c r="Q52" s="1"/>
      <c r="R52" s="5">
        <f t="shared" si="32"/>
        <v>3.3063402262548752E-2</v>
      </c>
      <c r="S52" s="1"/>
      <c r="T52" s="1">
        <f>SUM(OSRRefT22_5x_0)</f>
        <v>486</v>
      </c>
      <c r="U52" s="1"/>
      <c r="V52" s="5">
        <f t="shared" si="33"/>
        <v>0</v>
      </c>
      <c r="W52" s="1"/>
      <c r="X52" s="1">
        <f t="shared" si="34"/>
        <v>274.03999999999996</v>
      </c>
      <c r="Y52" s="1"/>
      <c r="Z52" s="5">
        <f t="shared" si="35"/>
        <v>0.56386831275720162</v>
      </c>
    </row>
    <row r="53" spans="1:26" s="24" customFormat="1" hidden="1" outlineLevel="2" x14ac:dyDescent="0.3">
      <c r="A53" s="29"/>
      <c r="B53" s="11" t="str">
        <f>CONCATENATE("          ", "6322", " - ", "EQUIPMENT DEPRECIATION EXPENSE")</f>
        <v xml:space="preserve">          6322 - EQUIPMENT DEPRECIATION EXPENSE</v>
      </c>
      <c r="C53" s="11"/>
      <c r="D53" s="8">
        <v>760.04</v>
      </c>
      <c r="E53" s="3"/>
      <c r="F53" s="7">
        <f t="shared" si="28"/>
        <v>3.3063402262548752E-2</v>
      </c>
      <c r="G53" s="3"/>
      <c r="H53" s="8">
        <v>486</v>
      </c>
      <c r="I53" s="3"/>
      <c r="J53" s="7">
        <f t="shared" si="29"/>
        <v>0</v>
      </c>
      <c r="K53" s="3"/>
      <c r="L53" s="8">
        <f t="shared" si="30"/>
        <v>274.03999999999996</v>
      </c>
      <c r="M53" s="3"/>
      <c r="N53" s="7">
        <f t="shared" si="31"/>
        <v>0.56386831275720162</v>
      </c>
      <c r="O53" s="11"/>
      <c r="P53" s="8">
        <v>760.04</v>
      </c>
      <c r="Q53" s="3"/>
      <c r="R53" s="7">
        <f t="shared" si="32"/>
        <v>3.3063402262548752E-2</v>
      </c>
      <c r="S53" s="3"/>
      <c r="T53" s="8">
        <v>486</v>
      </c>
      <c r="U53" s="3"/>
      <c r="V53" s="7">
        <f t="shared" si="33"/>
        <v>0</v>
      </c>
      <c r="W53" s="3"/>
      <c r="X53" s="8">
        <f t="shared" si="34"/>
        <v>274.03999999999996</v>
      </c>
      <c r="Y53" s="3"/>
      <c r="Z53" s="7">
        <f t="shared" si="35"/>
        <v>0.56386831275720162</v>
      </c>
    </row>
    <row r="54" spans="1:26" s="27" customFormat="1" outlineLevel="1" collapsed="1" x14ac:dyDescent="0.3">
      <c r="A54" s="28"/>
      <c r="B54" s="14" t="str">
        <f>CONCATENATE("     ","Employees' Appreciation                           ")</f>
        <v xml:space="preserve">     Employees' Appreciation                           </v>
      </c>
      <c r="C54" s="14"/>
      <c r="D54" s="1">
        <f>SUM(OSRRefD22_6x_0)</f>
        <v>0</v>
      </c>
      <c r="E54" s="1"/>
      <c r="F54" s="5">
        <f t="shared" si="28"/>
        <v>0</v>
      </c>
      <c r="G54" s="1"/>
      <c r="H54" s="1">
        <f>SUM(OSRRefH22_6x_0)</f>
        <v>200</v>
      </c>
      <c r="I54" s="1"/>
      <c r="J54" s="5">
        <f t="shared" si="29"/>
        <v>0</v>
      </c>
      <c r="K54" s="1"/>
      <c r="L54" s="1">
        <f t="shared" si="30"/>
        <v>-200</v>
      </c>
      <c r="M54" s="1"/>
      <c r="N54" s="5">
        <f t="shared" si="31"/>
        <v>-1</v>
      </c>
      <c r="O54" s="14"/>
      <c r="P54" s="1">
        <f>SUM(OSRRefP22_6x_0)</f>
        <v>0</v>
      </c>
      <c r="Q54" s="1"/>
      <c r="R54" s="5">
        <f t="shared" si="32"/>
        <v>0</v>
      </c>
      <c r="S54" s="1"/>
      <c r="T54" s="1">
        <f>SUM(OSRRefT22_6x_0)</f>
        <v>200</v>
      </c>
      <c r="U54" s="1"/>
      <c r="V54" s="5">
        <f t="shared" si="33"/>
        <v>0</v>
      </c>
      <c r="W54" s="1"/>
      <c r="X54" s="1">
        <f t="shared" si="34"/>
        <v>-200</v>
      </c>
      <c r="Y54" s="1"/>
      <c r="Z54" s="5">
        <f t="shared" si="35"/>
        <v>-1</v>
      </c>
    </row>
    <row r="55" spans="1:26" s="24" customFormat="1" hidden="1" outlineLevel="2" x14ac:dyDescent="0.3">
      <c r="A55" s="29"/>
      <c r="B55" s="11" t="str">
        <f>CONCATENATE("          ", "6277", " - ", "EMPLOYEE APPRECIATION")</f>
        <v xml:space="preserve">          6277 - EMPLOYEE APPRECIATION</v>
      </c>
      <c r="C55" s="11"/>
      <c r="D55" s="8"/>
      <c r="E55" s="3"/>
      <c r="F55" s="7">
        <f t="shared" si="28"/>
        <v>0</v>
      </c>
      <c r="G55" s="3"/>
      <c r="H55" s="8">
        <v>200</v>
      </c>
      <c r="I55" s="3"/>
      <c r="J55" s="7">
        <f t="shared" si="29"/>
        <v>0</v>
      </c>
      <c r="K55" s="3"/>
      <c r="L55" s="8">
        <f t="shared" si="30"/>
        <v>-200</v>
      </c>
      <c r="M55" s="3"/>
      <c r="N55" s="7">
        <f t="shared" si="31"/>
        <v>-1</v>
      </c>
      <c r="O55" s="11"/>
      <c r="P55" s="8"/>
      <c r="Q55" s="3"/>
      <c r="R55" s="7">
        <f t="shared" si="32"/>
        <v>0</v>
      </c>
      <c r="S55" s="3"/>
      <c r="T55" s="8">
        <v>200</v>
      </c>
      <c r="U55" s="3"/>
      <c r="V55" s="7">
        <f t="shared" si="33"/>
        <v>0</v>
      </c>
      <c r="W55" s="3"/>
      <c r="X55" s="8">
        <f t="shared" si="34"/>
        <v>-200</v>
      </c>
      <c r="Y55" s="3"/>
      <c r="Z55" s="7">
        <f t="shared" si="35"/>
        <v>-1</v>
      </c>
    </row>
    <row r="56" spans="1:26" s="27" customFormat="1" outlineLevel="1" collapsed="1" x14ac:dyDescent="0.3">
      <c r="A56" s="28"/>
      <c r="B56" s="14" t="str">
        <f>CONCATENATE("     ","Equipment Rental                                  ")</f>
        <v xml:space="preserve">     Equipment Rental                                  </v>
      </c>
      <c r="C56" s="14"/>
      <c r="D56" s="1">
        <f>SUM(OSRRefD22_7x_0)</f>
        <v>857.53</v>
      </c>
      <c r="E56" s="1"/>
      <c r="F56" s="5">
        <f t="shared" si="28"/>
        <v>3.7304430480242394E-2</v>
      </c>
      <c r="G56" s="1"/>
      <c r="H56" s="1">
        <f>SUM(OSRRefH22_7x_0)</f>
        <v>795</v>
      </c>
      <c r="I56" s="1"/>
      <c r="J56" s="5">
        <f t="shared" si="29"/>
        <v>0</v>
      </c>
      <c r="K56" s="1"/>
      <c r="L56" s="1">
        <f t="shared" si="30"/>
        <v>62.529999999999973</v>
      </c>
      <c r="M56" s="1"/>
      <c r="N56" s="5">
        <f t="shared" si="31"/>
        <v>7.865408805031443E-2</v>
      </c>
      <c r="O56" s="14"/>
      <c r="P56" s="1">
        <f>SUM(OSRRefP22_7x_0)</f>
        <v>857.53</v>
      </c>
      <c r="Q56" s="1"/>
      <c r="R56" s="5">
        <f t="shared" si="32"/>
        <v>3.7304430480242394E-2</v>
      </c>
      <c r="S56" s="1"/>
      <c r="T56" s="1">
        <f>SUM(OSRRefT22_7x_0)</f>
        <v>795</v>
      </c>
      <c r="U56" s="1"/>
      <c r="V56" s="5">
        <f t="shared" si="33"/>
        <v>0</v>
      </c>
      <c r="W56" s="1"/>
      <c r="X56" s="1">
        <f t="shared" si="34"/>
        <v>62.529999999999973</v>
      </c>
      <c r="Y56" s="1"/>
      <c r="Z56" s="5">
        <f t="shared" si="35"/>
        <v>7.865408805031443E-2</v>
      </c>
    </row>
    <row r="57" spans="1:26" s="24" customFormat="1" hidden="1" outlineLevel="2" x14ac:dyDescent="0.3">
      <c r="A57" s="29"/>
      <c r="B57" s="11" t="str">
        <f>CONCATENATE("          ", "6351", " - ", "EQUIPMENT RENTAL")</f>
        <v xml:space="preserve">          6351 - EQUIPMENT RENTAL</v>
      </c>
      <c r="C57" s="11"/>
      <c r="D57" s="8">
        <v>857.53</v>
      </c>
      <c r="E57" s="3"/>
      <c r="F57" s="7">
        <f t="shared" si="28"/>
        <v>3.7304430480242394E-2</v>
      </c>
      <c r="G57" s="3"/>
      <c r="H57" s="8">
        <v>795</v>
      </c>
      <c r="I57" s="3"/>
      <c r="J57" s="7">
        <f t="shared" si="29"/>
        <v>0</v>
      </c>
      <c r="K57" s="3"/>
      <c r="L57" s="8">
        <f t="shared" si="30"/>
        <v>62.529999999999973</v>
      </c>
      <c r="M57" s="3"/>
      <c r="N57" s="7">
        <f t="shared" si="31"/>
        <v>7.865408805031443E-2</v>
      </c>
      <c r="O57" s="11"/>
      <c r="P57" s="8">
        <v>857.53</v>
      </c>
      <c r="Q57" s="3"/>
      <c r="R57" s="7">
        <f t="shared" si="32"/>
        <v>3.7304430480242394E-2</v>
      </c>
      <c r="S57" s="3"/>
      <c r="T57" s="8">
        <v>795</v>
      </c>
      <c r="U57" s="3"/>
      <c r="V57" s="7">
        <f t="shared" si="33"/>
        <v>0</v>
      </c>
      <c r="W57" s="3"/>
      <c r="X57" s="8">
        <f t="shared" si="34"/>
        <v>62.529999999999973</v>
      </c>
      <c r="Y57" s="3"/>
      <c r="Z57" s="7">
        <f t="shared" si="35"/>
        <v>7.865408805031443E-2</v>
      </c>
    </row>
    <row r="58" spans="1:26" s="27" customFormat="1" outlineLevel="1" collapsed="1" x14ac:dyDescent="0.3">
      <c r="A58" s="28"/>
      <c r="B58" s="14" t="str">
        <f>CONCATENATE("     ","General                                           ")</f>
        <v xml:space="preserve">     General                                           </v>
      </c>
      <c r="C58" s="14"/>
      <c r="D58" s="1">
        <f>SUM(OSRRefD22_8x_0)</f>
        <v>328.45</v>
      </c>
      <c r="E58" s="1"/>
      <c r="F58" s="5">
        <f t="shared" si="28"/>
        <v>1.4288293343947867E-2</v>
      </c>
      <c r="G58" s="1"/>
      <c r="H58" s="1">
        <f>SUM(OSRRefH22_8x_0)</f>
        <v>5450</v>
      </c>
      <c r="I58" s="1"/>
      <c r="J58" s="5">
        <f t="shared" si="29"/>
        <v>0</v>
      </c>
      <c r="K58" s="1"/>
      <c r="L58" s="1">
        <f t="shared" si="30"/>
        <v>-5121.55</v>
      </c>
      <c r="M58" s="1"/>
      <c r="N58" s="5">
        <f t="shared" si="31"/>
        <v>-0.93973394495412843</v>
      </c>
      <c r="O58" s="14"/>
      <c r="P58" s="1">
        <f>SUM(OSRRefP22_8x_0)</f>
        <v>328.45</v>
      </c>
      <c r="Q58" s="1"/>
      <c r="R58" s="5">
        <f t="shared" si="32"/>
        <v>1.4288293343947867E-2</v>
      </c>
      <c r="S58" s="1"/>
      <c r="T58" s="1">
        <f>SUM(OSRRefT22_8x_0)</f>
        <v>5450</v>
      </c>
      <c r="U58" s="1"/>
      <c r="V58" s="5">
        <f t="shared" si="33"/>
        <v>0</v>
      </c>
      <c r="W58" s="1"/>
      <c r="X58" s="1">
        <f t="shared" si="34"/>
        <v>-5121.55</v>
      </c>
      <c r="Y58" s="1"/>
      <c r="Z58" s="5">
        <f t="shared" si="35"/>
        <v>-0.93973394495412843</v>
      </c>
    </row>
    <row r="59" spans="1:26" s="24" customFormat="1" hidden="1" outlineLevel="2" x14ac:dyDescent="0.3">
      <c r="A59" s="29"/>
      <c r="B59" s="11" t="str">
        <f>CONCATENATE("          ", "6279", " - ", "GENERAL EXPENSE")</f>
        <v xml:space="preserve">          6279 - GENERAL EXPENSE</v>
      </c>
      <c r="C59" s="11"/>
      <c r="D59" s="8">
        <v>328.45</v>
      </c>
      <c r="E59" s="3"/>
      <c r="F59" s="7">
        <f t="shared" si="28"/>
        <v>1.4288293343947867E-2</v>
      </c>
      <c r="G59" s="3"/>
      <c r="H59" s="8">
        <v>5450</v>
      </c>
      <c r="I59" s="3"/>
      <c r="J59" s="7">
        <f t="shared" si="29"/>
        <v>0</v>
      </c>
      <c r="K59" s="3"/>
      <c r="L59" s="8">
        <f t="shared" si="30"/>
        <v>-5121.55</v>
      </c>
      <c r="M59" s="3"/>
      <c r="N59" s="7">
        <f t="shared" si="31"/>
        <v>-0.93973394495412843</v>
      </c>
      <c r="O59" s="11"/>
      <c r="P59" s="8">
        <v>328.45</v>
      </c>
      <c r="Q59" s="3"/>
      <c r="R59" s="7">
        <f t="shared" si="32"/>
        <v>1.4288293343947867E-2</v>
      </c>
      <c r="S59" s="3"/>
      <c r="T59" s="8">
        <v>5450</v>
      </c>
      <c r="U59" s="3"/>
      <c r="V59" s="7">
        <f t="shared" si="33"/>
        <v>0</v>
      </c>
      <c r="W59" s="3"/>
      <c r="X59" s="8">
        <f t="shared" si="34"/>
        <v>-5121.55</v>
      </c>
      <c r="Y59" s="3"/>
      <c r="Z59" s="7">
        <f t="shared" si="35"/>
        <v>-0.93973394495412843</v>
      </c>
    </row>
    <row r="60" spans="1:26" s="27" customFormat="1" outlineLevel="1" collapsed="1" x14ac:dyDescent="0.3">
      <c r="A60" s="28"/>
      <c r="B60" s="14" t="str">
        <f>CONCATENATE("     ","Insurance                                         ")</f>
        <v xml:space="preserve">     Insurance                                         </v>
      </c>
      <c r="C60" s="14"/>
      <c r="D60" s="1">
        <f>SUM(OSRRefD22_9x_0)</f>
        <v>5.22</v>
      </c>
      <c r="E60" s="1"/>
      <c r="F60" s="5">
        <f t="shared" si="28"/>
        <v>2.2708141651821547E-4</v>
      </c>
      <c r="G60" s="1"/>
      <c r="H60" s="1">
        <f>SUM(OSRRefH22_9x_0)</f>
        <v>10</v>
      </c>
      <c r="I60" s="1"/>
      <c r="J60" s="5">
        <f t="shared" si="29"/>
        <v>0</v>
      </c>
      <c r="K60" s="1"/>
      <c r="L60" s="1">
        <f t="shared" si="30"/>
        <v>-4.78</v>
      </c>
      <c r="M60" s="1"/>
      <c r="N60" s="5">
        <f t="shared" si="31"/>
        <v>-0.47800000000000004</v>
      </c>
      <c r="O60" s="14"/>
      <c r="P60" s="1">
        <f>SUM(OSRRefP22_9x_0)</f>
        <v>5.22</v>
      </c>
      <c r="Q60" s="1"/>
      <c r="R60" s="5">
        <f t="shared" si="32"/>
        <v>2.2708141651821547E-4</v>
      </c>
      <c r="S60" s="1"/>
      <c r="T60" s="1">
        <f>SUM(OSRRefT22_9x_0)</f>
        <v>10</v>
      </c>
      <c r="U60" s="1"/>
      <c r="V60" s="5">
        <f t="shared" si="33"/>
        <v>0</v>
      </c>
      <c r="W60" s="1"/>
      <c r="X60" s="1">
        <f t="shared" si="34"/>
        <v>-4.78</v>
      </c>
      <c r="Y60" s="1"/>
      <c r="Z60" s="5">
        <f t="shared" si="35"/>
        <v>-0.47800000000000004</v>
      </c>
    </row>
    <row r="61" spans="1:26" s="24" customFormat="1" hidden="1" outlineLevel="2" x14ac:dyDescent="0.3">
      <c r="A61" s="29"/>
      <c r="B61" s="11" t="str">
        <f>CONCATENATE("          ", "6314", " - ", "LIABILITY INSURANCE")</f>
        <v xml:space="preserve">          6314 - LIABILITY INSURANCE</v>
      </c>
      <c r="C61" s="11"/>
      <c r="D61" s="8">
        <v>5.22</v>
      </c>
      <c r="E61" s="3"/>
      <c r="F61" s="7">
        <f t="shared" si="28"/>
        <v>2.2708141651821547E-4</v>
      </c>
      <c r="G61" s="3"/>
      <c r="H61" s="8">
        <v>10</v>
      </c>
      <c r="I61" s="3"/>
      <c r="J61" s="7">
        <f t="shared" si="29"/>
        <v>0</v>
      </c>
      <c r="K61" s="3"/>
      <c r="L61" s="8">
        <f t="shared" si="30"/>
        <v>-4.78</v>
      </c>
      <c r="M61" s="3"/>
      <c r="N61" s="7">
        <f t="shared" si="31"/>
        <v>-0.47800000000000004</v>
      </c>
      <c r="O61" s="11"/>
      <c r="P61" s="8">
        <v>5.22</v>
      </c>
      <c r="Q61" s="3"/>
      <c r="R61" s="7">
        <f t="shared" si="32"/>
        <v>2.2708141651821547E-4</v>
      </c>
      <c r="S61" s="3"/>
      <c r="T61" s="8">
        <v>10</v>
      </c>
      <c r="U61" s="3"/>
      <c r="V61" s="7">
        <f t="shared" si="33"/>
        <v>0</v>
      </c>
      <c r="W61" s="3"/>
      <c r="X61" s="8">
        <f t="shared" si="34"/>
        <v>-4.78</v>
      </c>
      <c r="Y61" s="3"/>
      <c r="Z61" s="7">
        <f t="shared" si="35"/>
        <v>-0.47800000000000004</v>
      </c>
    </row>
    <row r="62" spans="1:26" s="27" customFormat="1" outlineLevel="1" collapsed="1" x14ac:dyDescent="0.3">
      <c r="A62" s="28"/>
      <c r="B62" s="14" t="str">
        <f>CONCATENATE("     ","R/H Commissions                                   ")</f>
        <v xml:space="preserve">     R/H Commissions                                   </v>
      </c>
      <c r="C62" s="14"/>
      <c r="D62" s="1">
        <f>SUM(OSRRefD22_10x_0)</f>
        <v>1568</v>
      </c>
      <c r="E62" s="1"/>
      <c r="F62" s="5">
        <f t="shared" si="28"/>
        <v>6.8211429329609552E-2</v>
      </c>
      <c r="G62" s="1"/>
      <c r="H62" s="1">
        <f>SUM(OSRRefH22_10x_0)</f>
        <v>0</v>
      </c>
      <c r="I62" s="1"/>
      <c r="J62" s="5">
        <f t="shared" si="29"/>
        <v>0</v>
      </c>
      <c r="K62" s="1"/>
      <c r="L62" s="1">
        <f t="shared" si="30"/>
        <v>1568</v>
      </c>
      <c r="M62" s="1"/>
      <c r="N62" s="5">
        <f t="shared" si="31"/>
        <v>0</v>
      </c>
      <c r="O62" s="14"/>
      <c r="P62" s="1">
        <f>SUM(OSRRefP22_10x_0)</f>
        <v>1568</v>
      </c>
      <c r="Q62" s="1"/>
      <c r="R62" s="5">
        <f t="shared" si="32"/>
        <v>6.8211429329609552E-2</v>
      </c>
      <c r="S62" s="1"/>
      <c r="T62" s="1">
        <f>SUM(OSRRefT22_10x_0)</f>
        <v>0</v>
      </c>
      <c r="U62" s="1"/>
      <c r="V62" s="5">
        <f t="shared" si="33"/>
        <v>0</v>
      </c>
      <c r="W62" s="1"/>
      <c r="X62" s="1">
        <f t="shared" si="34"/>
        <v>1568</v>
      </c>
      <c r="Y62" s="1"/>
      <c r="Z62" s="5">
        <f t="shared" si="35"/>
        <v>0</v>
      </c>
    </row>
    <row r="63" spans="1:26" s="24" customFormat="1" hidden="1" outlineLevel="2" x14ac:dyDescent="0.3">
      <c r="A63" s="29"/>
      <c r="B63" s="11" t="str">
        <f>CONCATENATE("          ", "6387", " - ", "COMMISSION DUE HOUSING")</f>
        <v xml:space="preserve">          6387 - COMMISSION DUE HOUSING</v>
      </c>
      <c r="C63" s="11"/>
      <c r="D63" s="8">
        <v>1568</v>
      </c>
      <c r="E63" s="3"/>
      <c r="F63" s="7">
        <f t="shared" si="28"/>
        <v>6.8211429329609552E-2</v>
      </c>
      <c r="G63" s="3"/>
      <c r="H63" s="8"/>
      <c r="I63" s="3"/>
      <c r="J63" s="7">
        <f t="shared" si="29"/>
        <v>0</v>
      </c>
      <c r="K63" s="3"/>
      <c r="L63" s="8">
        <f t="shared" si="30"/>
        <v>1568</v>
      </c>
      <c r="M63" s="3"/>
      <c r="N63" s="7">
        <f t="shared" si="31"/>
        <v>0</v>
      </c>
      <c r="O63" s="11"/>
      <c r="P63" s="8">
        <v>1568</v>
      </c>
      <c r="Q63" s="3"/>
      <c r="R63" s="7">
        <f t="shared" si="32"/>
        <v>6.8211429329609552E-2</v>
      </c>
      <c r="S63" s="3"/>
      <c r="T63" s="8"/>
      <c r="U63" s="3"/>
      <c r="V63" s="7">
        <f t="shared" si="33"/>
        <v>0</v>
      </c>
      <c r="W63" s="3"/>
      <c r="X63" s="8">
        <f t="shared" si="34"/>
        <v>1568</v>
      </c>
      <c r="Y63" s="3"/>
      <c r="Z63" s="7">
        <f t="shared" si="35"/>
        <v>0</v>
      </c>
    </row>
    <row r="64" spans="1:26" s="27" customFormat="1" outlineLevel="1" collapsed="1" x14ac:dyDescent="0.3">
      <c r="A64" s="28"/>
      <c r="B64" s="14" t="str">
        <f>CONCATENATE("     ","Repair and Maintenance                            ")</f>
        <v xml:space="preserve">     Repair and Maintenance                            </v>
      </c>
      <c r="C64" s="14"/>
      <c r="D64" s="1">
        <f>SUM(OSRRefD22_11x_0)</f>
        <v>4129</v>
      </c>
      <c r="E64" s="1"/>
      <c r="F64" s="5">
        <f t="shared" si="28"/>
        <v>0.179620530422167</v>
      </c>
      <c r="G64" s="1"/>
      <c r="H64" s="1">
        <f>SUM(OSRRefH22_11x_0)</f>
        <v>4050</v>
      </c>
      <c r="I64" s="1"/>
      <c r="J64" s="5">
        <f t="shared" si="29"/>
        <v>0</v>
      </c>
      <c r="K64" s="1"/>
      <c r="L64" s="1">
        <f t="shared" si="30"/>
        <v>79</v>
      </c>
      <c r="M64" s="1"/>
      <c r="N64" s="5">
        <f t="shared" si="31"/>
        <v>1.9506172839506172E-2</v>
      </c>
      <c r="O64" s="14"/>
      <c r="P64" s="1">
        <f>SUM(OSRRefP22_11x_0)</f>
        <v>4129</v>
      </c>
      <c r="Q64" s="1"/>
      <c r="R64" s="5">
        <f t="shared" si="32"/>
        <v>0.179620530422167</v>
      </c>
      <c r="S64" s="1"/>
      <c r="T64" s="1">
        <f>SUM(OSRRefT22_11x_0)</f>
        <v>4050</v>
      </c>
      <c r="U64" s="1"/>
      <c r="V64" s="5">
        <f t="shared" si="33"/>
        <v>0</v>
      </c>
      <c r="W64" s="1"/>
      <c r="X64" s="1">
        <f t="shared" si="34"/>
        <v>79</v>
      </c>
      <c r="Y64" s="1"/>
      <c r="Z64" s="5">
        <f t="shared" si="35"/>
        <v>1.9506172839506172E-2</v>
      </c>
    </row>
    <row r="65" spans="1:26" s="24" customFormat="1" hidden="1" outlineLevel="2" x14ac:dyDescent="0.3">
      <c r="A65" s="29"/>
      <c r="B65" s="11" t="str">
        <f>CONCATENATE("          ", "6371", " - ", "COMPUTER SOFTWARE MAINTENANCE")</f>
        <v xml:space="preserve">          6371 - COMPUTER SOFTWARE MAINTENANCE</v>
      </c>
      <c r="C65" s="11"/>
      <c r="D65" s="8">
        <v>3500</v>
      </c>
      <c r="E65" s="3"/>
      <c r="F65" s="7">
        <f t="shared" si="28"/>
        <v>0.15225765475359274</v>
      </c>
      <c r="G65" s="3"/>
      <c r="H65" s="8">
        <v>3500</v>
      </c>
      <c r="I65" s="3"/>
      <c r="J65" s="7">
        <f t="shared" si="29"/>
        <v>0</v>
      </c>
      <c r="K65" s="3"/>
      <c r="L65" s="8">
        <f t="shared" si="30"/>
        <v>0</v>
      </c>
      <c r="M65" s="3"/>
      <c r="N65" s="7">
        <f t="shared" si="31"/>
        <v>0</v>
      </c>
      <c r="O65" s="11"/>
      <c r="P65" s="8">
        <v>3500</v>
      </c>
      <c r="Q65" s="3"/>
      <c r="R65" s="7">
        <f t="shared" si="32"/>
        <v>0.15225765475359274</v>
      </c>
      <c r="S65" s="3"/>
      <c r="T65" s="8">
        <v>3500</v>
      </c>
      <c r="U65" s="3"/>
      <c r="V65" s="7">
        <f t="shared" si="33"/>
        <v>0</v>
      </c>
      <c r="W65" s="3"/>
      <c r="X65" s="8">
        <f t="shared" si="34"/>
        <v>0</v>
      </c>
      <c r="Y65" s="3"/>
      <c r="Z65" s="7">
        <f t="shared" si="35"/>
        <v>0</v>
      </c>
    </row>
    <row r="66" spans="1:26" s="24" customFormat="1" hidden="1" outlineLevel="2" x14ac:dyDescent="0.3">
      <c r="A66" s="29"/>
      <c r="B66" s="11" t="str">
        <f>CONCATENATE("          ", "6373", " - ", "MAINTENANCE CONTRACTS")</f>
        <v xml:space="preserve">          6373 - MAINTENANCE CONTRACTS</v>
      </c>
      <c r="C66" s="11"/>
      <c r="D66" s="8">
        <v>14</v>
      </c>
      <c r="E66" s="3"/>
      <c r="F66" s="7">
        <f t="shared" si="28"/>
        <v>6.09030619014371E-4</v>
      </c>
      <c r="G66" s="3"/>
      <c r="H66" s="8"/>
      <c r="I66" s="3"/>
      <c r="J66" s="7">
        <f t="shared" si="29"/>
        <v>0</v>
      </c>
      <c r="K66" s="3"/>
      <c r="L66" s="8">
        <f t="shared" si="30"/>
        <v>14</v>
      </c>
      <c r="M66" s="3"/>
      <c r="N66" s="7">
        <f t="shared" si="31"/>
        <v>0</v>
      </c>
      <c r="O66" s="11"/>
      <c r="P66" s="8">
        <v>14</v>
      </c>
      <c r="Q66" s="3"/>
      <c r="R66" s="7">
        <f t="shared" si="32"/>
        <v>6.09030619014371E-4</v>
      </c>
      <c r="S66" s="3"/>
      <c r="T66" s="8"/>
      <c r="U66" s="3"/>
      <c r="V66" s="7">
        <f t="shared" si="33"/>
        <v>0</v>
      </c>
      <c r="W66" s="3"/>
      <c r="X66" s="8">
        <f t="shared" si="34"/>
        <v>14</v>
      </c>
      <c r="Y66" s="3"/>
      <c r="Z66" s="7">
        <f t="shared" si="35"/>
        <v>0</v>
      </c>
    </row>
    <row r="67" spans="1:26" s="24" customFormat="1" hidden="1" outlineLevel="2" x14ac:dyDescent="0.3">
      <c r="A67" s="29"/>
      <c r="B67" s="11" t="str">
        <f>CONCATENATE("          ", "6375", " - ", "OUTSIDE REPAIRS &amp; MAINTENANCE")</f>
        <v xml:space="preserve">          6375 - OUTSIDE REPAIRS &amp; MAINTENANCE</v>
      </c>
      <c r="C67" s="11"/>
      <c r="D67" s="8">
        <v>615</v>
      </c>
      <c r="E67" s="3"/>
      <c r="F67" s="7">
        <f t="shared" si="28"/>
        <v>2.6753845049559868E-2</v>
      </c>
      <c r="G67" s="3"/>
      <c r="H67" s="8">
        <v>550</v>
      </c>
      <c r="I67" s="3"/>
      <c r="J67" s="7">
        <f t="shared" si="29"/>
        <v>0</v>
      </c>
      <c r="K67" s="3"/>
      <c r="L67" s="8">
        <f t="shared" si="30"/>
        <v>65</v>
      </c>
      <c r="M67" s="3"/>
      <c r="N67" s="7">
        <f t="shared" si="31"/>
        <v>0.11818181818181818</v>
      </c>
      <c r="O67" s="11"/>
      <c r="P67" s="8">
        <v>615</v>
      </c>
      <c r="Q67" s="3"/>
      <c r="R67" s="7">
        <f t="shared" si="32"/>
        <v>2.6753845049559868E-2</v>
      </c>
      <c r="S67" s="3"/>
      <c r="T67" s="8">
        <v>550</v>
      </c>
      <c r="U67" s="3"/>
      <c r="V67" s="7">
        <f t="shared" si="33"/>
        <v>0</v>
      </c>
      <c r="W67" s="3"/>
      <c r="X67" s="8">
        <f t="shared" si="34"/>
        <v>65</v>
      </c>
      <c r="Y67" s="3"/>
      <c r="Z67" s="7">
        <f t="shared" si="35"/>
        <v>0.11818181818181818</v>
      </c>
    </row>
    <row r="68" spans="1:26" s="27" customFormat="1" outlineLevel="1" collapsed="1" x14ac:dyDescent="0.3">
      <c r="A68" s="28"/>
      <c r="B68" s="14" t="str">
        <f>CONCATENATE("     ","Services                                          ")</f>
        <v xml:space="preserve">     Services                                          </v>
      </c>
      <c r="C68" s="14"/>
      <c r="D68" s="1">
        <f>SUM(OSRRefD22_12x_0)</f>
        <v>13078.92</v>
      </c>
      <c r="E68" s="1"/>
      <c r="F68" s="5">
        <f t="shared" ref="F68:F72" si="36">IF(D$12=0,0,D68/D$12)</f>
        <v>0.56896162454567412</v>
      </c>
      <c r="G68" s="1"/>
      <c r="H68" s="1">
        <f>SUM(OSRRefH22_12x_0)</f>
        <v>19672</v>
      </c>
      <c r="I68" s="1"/>
      <c r="J68" s="5">
        <f t="shared" ref="J68:J72" si="37">IF(H$12=0,0,H68/H$12)</f>
        <v>0</v>
      </c>
      <c r="K68" s="1"/>
      <c r="L68" s="1">
        <f t="shared" ref="L68:L72" si="38">+D68-H68</f>
        <v>-6593.08</v>
      </c>
      <c r="M68" s="1"/>
      <c r="N68" s="5">
        <f t="shared" ref="N68:N72" si="39">IF(H68=0,0,L68/H68)</f>
        <v>-0.33515046766978446</v>
      </c>
      <c r="O68" s="14"/>
      <c r="P68" s="1">
        <f>SUM(OSRRefP22_12x_0)</f>
        <v>13078.92</v>
      </c>
      <c r="Q68" s="1"/>
      <c r="R68" s="5">
        <f t="shared" ref="R68:R72" si="40">IF(P$12=0,0,P68/P$12)</f>
        <v>0.56896162454567412</v>
      </c>
      <c r="S68" s="1"/>
      <c r="T68" s="1">
        <f>SUM(OSRRefT22_12x_0)</f>
        <v>19672</v>
      </c>
      <c r="U68" s="1"/>
      <c r="V68" s="5">
        <f t="shared" ref="V68:V72" si="41">IF(T$12=0,0,T68/T$12)</f>
        <v>0</v>
      </c>
      <c r="W68" s="1"/>
      <c r="X68" s="1">
        <f t="shared" ref="X68:X72" si="42">+P68-T68</f>
        <v>-6593.08</v>
      </c>
      <c r="Y68" s="1"/>
      <c r="Z68" s="5">
        <f t="shared" ref="Z68:Z72" si="43">IF(T68=0,0,X68/T68)</f>
        <v>-0.33515046766978446</v>
      </c>
    </row>
    <row r="69" spans="1:26" s="24" customFormat="1" hidden="1" outlineLevel="2" x14ac:dyDescent="0.3">
      <c r="A69" s="29"/>
      <c r="B69" s="11" t="str">
        <f>CONCATENATE("          ", "6282", " - ", "JANITORIAL/EXTERMINATOR EXPENS")</f>
        <v xml:space="preserve">          6282 - JANITORIAL/EXTERMINATOR EXPENS</v>
      </c>
      <c r="C69" s="11"/>
      <c r="D69" s="8">
        <v>1508.5</v>
      </c>
      <c r="E69" s="3"/>
      <c r="F69" s="7">
        <f t="shared" si="36"/>
        <v>6.562304919879848E-2</v>
      </c>
      <c r="G69" s="3"/>
      <c r="H69" s="8">
        <v>1570</v>
      </c>
      <c r="I69" s="3"/>
      <c r="J69" s="7">
        <f t="shared" si="37"/>
        <v>0</v>
      </c>
      <c r="K69" s="3"/>
      <c r="L69" s="8">
        <f t="shared" si="38"/>
        <v>-61.5</v>
      </c>
      <c r="M69" s="3"/>
      <c r="N69" s="7">
        <f t="shared" si="39"/>
        <v>-3.9171974522292992E-2</v>
      </c>
      <c r="O69" s="11"/>
      <c r="P69" s="8">
        <v>1508.5</v>
      </c>
      <c r="Q69" s="3"/>
      <c r="R69" s="7">
        <f t="shared" si="40"/>
        <v>6.562304919879848E-2</v>
      </c>
      <c r="S69" s="3"/>
      <c r="T69" s="8">
        <v>1570</v>
      </c>
      <c r="U69" s="3"/>
      <c r="V69" s="7">
        <f t="shared" si="41"/>
        <v>0</v>
      </c>
      <c r="W69" s="3"/>
      <c r="X69" s="8">
        <f t="shared" si="42"/>
        <v>-61.5</v>
      </c>
      <c r="Y69" s="3"/>
      <c r="Z69" s="7">
        <f t="shared" si="43"/>
        <v>-3.9171974522292992E-2</v>
      </c>
    </row>
    <row r="70" spans="1:26" s="24" customFormat="1" hidden="1" outlineLevel="2" x14ac:dyDescent="0.3">
      <c r="A70" s="29"/>
      <c r="B70" s="11" t="str">
        <f>CONCATENATE("          ", "6284", " - ", "TRASH REMOVAL EXPENSE")</f>
        <v xml:space="preserve">          6284 - TRASH REMOVAL EXPENSE</v>
      </c>
      <c r="C70" s="11"/>
      <c r="D70" s="8"/>
      <c r="E70" s="3"/>
      <c r="F70" s="7">
        <f t="shared" si="36"/>
        <v>0</v>
      </c>
      <c r="G70" s="3"/>
      <c r="H70" s="8">
        <v>600</v>
      </c>
      <c r="I70" s="3"/>
      <c r="J70" s="7">
        <f t="shared" si="37"/>
        <v>0</v>
      </c>
      <c r="K70" s="3"/>
      <c r="L70" s="8">
        <f t="shared" si="38"/>
        <v>-600</v>
      </c>
      <c r="M70" s="3"/>
      <c r="N70" s="7">
        <f t="shared" si="39"/>
        <v>-1</v>
      </c>
      <c r="O70" s="11"/>
      <c r="P70" s="8"/>
      <c r="Q70" s="3"/>
      <c r="R70" s="7">
        <f t="shared" si="40"/>
        <v>0</v>
      </c>
      <c r="S70" s="3"/>
      <c r="T70" s="8">
        <v>600</v>
      </c>
      <c r="U70" s="3"/>
      <c r="V70" s="7">
        <f t="shared" si="41"/>
        <v>0</v>
      </c>
      <c r="W70" s="3"/>
      <c r="X70" s="8">
        <f t="shared" si="42"/>
        <v>-600</v>
      </c>
      <c r="Y70" s="3"/>
      <c r="Z70" s="7">
        <f t="shared" si="43"/>
        <v>-1</v>
      </c>
    </row>
    <row r="71" spans="1:26" s="24" customFormat="1" hidden="1" outlineLevel="2" x14ac:dyDescent="0.3">
      <c r="A71" s="29"/>
      <c r="B71" s="11" t="str">
        <f>CONCATENATE("          ", "6285", " - ", "JANITORIAL SERVICES")</f>
        <v xml:space="preserve">          6285 - JANITORIAL SERVICES</v>
      </c>
      <c r="C71" s="11"/>
      <c r="D71" s="8">
        <v>10647.19</v>
      </c>
      <c r="E71" s="3"/>
      <c r="F71" s="7">
        <f t="shared" si="36"/>
        <v>0.46317605117597294</v>
      </c>
      <c r="G71" s="3"/>
      <c r="H71" s="8">
        <v>14335</v>
      </c>
      <c r="I71" s="3"/>
      <c r="J71" s="7">
        <f t="shared" si="37"/>
        <v>0</v>
      </c>
      <c r="K71" s="3"/>
      <c r="L71" s="8">
        <f t="shared" si="38"/>
        <v>-3687.8099999999995</v>
      </c>
      <c r="M71" s="3"/>
      <c r="N71" s="7">
        <f t="shared" si="39"/>
        <v>-0.25725915591210319</v>
      </c>
      <c r="O71" s="11"/>
      <c r="P71" s="8">
        <v>10647.19</v>
      </c>
      <c r="Q71" s="3"/>
      <c r="R71" s="7">
        <f t="shared" si="40"/>
        <v>0.46317605117597294</v>
      </c>
      <c r="S71" s="3"/>
      <c r="T71" s="8">
        <v>14335</v>
      </c>
      <c r="U71" s="3"/>
      <c r="V71" s="7">
        <f t="shared" si="41"/>
        <v>0</v>
      </c>
      <c r="W71" s="3"/>
      <c r="X71" s="8">
        <f t="shared" si="42"/>
        <v>-3687.8099999999995</v>
      </c>
      <c r="Y71" s="3"/>
      <c r="Z71" s="7">
        <f t="shared" si="43"/>
        <v>-0.25725915591210319</v>
      </c>
    </row>
    <row r="72" spans="1:26" s="24" customFormat="1" hidden="1" outlineLevel="2" x14ac:dyDescent="0.3">
      <c r="A72" s="29"/>
      <c r="B72" s="11" t="str">
        <f>CONCATENATE("          ", "6286", " - ", "LAUNDRY EXPENSE")</f>
        <v xml:space="preserve">          6286 - LAUNDRY EXPENSE</v>
      </c>
      <c r="C72" s="11"/>
      <c r="D72" s="8">
        <v>923.23</v>
      </c>
      <c r="E72" s="3"/>
      <c r="F72" s="7">
        <f t="shared" si="36"/>
        <v>4.0162524170902693E-2</v>
      </c>
      <c r="G72" s="3"/>
      <c r="H72" s="8">
        <v>3167</v>
      </c>
      <c r="I72" s="3"/>
      <c r="J72" s="7">
        <f t="shared" si="37"/>
        <v>0</v>
      </c>
      <c r="K72" s="3"/>
      <c r="L72" s="8">
        <f t="shared" si="38"/>
        <v>-2243.77</v>
      </c>
      <c r="M72" s="3"/>
      <c r="N72" s="7">
        <f t="shared" si="39"/>
        <v>-0.70848437006630882</v>
      </c>
      <c r="O72" s="11"/>
      <c r="P72" s="8">
        <v>923.23</v>
      </c>
      <c r="Q72" s="3"/>
      <c r="R72" s="7">
        <f t="shared" si="40"/>
        <v>4.0162524170902693E-2</v>
      </c>
      <c r="S72" s="3"/>
      <c r="T72" s="8">
        <v>3167</v>
      </c>
      <c r="U72" s="3"/>
      <c r="V72" s="7">
        <f t="shared" si="41"/>
        <v>0</v>
      </c>
      <c r="W72" s="3"/>
      <c r="X72" s="8">
        <f t="shared" si="42"/>
        <v>-2243.77</v>
      </c>
      <c r="Y72" s="3"/>
      <c r="Z72" s="7">
        <f t="shared" si="43"/>
        <v>-0.70848437006630882</v>
      </c>
    </row>
    <row r="73" spans="1:26" s="27" customFormat="1" outlineLevel="1" collapsed="1" x14ac:dyDescent="0.3">
      <c r="A73" s="28"/>
      <c r="B73" s="14" t="str">
        <f>CONCATENATE("     ","Supplies                                          ")</f>
        <v xml:space="preserve">     Supplies                                          </v>
      </c>
      <c r="C73" s="14"/>
      <c r="D73" s="1">
        <f>SUM(OSRRefD22_13x_0)</f>
        <v>5210.6799999999994</v>
      </c>
      <c r="E73" s="1"/>
      <c r="F73" s="5">
        <f t="shared" ref="F73:F80" si="44">IF(D$12=0,0,D73/D$12)</f>
        <v>0.22667597613470017</v>
      </c>
      <c r="G73" s="1"/>
      <c r="H73" s="1">
        <f>SUM(OSRRefH22_13x_0)</f>
        <v>31250</v>
      </c>
      <c r="I73" s="1"/>
      <c r="J73" s="5">
        <f t="shared" ref="J73:J80" si="45">IF(H$12=0,0,H73/H$12)</f>
        <v>0</v>
      </c>
      <c r="K73" s="1"/>
      <c r="L73" s="1">
        <f t="shared" ref="L73:L80" si="46">+D73-H73</f>
        <v>-26039.32</v>
      </c>
      <c r="M73" s="1"/>
      <c r="N73" s="5">
        <f t="shared" ref="N73:N80" si="47">IF(H73=0,0,L73/H73)</f>
        <v>-0.83325824000000004</v>
      </c>
      <c r="O73" s="14"/>
      <c r="P73" s="1">
        <f>SUM(OSRRefP22_13x_0)</f>
        <v>5210.6799999999994</v>
      </c>
      <c r="Q73" s="1"/>
      <c r="R73" s="5">
        <f t="shared" ref="R73:R80" si="48">IF(P$12=0,0,P73/P$12)</f>
        <v>0.22667597613470017</v>
      </c>
      <c r="S73" s="1"/>
      <c r="T73" s="1">
        <f>SUM(OSRRefT22_13x_0)</f>
        <v>31250</v>
      </c>
      <c r="U73" s="1"/>
      <c r="V73" s="5">
        <f t="shared" ref="V73:V80" si="49">IF(T$12=0,0,T73/T$12)</f>
        <v>0</v>
      </c>
      <c r="W73" s="1"/>
      <c r="X73" s="1">
        <f t="shared" ref="X73:X80" si="50">+P73-T73</f>
        <v>-26039.32</v>
      </c>
      <c r="Y73" s="1"/>
      <c r="Z73" s="5">
        <f t="shared" ref="Z73:Z80" si="51">IF(T73=0,0,X73/T73)</f>
        <v>-0.83325824000000004</v>
      </c>
    </row>
    <row r="74" spans="1:26" s="24" customFormat="1" hidden="1" outlineLevel="2" x14ac:dyDescent="0.3">
      <c r="A74" s="29"/>
      <c r="B74" s="11" t="str">
        <f>CONCATENATE("          ", "6234", " - ", "EXPENDABLE SUPPLIES &amp; EQUIPMEN")</f>
        <v xml:space="preserve">          6234 - EXPENDABLE SUPPLIES &amp; EQUIPMEN</v>
      </c>
      <c r="C74" s="11"/>
      <c r="D74" s="8"/>
      <c r="E74" s="3"/>
      <c r="F74" s="7">
        <f t="shared" si="44"/>
        <v>0</v>
      </c>
      <c r="G74" s="3"/>
      <c r="H74" s="8">
        <v>342</v>
      </c>
      <c r="I74" s="3"/>
      <c r="J74" s="7">
        <f t="shared" si="45"/>
        <v>0</v>
      </c>
      <c r="K74" s="3"/>
      <c r="L74" s="8">
        <f t="shared" si="46"/>
        <v>-342</v>
      </c>
      <c r="M74" s="3"/>
      <c r="N74" s="7">
        <f t="shared" si="47"/>
        <v>-1</v>
      </c>
      <c r="O74" s="11"/>
      <c r="P74" s="8"/>
      <c r="Q74" s="3"/>
      <c r="R74" s="7">
        <f t="shared" si="48"/>
        <v>0</v>
      </c>
      <c r="S74" s="3"/>
      <c r="T74" s="8">
        <v>342</v>
      </c>
      <c r="U74" s="3"/>
      <c r="V74" s="7">
        <f t="shared" si="49"/>
        <v>0</v>
      </c>
      <c r="W74" s="3"/>
      <c r="X74" s="8">
        <f t="shared" si="50"/>
        <v>-342</v>
      </c>
      <c r="Y74" s="3"/>
      <c r="Z74" s="7">
        <f t="shared" si="51"/>
        <v>-1</v>
      </c>
    </row>
    <row r="75" spans="1:26" s="24" customFormat="1" hidden="1" outlineLevel="2" x14ac:dyDescent="0.3">
      <c r="A75" s="29"/>
      <c r="B75" s="11" t="str">
        <f>CONCATENATE("          ", "6237", " - ", "JANITORIAL SUPPLIES")</f>
        <v xml:space="preserve">          6237 - JANITORIAL SUPPLIES</v>
      </c>
      <c r="C75" s="11"/>
      <c r="D75" s="8">
        <v>3701.95</v>
      </c>
      <c r="E75" s="3"/>
      <c r="F75" s="7">
        <f t="shared" si="44"/>
        <v>0.16104292143287505</v>
      </c>
      <c r="G75" s="3"/>
      <c r="H75" s="8">
        <v>10750</v>
      </c>
      <c r="I75" s="3"/>
      <c r="J75" s="7">
        <f t="shared" si="45"/>
        <v>0</v>
      </c>
      <c r="K75" s="3"/>
      <c r="L75" s="8">
        <f t="shared" si="46"/>
        <v>-7048.05</v>
      </c>
      <c r="M75" s="3"/>
      <c r="N75" s="7">
        <f t="shared" si="47"/>
        <v>-0.65563255813953492</v>
      </c>
      <c r="O75" s="11"/>
      <c r="P75" s="8">
        <v>3701.95</v>
      </c>
      <c r="Q75" s="3"/>
      <c r="R75" s="7">
        <f t="shared" si="48"/>
        <v>0.16104292143287505</v>
      </c>
      <c r="S75" s="3"/>
      <c r="T75" s="8">
        <v>10750</v>
      </c>
      <c r="U75" s="3"/>
      <c r="V75" s="7">
        <f t="shared" si="49"/>
        <v>0</v>
      </c>
      <c r="W75" s="3"/>
      <c r="X75" s="8">
        <f t="shared" si="50"/>
        <v>-7048.05</v>
      </c>
      <c r="Y75" s="3"/>
      <c r="Z75" s="7">
        <f t="shared" si="51"/>
        <v>-0.65563255813953492</v>
      </c>
    </row>
    <row r="76" spans="1:26" s="24" customFormat="1" hidden="1" outlineLevel="2" x14ac:dyDescent="0.3">
      <c r="A76" s="29"/>
      <c r="B76" s="11" t="str">
        <f>CONCATENATE("          ", "6239", " - ", "KITCHEN SUPPLIES")</f>
        <v xml:space="preserve">          6239 - KITCHEN SUPPLIES</v>
      </c>
      <c r="C76" s="11"/>
      <c r="D76" s="8"/>
      <c r="E76" s="3"/>
      <c r="F76" s="7">
        <f t="shared" si="44"/>
        <v>0</v>
      </c>
      <c r="G76" s="3"/>
      <c r="H76" s="8">
        <v>6300</v>
      </c>
      <c r="I76" s="3"/>
      <c r="J76" s="7">
        <f t="shared" si="45"/>
        <v>0</v>
      </c>
      <c r="K76" s="3"/>
      <c r="L76" s="8">
        <f t="shared" si="46"/>
        <v>-6300</v>
      </c>
      <c r="M76" s="3"/>
      <c r="N76" s="7">
        <f t="shared" si="47"/>
        <v>-1</v>
      </c>
      <c r="O76" s="11"/>
      <c r="P76" s="8"/>
      <c r="Q76" s="3"/>
      <c r="R76" s="7">
        <f t="shared" si="48"/>
        <v>0</v>
      </c>
      <c r="S76" s="3"/>
      <c r="T76" s="8">
        <v>6300</v>
      </c>
      <c r="U76" s="3"/>
      <c r="V76" s="7">
        <f t="shared" si="49"/>
        <v>0</v>
      </c>
      <c r="W76" s="3"/>
      <c r="X76" s="8">
        <f t="shared" si="50"/>
        <v>-6300</v>
      </c>
      <c r="Y76" s="3"/>
      <c r="Z76" s="7">
        <f t="shared" si="51"/>
        <v>-1</v>
      </c>
    </row>
    <row r="77" spans="1:26" s="24" customFormat="1" hidden="1" outlineLevel="2" x14ac:dyDescent="0.3">
      <c r="A77" s="29"/>
      <c r="B77" s="11" t="str">
        <f>CONCATENATE("          ", "6241", " - ", "OFFICE EXPENSE")</f>
        <v xml:space="preserve">          6241 - OFFICE EXPENSE</v>
      </c>
      <c r="C77" s="11"/>
      <c r="D77" s="8">
        <v>445.66</v>
      </c>
      <c r="E77" s="3"/>
      <c r="F77" s="7">
        <f t="shared" si="44"/>
        <v>1.9387184690710327E-2</v>
      </c>
      <c r="G77" s="3"/>
      <c r="H77" s="8">
        <v>1445</v>
      </c>
      <c r="I77" s="3"/>
      <c r="J77" s="7">
        <f t="shared" si="45"/>
        <v>0</v>
      </c>
      <c r="K77" s="3"/>
      <c r="L77" s="8">
        <f t="shared" si="46"/>
        <v>-999.33999999999992</v>
      </c>
      <c r="M77" s="3"/>
      <c r="N77" s="7">
        <f t="shared" si="47"/>
        <v>-0.69158477508650518</v>
      </c>
      <c r="O77" s="11"/>
      <c r="P77" s="8">
        <v>445.66</v>
      </c>
      <c r="Q77" s="3"/>
      <c r="R77" s="7">
        <f t="shared" si="48"/>
        <v>1.9387184690710327E-2</v>
      </c>
      <c r="S77" s="3"/>
      <c r="T77" s="8">
        <v>1445</v>
      </c>
      <c r="U77" s="3"/>
      <c r="V77" s="7">
        <f t="shared" si="49"/>
        <v>0</v>
      </c>
      <c r="W77" s="3"/>
      <c r="X77" s="8">
        <f t="shared" si="50"/>
        <v>-999.33999999999992</v>
      </c>
      <c r="Y77" s="3"/>
      <c r="Z77" s="7">
        <f t="shared" si="51"/>
        <v>-0.69158477508650518</v>
      </c>
    </row>
    <row r="78" spans="1:26" s="24" customFormat="1" hidden="1" outlineLevel="2" x14ac:dyDescent="0.3">
      <c r="A78" s="29"/>
      <c r="B78" s="11" t="str">
        <f>CONCATENATE("          ", "6243", " - ", "PAPER SUPPLIES")</f>
        <v xml:space="preserve">          6243 - PAPER SUPPLIES</v>
      </c>
      <c r="C78" s="11"/>
      <c r="D78" s="8">
        <v>1063.07</v>
      </c>
      <c r="E78" s="3"/>
      <c r="F78" s="7">
        <f t="shared" si="44"/>
        <v>4.6245870011114812E-2</v>
      </c>
      <c r="G78" s="3"/>
      <c r="H78" s="8">
        <v>11300</v>
      </c>
      <c r="I78" s="3"/>
      <c r="J78" s="7">
        <f t="shared" si="45"/>
        <v>0</v>
      </c>
      <c r="K78" s="3"/>
      <c r="L78" s="8">
        <f t="shared" si="46"/>
        <v>-10236.93</v>
      </c>
      <c r="M78" s="3"/>
      <c r="N78" s="7">
        <f t="shared" si="47"/>
        <v>-0.90592300884955757</v>
      </c>
      <c r="O78" s="11"/>
      <c r="P78" s="8">
        <v>1063.07</v>
      </c>
      <c r="Q78" s="3"/>
      <c r="R78" s="7">
        <f t="shared" si="48"/>
        <v>4.6245870011114812E-2</v>
      </c>
      <c r="S78" s="3"/>
      <c r="T78" s="8">
        <v>11300</v>
      </c>
      <c r="U78" s="3"/>
      <c r="V78" s="7">
        <f t="shared" si="49"/>
        <v>0</v>
      </c>
      <c r="W78" s="3"/>
      <c r="X78" s="8">
        <f t="shared" si="50"/>
        <v>-10236.93</v>
      </c>
      <c r="Y78" s="3"/>
      <c r="Z78" s="7">
        <f t="shared" si="51"/>
        <v>-0.90592300884955757</v>
      </c>
    </row>
    <row r="79" spans="1:26" s="24" customFormat="1" hidden="1" outlineLevel="2" x14ac:dyDescent="0.3">
      <c r="A79" s="29"/>
      <c r="B79" s="11" t="str">
        <f>CONCATENATE("          ", "6244", " - ", "SAFETY SUPPLY EXPENSE")</f>
        <v xml:space="preserve">          6244 - SAFETY SUPPLY EXPENSE</v>
      </c>
      <c r="C79" s="11"/>
      <c r="D79" s="8"/>
      <c r="E79" s="3"/>
      <c r="F79" s="7">
        <f t="shared" si="44"/>
        <v>0</v>
      </c>
      <c r="G79" s="3"/>
      <c r="H79" s="8">
        <v>525</v>
      </c>
      <c r="I79" s="3"/>
      <c r="J79" s="7">
        <f t="shared" si="45"/>
        <v>0</v>
      </c>
      <c r="K79" s="3"/>
      <c r="L79" s="8">
        <f t="shared" si="46"/>
        <v>-525</v>
      </c>
      <c r="M79" s="3"/>
      <c r="N79" s="7">
        <f t="shared" si="47"/>
        <v>-1</v>
      </c>
      <c r="O79" s="11"/>
      <c r="P79" s="8"/>
      <c r="Q79" s="3"/>
      <c r="R79" s="7">
        <f t="shared" si="48"/>
        <v>0</v>
      </c>
      <c r="S79" s="3"/>
      <c r="T79" s="8">
        <v>525</v>
      </c>
      <c r="U79" s="3"/>
      <c r="V79" s="7">
        <f t="shared" si="49"/>
        <v>0</v>
      </c>
      <c r="W79" s="3"/>
      <c r="X79" s="8">
        <f t="shared" si="50"/>
        <v>-525</v>
      </c>
      <c r="Y79" s="3"/>
      <c r="Z79" s="7">
        <f t="shared" si="51"/>
        <v>-1</v>
      </c>
    </row>
    <row r="80" spans="1:26" s="24" customFormat="1" hidden="1" outlineLevel="2" x14ac:dyDescent="0.3">
      <c r="A80" s="29"/>
      <c r="B80" s="11" t="str">
        <f>CONCATENATE("          ", "6248", " - ", "UNIFORMS")</f>
        <v xml:space="preserve">          6248 - UNIFORMS</v>
      </c>
      <c r="C80" s="11"/>
      <c r="D80" s="8"/>
      <c r="E80" s="3"/>
      <c r="F80" s="7">
        <f t="shared" si="44"/>
        <v>0</v>
      </c>
      <c r="G80" s="3"/>
      <c r="H80" s="8">
        <v>588</v>
      </c>
      <c r="I80" s="3"/>
      <c r="J80" s="7">
        <f t="shared" si="45"/>
        <v>0</v>
      </c>
      <c r="K80" s="3"/>
      <c r="L80" s="8">
        <f t="shared" si="46"/>
        <v>-588</v>
      </c>
      <c r="M80" s="3"/>
      <c r="N80" s="7">
        <f t="shared" si="47"/>
        <v>-1</v>
      </c>
      <c r="O80" s="11"/>
      <c r="P80" s="8"/>
      <c r="Q80" s="3"/>
      <c r="R80" s="7">
        <f t="shared" si="48"/>
        <v>0</v>
      </c>
      <c r="S80" s="3"/>
      <c r="T80" s="8">
        <v>588</v>
      </c>
      <c r="U80" s="3"/>
      <c r="V80" s="7">
        <f t="shared" si="49"/>
        <v>0</v>
      </c>
      <c r="W80" s="3"/>
      <c r="X80" s="8">
        <f t="shared" si="50"/>
        <v>-588</v>
      </c>
      <c r="Y80" s="3"/>
      <c r="Z80" s="7">
        <f t="shared" si="51"/>
        <v>-1</v>
      </c>
    </row>
    <row r="81" spans="1:26" s="27" customFormat="1" outlineLevel="1" collapsed="1" x14ac:dyDescent="0.3">
      <c r="A81" s="28"/>
      <c r="B81" s="14" t="str">
        <f>CONCATENATE("     ","Telephone/Data Lines                              ")</f>
        <v xml:space="preserve">     Telephone/Data Lines                              </v>
      </c>
      <c r="C81" s="14"/>
      <c r="D81" s="1">
        <f>SUM(OSRRefD22_14x_0)</f>
        <v>499</v>
      </c>
      <c r="E81" s="1"/>
      <c r="F81" s="5">
        <f t="shared" ref="F81:F83" si="52">IF(D$12=0,0,D81/D$12)</f>
        <v>2.1707591349155082E-2</v>
      </c>
      <c r="G81" s="1"/>
      <c r="H81" s="1">
        <f>SUM(OSRRefH22_14x_0)</f>
        <v>601</v>
      </c>
      <c r="I81" s="1"/>
      <c r="J81" s="5">
        <f t="shared" ref="J81:J83" si="53">IF(H$12=0,0,H81/H$12)</f>
        <v>0</v>
      </c>
      <c r="K81" s="1"/>
      <c r="L81" s="1">
        <f t="shared" ref="L81:L83" si="54">+D81-H81</f>
        <v>-102</v>
      </c>
      <c r="M81" s="1"/>
      <c r="N81" s="5">
        <f t="shared" ref="N81:N83" si="55">IF(H81=0,0,L81/H81)</f>
        <v>-0.16971713810316139</v>
      </c>
      <c r="O81" s="14"/>
      <c r="P81" s="1">
        <f>SUM(OSRRefP22_14x_0)</f>
        <v>499</v>
      </c>
      <c r="Q81" s="1"/>
      <c r="R81" s="5">
        <f t="shared" ref="R81:R83" si="56">IF(P$12=0,0,P81/P$12)</f>
        <v>2.1707591349155082E-2</v>
      </c>
      <c r="S81" s="1"/>
      <c r="T81" s="1">
        <f>SUM(OSRRefT22_14x_0)</f>
        <v>601</v>
      </c>
      <c r="U81" s="1"/>
      <c r="V81" s="5">
        <f t="shared" ref="V81:V83" si="57">IF(T$12=0,0,T81/T$12)</f>
        <v>0</v>
      </c>
      <c r="W81" s="1"/>
      <c r="X81" s="1">
        <f t="shared" ref="X81:X83" si="58">+P81-T81</f>
        <v>-102</v>
      </c>
      <c r="Y81" s="1"/>
      <c r="Z81" s="5">
        <f t="shared" ref="Z81:Z83" si="59">IF(T81=0,0,X81/T81)</f>
        <v>-0.16971713810316139</v>
      </c>
    </row>
    <row r="82" spans="1:26" s="24" customFormat="1" hidden="1" outlineLevel="2" x14ac:dyDescent="0.3">
      <c r="A82" s="29"/>
      <c r="B82" s="11" t="str">
        <f>CONCATENATE("          ", "6303", " - ", "DATA PHONE LINES")</f>
        <v xml:space="preserve">          6303 - DATA PHONE LINES</v>
      </c>
      <c r="C82" s="11"/>
      <c r="D82" s="8"/>
      <c r="E82" s="3"/>
      <c r="F82" s="7">
        <f t="shared" si="52"/>
        <v>0</v>
      </c>
      <c r="G82" s="3"/>
      <c r="H82" s="8">
        <v>58</v>
      </c>
      <c r="I82" s="3"/>
      <c r="J82" s="7">
        <f t="shared" si="53"/>
        <v>0</v>
      </c>
      <c r="K82" s="3"/>
      <c r="L82" s="8">
        <f t="shared" si="54"/>
        <v>-58</v>
      </c>
      <c r="M82" s="3"/>
      <c r="N82" s="7">
        <f t="shared" si="55"/>
        <v>-1</v>
      </c>
      <c r="O82" s="11"/>
      <c r="P82" s="8"/>
      <c r="Q82" s="3"/>
      <c r="R82" s="7">
        <f t="shared" si="56"/>
        <v>0</v>
      </c>
      <c r="S82" s="3"/>
      <c r="T82" s="8">
        <v>58</v>
      </c>
      <c r="U82" s="3"/>
      <c r="V82" s="7">
        <f t="shared" si="57"/>
        <v>0</v>
      </c>
      <c r="W82" s="3"/>
      <c r="X82" s="8">
        <f t="shared" si="58"/>
        <v>-58</v>
      </c>
      <c r="Y82" s="3"/>
      <c r="Z82" s="7">
        <f t="shared" si="59"/>
        <v>-1</v>
      </c>
    </row>
    <row r="83" spans="1:26" s="24" customFormat="1" hidden="1" outlineLevel="2" x14ac:dyDescent="0.3">
      <c r="A83" s="29"/>
      <c r="B83" s="11" t="str">
        <f>CONCATENATE("          ", "6309", " - ", "TELEPHONE")</f>
        <v xml:space="preserve">          6309 - TELEPHONE</v>
      </c>
      <c r="C83" s="11"/>
      <c r="D83" s="8">
        <v>499</v>
      </c>
      <c r="E83" s="3"/>
      <c r="F83" s="7">
        <f t="shared" si="52"/>
        <v>2.1707591349155082E-2</v>
      </c>
      <c r="G83" s="3"/>
      <c r="H83" s="8">
        <v>543</v>
      </c>
      <c r="I83" s="3"/>
      <c r="J83" s="7">
        <f t="shared" si="53"/>
        <v>0</v>
      </c>
      <c r="K83" s="3"/>
      <c r="L83" s="8">
        <f t="shared" si="54"/>
        <v>-44</v>
      </c>
      <c r="M83" s="3"/>
      <c r="N83" s="7">
        <f t="shared" si="55"/>
        <v>-8.1031307550644568E-2</v>
      </c>
      <c r="O83" s="11"/>
      <c r="P83" s="8">
        <v>499</v>
      </c>
      <c r="Q83" s="3"/>
      <c r="R83" s="7">
        <f t="shared" si="56"/>
        <v>2.1707591349155082E-2</v>
      </c>
      <c r="S83" s="3"/>
      <c r="T83" s="8">
        <v>543</v>
      </c>
      <c r="U83" s="3"/>
      <c r="V83" s="7">
        <f t="shared" si="57"/>
        <v>0</v>
      </c>
      <c r="W83" s="3"/>
      <c r="X83" s="8">
        <f t="shared" si="58"/>
        <v>-44</v>
      </c>
      <c r="Y83" s="3"/>
      <c r="Z83" s="7">
        <f t="shared" si="59"/>
        <v>-8.1031307550644568E-2</v>
      </c>
    </row>
    <row r="84" spans="1:26" s="27" customFormat="1" outlineLevel="1" collapsed="1" x14ac:dyDescent="0.3">
      <c r="A84" s="28"/>
      <c r="B84" s="14" t="str">
        <f>CONCATENATE("     ","Training                                          ")</f>
        <v xml:space="preserve">     Training                                          </v>
      </c>
      <c r="C84" s="14"/>
      <c r="D84" s="1">
        <f>SUM(OSRRefD22_15x_0)</f>
        <v>0</v>
      </c>
      <c r="E84" s="1"/>
      <c r="F84" s="5">
        <f t="shared" ref="F84:F85" si="60">IF(D$12=0,0,D84/D$12)</f>
        <v>0</v>
      </c>
      <c r="G84" s="1"/>
      <c r="H84" s="1">
        <f>SUM(OSRRefH22_15x_0)</f>
        <v>640</v>
      </c>
      <c r="I84" s="1"/>
      <c r="J84" s="5">
        <f t="shared" ref="J84:J85" si="61">IF(H$12=0,0,H84/H$12)</f>
        <v>0</v>
      </c>
      <c r="K84" s="1"/>
      <c r="L84" s="1">
        <f t="shared" ref="L84:L85" si="62">+D84-H84</f>
        <v>-640</v>
      </c>
      <c r="M84" s="1"/>
      <c r="N84" s="5">
        <f t="shared" ref="N84:N85" si="63">IF(H84=0,0,L84/H84)</f>
        <v>-1</v>
      </c>
      <c r="O84" s="14"/>
      <c r="P84" s="1">
        <f>SUM(OSRRefP22_15x_0)</f>
        <v>0</v>
      </c>
      <c r="Q84" s="1"/>
      <c r="R84" s="5">
        <f t="shared" ref="R84:R85" si="64">IF(P$12=0,0,P84/P$12)</f>
        <v>0</v>
      </c>
      <c r="S84" s="1"/>
      <c r="T84" s="1">
        <f>SUM(OSRRefT22_15x_0)</f>
        <v>640</v>
      </c>
      <c r="U84" s="1"/>
      <c r="V84" s="5">
        <f t="shared" ref="V84:V85" si="65">IF(T$12=0,0,T84/T$12)</f>
        <v>0</v>
      </c>
      <c r="W84" s="1"/>
      <c r="X84" s="1">
        <f t="shared" ref="X84:X85" si="66">+P84-T84</f>
        <v>-640</v>
      </c>
      <c r="Y84" s="1"/>
      <c r="Z84" s="5">
        <f t="shared" ref="Z84:Z85" si="67">IF(T84=0,0,X84/T84)</f>
        <v>-1</v>
      </c>
    </row>
    <row r="85" spans="1:26" s="24" customFormat="1" hidden="1" outlineLevel="2" x14ac:dyDescent="0.3">
      <c r="A85" s="29"/>
      <c r="B85" s="11" t="str">
        <f>CONCATENATE("          ", "6376", " - ", "TRAINING")</f>
        <v xml:space="preserve">          6376 - TRAINING</v>
      </c>
      <c r="C85" s="11"/>
      <c r="D85" s="8"/>
      <c r="E85" s="3"/>
      <c r="F85" s="7">
        <f t="shared" si="60"/>
        <v>0</v>
      </c>
      <c r="G85" s="3"/>
      <c r="H85" s="8">
        <v>640</v>
      </c>
      <c r="I85" s="3"/>
      <c r="J85" s="7">
        <f t="shared" si="61"/>
        <v>0</v>
      </c>
      <c r="K85" s="3"/>
      <c r="L85" s="8">
        <f t="shared" si="62"/>
        <v>-640</v>
      </c>
      <c r="M85" s="3"/>
      <c r="N85" s="7">
        <f t="shared" si="63"/>
        <v>-1</v>
      </c>
      <c r="O85" s="11"/>
      <c r="P85" s="8"/>
      <c r="Q85" s="3"/>
      <c r="R85" s="7">
        <f t="shared" si="64"/>
        <v>0</v>
      </c>
      <c r="S85" s="3"/>
      <c r="T85" s="8">
        <v>640</v>
      </c>
      <c r="U85" s="3"/>
      <c r="V85" s="7">
        <f t="shared" si="65"/>
        <v>0</v>
      </c>
      <c r="W85" s="3"/>
      <c r="X85" s="8">
        <f t="shared" si="66"/>
        <v>-640</v>
      </c>
      <c r="Y85" s="3"/>
      <c r="Z85" s="7">
        <f t="shared" si="67"/>
        <v>-1</v>
      </c>
    </row>
    <row r="86" spans="1:26" s="62" customFormat="1" x14ac:dyDescent="0.3">
      <c r="A86" s="36"/>
      <c r="B86" s="36"/>
      <c r="C86" s="36"/>
      <c r="D86" s="1"/>
      <c r="E86" s="1"/>
      <c r="F86" s="5"/>
      <c r="G86" s="1"/>
      <c r="H86" s="1"/>
      <c r="I86" s="1"/>
      <c r="J86" s="5"/>
      <c r="K86" s="1"/>
      <c r="L86" s="1"/>
      <c r="M86" s="1"/>
      <c r="N86" s="5"/>
      <c r="O86" s="36"/>
      <c r="P86" s="1"/>
      <c r="Q86" s="1"/>
      <c r="R86" s="5"/>
      <c r="S86" s="1"/>
      <c r="T86" s="1"/>
      <c r="U86" s="1"/>
      <c r="V86" s="5"/>
      <c r="W86" s="1"/>
      <c r="X86" s="1"/>
      <c r="Y86" s="1"/>
      <c r="Z86" s="5"/>
    </row>
    <row r="87" spans="1:26" s="23" customFormat="1" x14ac:dyDescent="0.3">
      <c r="A87" s="10"/>
      <c r="B87" s="25" t="s">
        <v>293</v>
      </c>
      <c r="C87" s="10"/>
      <c r="D87" s="4">
        <f>SUM(0)</f>
        <v>0</v>
      </c>
      <c r="E87" s="4"/>
      <c r="F87" s="12">
        <f>IF(D$12=0,0,D87/D$12)</f>
        <v>0</v>
      </c>
      <c r="G87" s="4"/>
      <c r="H87" s="4">
        <f>SUM(0)</f>
        <v>0</v>
      </c>
      <c r="I87" s="4"/>
      <c r="J87" s="12">
        <f>IF(H$12=0,0,H87/H$12)</f>
        <v>0</v>
      </c>
      <c r="K87" s="4"/>
      <c r="L87" s="4">
        <f>+D87-H87</f>
        <v>0</v>
      </c>
      <c r="M87" s="4"/>
      <c r="N87" s="12">
        <f>IF(H87=0,0,L87/H87)</f>
        <v>0</v>
      </c>
      <c r="O87" s="10"/>
      <c r="P87" s="4">
        <f>SUM(0)</f>
        <v>0</v>
      </c>
      <c r="Q87" s="4"/>
      <c r="R87" s="12">
        <f>IF(P$12=0,0,P87/P$12)</f>
        <v>0</v>
      </c>
      <c r="S87" s="4"/>
      <c r="T87" s="4">
        <f>SUM(0)</f>
        <v>0</v>
      </c>
      <c r="U87" s="4"/>
      <c r="V87" s="12">
        <f>IF(T$12=0,0,T87/T$12)</f>
        <v>0</v>
      </c>
      <c r="W87" s="4"/>
      <c r="X87" s="4">
        <f>+P87-T87</f>
        <v>0</v>
      </c>
      <c r="Y87" s="4"/>
      <c r="Z87" s="12">
        <f>IF(T87=0,0,X87/T87)</f>
        <v>0</v>
      </c>
    </row>
    <row r="88" spans="1:26" x14ac:dyDescent="0.3">
      <c r="A88" s="9"/>
      <c r="B88" s="10"/>
      <c r="C88" s="10"/>
      <c r="D88" s="2"/>
      <c r="E88" s="2"/>
      <c r="F88" s="6"/>
      <c r="G88" s="2"/>
      <c r="H88" s="2"/>
      <c r="I88" s="2"/>
      <c r="J88" s="6"/>
      <c r="K88" s="2"/>
      <c r="L88" s="2"/>
      <c r="M88" s="2"/>
      <c r="N88" s="6"/>
      <c r="O88" s="10"/>
      <c r="P88" s="2"/>
      <c r="Q88" s="2"/>
      <c r="R88" s="6"/>
      <c r="S88" s="2"/>
      <c r="T88" s="2"/>
      <c r="U88" s="2"/>
      <c r="V88" s="6"/>
      <c r="W88" s="2"/>
      <c r="X88" s="2"/>
      <c r="Y88" s="2"/>
      <c r="Z88" s="6"/>
    </row>
    <row r="89" spans="1:26" s="23" customFormat="1" x14ac:dyDescent="0.3">
      <c r="A89" s="10"/>
      <c r="B89" s="26" t="s">
        <v>277</v>
      </c>
      <c r="C89" s="26"/>
      <c r="D89" s="21">
        <f>+D21-D23+D87</f>
        <v>-188771.38000000006</v>
      </c>
      <c r="E89" s="13"/>
      <c r="F89" s="22">
        <f>IF(D$12=0,0,D89/D$12)</f>
        <v>-8.2119678866855068</v>
      </c>
      <c r="G89" s="13"/>
      <c r="H89" s="21">
        <f>+H21-H23+H87</f>
        <v>-342167.83140633255</v>
      </c>
      <c r="I89" s="13"/>
      <c r="J89" s="22">
        <f>IF(H$12=0,0,H89/H$12)</f>
        <v>0</v>
      </c>
      <c r="K89" s="16"/>
      <c r="L89" s="21">
        <f>+D89-H89</f>
        <v>153396.45140633249</v>
      </c>
      <c r="M89" s="16"/>
      <c r="N89" s="22">
        <f>IF(H89=0,0,L89/H89)</f>
        <v>-0.44830763539594842</v>
      </c>
      <c r="O89" s="25"/>
      <c r="P89" s="21">
        <f>+P21-P23+P87</f>
        <v>-188771.38000000006</v>
      </c>
      <c r="Q89" s="13"/>
      <c r="R89" s="22">
        <f>IF(P$12=0,0,P89/P$12)</f>
        <v>-8.2119678866855068</v>
      </c>
      <c r="S89" s="13"/>
      <c r="T89" s="21">
        <f>+T21-T23+T87</f>
        <v>-342167.83140633255</v>
      </c>
      <c r="U89" s="13"/>
      <c r="V89" s="22">
        <f>IF(T$12=0,0,T89/T$12)</f>
        <v>0</v>
      </c>
      <c r="W89" s="16"/>
      <c r="X89" s="21">
        <f>+P89-T89</f>
        <v>153396.45140633249</v>
      </c>
      <c r="Y89" s="16"/>
      <c r="Z89" s="22">
        <f>IF(T89=0,0,X89/T89)</f>
        <v>-0.44830763539594842</v>
      </c>
    </row>
    <row r="90" spans="1:26" x14ac:dyDescent="0.3">
      <c r="A90" s="9"/>
      <c r="B90" s="10"/>
      <c r="C90" s="9"/>
      <c r="D90" s="2"/>
      <c r="E90" s="2"/>
      <c r="F90" s="6"/>
      <c r="G90" s="2"/>
      <c r="H90" s="2"/>
      <c r="I90" s="2"/>
      <c r="J90" s="6"/>
      <c r="K90" s="2"/>
      <c r="L90" s="2"/>
      <c r="M90" s="2"/>
      <c r="N90" s="6"/>
      <c r="P90" s="2"/>
      <c r="Q90" s="2"/>
      <c r="R90" s="6"/>
      <c r="S90" s="2"/>
      <c r="T90" s="2"/>
      <c r="U90" s="2"/>
      <c r="V90" s="6"/>
      <c r="W90" s="2"/>
      <c r="X90" s="2"/>
      <c r="Y90" s="2"/>
      <c r="Z90" s="6"/>
    </row>
    <row r="91" spans="1:26" s="23" customFormat="1" x14ac:dyDescent="0.3">
      <c r="A91" s="52"/>
      <c r="B91" s="10" t="s">
        <v>128</v>
      </c>
      <c r="C91" s="10"/>
      <c r="D91" s="4">
        <v>10620.07</v>
      </c>
      <c r="E91" s="4"/>
      <c r="F91" s="12">
        <f>IF(D$12=0,0,D91/D$12)</f>
        <v>0.46199627186256792</v>
      </c>
      <c r="G91" s="4"/>
      <c r="H91" s="4">
        <v>0</v>
      </c>
      <c r="I91" s="4"/>
      <c r="J91" s="12">
        <f>IF(H$12=0,0,H91/H$12)</f>
        <v>0</v>
      </c>
      <c r="K91" s="4"/>
      <c r="L91" s="4">
        <f>+D91-H91</f>
        <v>10620.07</v>
      </c>
      <c r="M91" s="4"/>
      <c r="N91" s="12">
        <f>IF(H91=0,0,L91/H91)</f>
        <v>0</v>
      </c>
      <c r="O91" s="10"/>
      <c r="P91" s="4">
        <v>10620.07</v>
      </c>
      <c r="Q91" s="4"/>
      <c r="R91" s="12">
        <f>IF(P$12=0,0,P91/P$12)</f>
        <v>0.46199627186256792</v>
      </c>
      <c r="S91" s="4"/>
      <c r="T91" s="4">
        <v>0</v>
      </c>
      <c r="U91" s="4"/>
      <c r="V91" s="12">
        <f>IF(T$12=0,0,T91/T$12)</f>
        <v>0</v>
      </c>
      <c r="W91" s="4"/>
      <c r="X91" s="4">
        <f>+P91-T91</f>
        <v>10620.07</v>
      </c>
      <c r="Y91" s="4"/>
      <c r="Z91" s="12">
        <f>IF(T91=0,0,X91/T91)</f>
        <v>0</v>
      </c>
    </row>
    <row r="92" spans="1:26" x14ac:dyDescent="0.3">
      <c r="A92" s="9"/>
      <c r="B92" s="10"/>
      <c r="C92" s="10"/>
      <c r="D92" s="2"/>
      <c r="E92" s="2"/>
      <c r="F92" s="6"/>
      <c r="G92" s="2"/>
      <c r="H92" s="2"/>
      <c r="I92" s="2"/>
      <c r="J92" s="6"/>
      <c r="K92" s="2"/>
      <c r="L92" s="2"/>
      <c r="M92" s="2"/>
      <c r="N92" s="6"/>
      <c r="O92" s="10"/>
      <c r="P92" s="2"/>
      <c r="Q92" s="2"/>
      <c r="R92" s="6"/>
      <c r="S92" s="2"/>
      <c r="T92" s="2"/>
      <c r="U92" s="2"/>
      <c r="V92" s="6"/>
      <c r="W92" s="2"/>
      <c r="X92" s="2"/>
      <c r="Y92" s="2"/>
      <c r="Z92" s="6"/>
    </row>
    <row r="93" spans="1:26" s="23" customFormat="1" ht="15" thickBot="1" x14ac:dyDescent="0.35">
      <c r="A93" s="10"/>
      <c r="B93" s="26" t="s">
        <v>126</v>
      </c>
      <c r="C93" s="26"/>
      <c r="D93" s="35">
        <f>+D89-D91</f>
        <v>-199391.45000000007</v>
      </c>
      <c r="E93" s="13"/>
      <c r="F93" s="30">
        <f>IF(D$12=0,0,D93/D$12)</f>
        <v>-8.673964158548074</v>
      </c>
      <c r="G93" s="13"/>
      <c r="H93" s="35">
        <f>+H89-H91</f>
        <v>-342167.83140633255</v>
      </c>
      <c r="I93" s="13"/>
      <c r="J93" s="30">
        <f>IF(H$12=0,0,H93/H$12)</f>
        <v>0</v>
      </c>
      <c r="K93" s="16"/>
      <c r="L93" s="35">
        <f>D93-H93</f>
        <v>142776.38140633248</v>
      </c>
      <c r="M93" s="16"/>
      <c r="N93" s="30">
        <f>IF(H93=0,0,L93/H93)</f>
        <v>-0.41727003038103277</v>
      </c>
      <c r="O93" s="25"/>
      <c r="P93" s="35">
        <f>+P89-P91</f>
        <v>-199391.45000000007</v>
      </c>
      <c r="Q93" s="13"/>
      <c r="R93" s="30">
        <f>IF(P$12=0,0,P93/P$12)</f>
        <v>-8.673964158548074</v>
      </c>
      <c r="S93" s="13"/>
      <c r="T93" s="35">
        <f>+T89-T91</f>
        <v>-342167.83140633255</v>
      </c>
      <c r="U93" s="13"/>
      <c r="V93" s="30">
        <f>IF(T$12=0,0,T93/T$12)</f>
        <v>0</v>
      </c>
      <c r="W93" s="16"/>
      <c r="X93" s="35">
        <f>P93-T93</f>
        <v>142776.38140633248</v>
      </c>
      <c r="Y93" s="16"/>
      <c r="Z93" s="30">
        <f>IF(T93=0,0,X93/T93)</f>
        <v>-0.41727003038103277</v>
      </c>
    </row>
    <row r="94" spans="1:26" ht="15" thickTop="1" x14ac:dyDescent="0.3">
      <c r="A94" s="9"/>
      <c r="B94" s="9"/>
      <c r="C94" s="9"/>
      <c r="D94" s="2"/>
      <c r="E94" s="2"/>
      <c r="F94" s="6"/>
      <c r="G94" s="2"/>
      <c r="H94" s="2"/>
      <c r="I94" s="2"/>
      <c r="J94" s="6"/>
      <c r="K94" s="2"/>
      <c r="L94" s="2"/>
      <c r="M94" s="2"/>
      <c r="N94" s="6"/>
      <c r="P94" s="2"/>
      <c r="Q94" s="2"/>
      <c r="R94" s="6"/>
      <c r="S94" s="2"/>
      <c r="T94" s="2"/>
      <c r="U94" s="2"/>
      <c r="V94" s="6"/>
      <c r="W94" s="2"/>
      <c r="X94" s="2"/>
      <c r="Y94" s="2"/>
      <c r="Z94" s="6"/>
    </row>
    <row r="95" spans="1:26" x14ac:dyDescent="0.3">
      <c r="A95" s="9"/>
      <c r="B95" s="9"/>
      <c r="C95" s="9"/>
      <c r="D95" s="2"/>
      <c r="E95" s="2"/>
      <c r="F95" s="6"/>
      <c r="G95" s="2"/>
      <c r="H95" s="2"/>
      <c r="I95" s="2"/>
      <c r="J95" s="6"/>
      <c r="K95" s="2"/>
      <c r="L95" s="2"/>
      <c r="M95" s="2"/>
      <c r="N95" s="6"/>
      <c r="P95" s="2"/>
      <c r="Q95" s="2"/>
      <c r="R95" s="6"/>
      <c r="S95" s="2"/>
      <c r="T95" s="2"/>
      <c r="U95" s="2"/>
      <c r="V95" s="6"/>
      <c r="W95" s="2"/>
      <c r="X95" s="2"/>
      <c r="Y95" s="2"/>
      <c r="Z95" s="6"/>
    </row>
    <row r="96" spans="1:26" s="23" customFormat="1" ht="15" thickBot="1" x14ac:dyDescent="0.35">
      <c r="A96" s="10"/>
      <c r="B96" s="26" t="s">
        <v>294</v>
      </c>
      <c r="C96" s="26"/>
      <c r="D96" s="33">
        <f>SUM(D93:D95)</f>
        <v>-199391.45000000007</v>
      </c>
      <c r="E96" s="13"/>
      <c r="F96" s="31">
        <f>IF(D$12=0,0,D96/D$12)</f>
        <v>-8.673964158548074</v>
      </c>
      <c r="G96" s="13"/>
      <c r="H96" s="33">
        <f>SUM(H93:H95)</f>
        <v>-342167.83140633255</v>
      </c>
      <c r="I96" s="13"/>
      <c r="J96" s="31">
        <f>IF(H$12=0,0,H96/H$12)</f>
        <v>0</v>
      </c>
      <c r="K96" s="16"/>
      <c r="L96" s="33">
        <f>+D96-H96</f>
        <v>142776.38140633248</v>
      </c>
      <c r="M96" s="16"/>
      <c r="N96" s="31">
        <f>IF(H96=0,0,L96/H96)</f>
        <v>-0.41727003038103277</v>
      </c>
      <c r="O96" s="25"/>
      <c r="P96" s="33">
        <f>SUM(P93:P95)</f>
        <v>-199391.45000000007</v>
      </c>
      <c r="Q96" s="13"/>
      <c r="R96" s="31">
        <f>IF(P$12=0,0,P96/P$12)</f>
        <v>-8.673964158548074</v>
      </c>
      <c r="S96" s="13"/>
      <c r="T96" s="33">
        <f>SUM(T93:T95)</f>
        <v>-342167.83140633255</v>
      </c>
      <c r="U96" s="13"/>
      <c r="V96" s="31">
        <f>IF(T$12=0,0,T96/T$12)</f>
        <v>0</v>
      </c>
      <c r="W96" s="16"/>
      <c r="X96" s="33">
        <f>+P96-T96</f>
        <v>142776.38140633248</v>
      </c>
      <c r="Y96" s="16"/>
      <c r="Z96" s="31">
        <f>IF(T96=0,0,X96/T96)</f>
        <v>-0.41727003038103277</v>
      </c>
    </row>
    <row r="97" spans="1:24" ht="15" thickTop="1" x14ac:dyDescent="0.3">
      <c r="A97" s="9"/>
      <c r="C97" s="9"/>
      <c r="D97" s="18"/>
      <c r="E97" s="18"/>
      <c r="G97" s="18"/>
      <c r="H97" s="18"/>
      <c r="I97" s="18"/>
      <c r="J97" s="43"/>
      <c r="K97" s="18"/>
      <c r="L97" s="18"/>
      <c r="M97" s="18"/>
      <c r="P97" s="18"/>
      <c r="Q97" s="18"/>
      <c r="R97" s="43"/>
      <c r="S97" s="18"/>
      <c r="T97" s="18"/>
      <c r="U97" s="18"/>
      <c r="V97" s="43"/>
      <c r="W97" s="18"/>
      <c r="X97" s="18"/>
    </row>
    <row r="98" spans="1:24" x14ac:dyDescent="0.3">
      <c r="A98" s="9"/>
      <c r="B98" s="54">
        <v>44462.645474340279</v>
      </c>
      <c r="D98" s="18"/>
      <c r="E98" s="18"/>
      <c r="G98" s="18"/>
      <c r="H98" s="18"/>
      <c r="I98" s="18"/>
      <c r="J98" s="43"/>
      <c r="K98" s="18"/>
      <c r="L98" s="18"/>
      <c r="M98" s="18"/>
      <c r="P98" s="18"/>
      <c r="Q98" s="18"/>
      <c r="R98" s="43"/>
      <c r="S98" s="18"/>
      <c r="T98" s="18"/>
      <c r="U98" s="18"/>
      <c r="V98" s="43"/>
      <c r="W98" s="18"/>
      <c r="X98" s="18"/>
    </row>
    <row r="99" spans="1:24" x14ac:dyDescent="0.3">
      <c r="A99" s="9"/>
      <c r="B99" s="59" t="s">
        <v>56</v>
      </c>
      <c r="D99" s="18"/>
      <c r="E99" s="18"/>
      <c r="G99" s="18"/>
      <c r="H99" s="18"/>
      <c r="I99" s="18"/>
      <c r="J99" s="43"/>
      <c r="K99" s="18"/>
      <c r="L99" s="18"/>
      <c r="M99" s="18"/>
      <c r="P99" s="18"/>
      <c r="Q99" s="18"/>
      <c r="R99" s="43"/>
      <c r="S99" s="18"/>
      <c r="T99" s="18"/>
      <c r="U99" s="18"/>
      <c r="V99" s="43"/>
      <c r="W99" s="18"/>
      <c r="X99" s="18"/>
    </row>
    <row r="100" spans="1:24" x14ac:dyDescent="0.3">
      <c r="A100" s="9"/>
      <c r="B100" s="55"/>
      <c r="D100" s="18"/>
      <c r="E100" s="18"/>
      <c r="G100" s="18"/>
      <c r="H100" s="18"/>
      <c r="I100" s="18"/>
      <c r="J100" s="43"/>
      <c r="K100" s="18"/>
      <c r="L100" s="18"/>
      <c r="M100" s="18"/>
      <c r="P100" s="18"/>
      <c r="Q100" s="18"/>
      <c r="R100" s="43"/>
      <c r="S100" s="18"/>
      <c r="T100" s="18"/>
      <c r="U100" s="18"/>
      <c r="V100" s="43"/>
      <c r="W100" s="18"/>
      <c r="X100" s="18"/>
    </row>
    <row r="101" spans="1:24" x14ac:dyDescent="0.3">
      <c r="D101" s="18"/>
      <c r="E101" s="18"/>
      <c r="G101" s="18"/>
      <c r="H101" s="18"/>
      <c r="I101" s="18"/>
      <c r="J101" s="43"/>
      <c r="K101" s="18"/>
      <c r="L101" s="18"/>
      <c r="M101" s="18"/>
      <c r="P101" s="18"/>
      <c r="Q101" s="18"/>
      <c r="R101" s="43"/>
      <c r="S101" s="18"/>
      <c r="T101" s="18"/>
      <c r="U101" s="18"/>
      <c r="V101" s="43"/>
      <c r="W101" s="18"/>
      <c r="X101" s="18"/>
    </row>
  </sheetData>
  <pageMargins left="0.25" right="0.25" top="0.75" bottom="0.75" header="0.3" footer="0.3"/>
  <pageSetup scale="55" fitToWidth="2" orientation="landscape"/>
  <drawing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>
    <tabColor rgb="FF92D050"/>
    <outlinePr summaryBelow="0" summaryRight="0"/>
  </sheetPr>
  <dimension ref="A2:Z66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50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7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50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7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7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7" customWidth="1" outlineLevel="1"/>
  </cols>
  <sheetData>
    <row r="2" spans="1:26" x14ac:dyDescent="0.3">
      <c r="D2" s="57" t="s">
        <v>23</v>
      </c>
    </row>
    <row r="3" spans="1:26" x14ac:dyDescent="0.3">
      <c r="D3" s="57" t="s">
        <v>237</v>
      </c>
      <c r="E3" s="17"/>
      <c r="F3" s="51"/>
      <c r="G3" s="17"/>
      <c r="H3" s="17"/>
      <c r="I3" s="17"/>
      <c r="J3" s="39"/>
      <c r="K3" s="17"/>
      <c r="L3" s="17"/>
      <c r="M3" s="17"/>
      <c r="N3" s="51"/>
      <c r="O3" s="61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3">
      <c r="D4" s="57" t="str">
        <f>CONCATENATE("Period ",RIGHT(202201,2),", ",2022)</f>
        <v>Period 01, 2022</v>
      </c>
      <c r="E4" s="17"/>
      <c r="F4" s="51"/>
      <c r="G4" s="17"/>
      <c r="H4" s="17"/>
      <c r="I4" s="17"/>
      <c r="J4" s="39"/>
      <c r="K4" s="17"/>
      <c r="L4" s="17"/>
      <c r="M4" s="17"/>
      <c r="N4" s="51"/>
      <c r="O4" s="61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3">
      <c r="A5" s="23"/>
      <c r="D5" s="64">
        <v>44408</v>
      </c>
      <c r="E5" s="17"/>
      <c r="F5" s="51"/>
      <c r="G5" s="17"/>
      <c r="H5" s="17"/>
      <c r="I5" s="17"/>
      <c r="J5" s="39"/>
      <c r="K5" s="17"/>
      <c r="L5" s="17"/>
      <c r="M5" s="17"/>
      <c r="N5" s="51"/>
      <c r="O5" s="61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3">
      <c r="A6" s="23"/>
      <c r="B6" s="47"/>
      <c r="C6" s="47"/>
      <c r="D6" s="23" t="str">
        <f>CONCATENATE("Department ","430", " - ", "Res Hall Management")</f>
        <v>Department 430 - Res Hall Management</v>
      </c>
      <c r="E6" s="17"/>
      <c r="F6" s="51"/>
      <c r="G6" s="17"/>
      <c r="H6" s="17"/>
      <c r="I6" s="17"/>
      <c r="J6" s="39"/>
      <c r="K6" s="17"/>
      <c r="L6" s="17"/>
      <c r="M6" s="17"/>
      <c r="N6" s="51"/>
      <c r="O6" s="60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3">
      <c r="B7" s="63"/>
    </row>
    <row r="8" spans="1:26" x14ac:dyDescent="0.3">
      <c r="B8" s="63"/>
    </row>
    <row r="9" spans="1:26" x14ac:dyDescent="0.3">
      <c r="B9" s="9"/>
      <c r="C9" s="9"/>
      <c r="D9" s="15" t="s">
        <v>292</v>
      </c>
      <c r="E9" s="15"/>
      <c r="F9" s="38"/>
      <c r="G9" s="15"/>
      <c r="H9" s="15"/>
      <c r="I9" s="15"/>
      <c r="J9" s="49"/>
      <c r="K9" s="15"/>
      <c r="L9" s="15"/>
      <c r="M9" s="15"/>
      <c r="N9" s="38"/>
      <c r="P9" s="15" t="s">
        <v>39</v>
      </c>
      <c r="Q9" s="15"/>
      <c r="R9" s="38"/>
      <c r="S9" s="15"/>
      <c r="T9" s="15"/>
      <c r="U9" s="15"/>
      <c r="V9" s="49"/>
      <c r="W9" s="15"/>
      <c r="X9" s="15"/>
      <c r="Y9" s="15"/>
      <c r="Z9" s="38"/>
    </row>
    <row r="10" spans="1:26" x14ac:dyDescent="0.3">
      <c r="A10" s="10"/>
      <c r="B10" s="53"/>
      <c r="C10" s="10"/>
      <c r="D10" s="42" t="s">
        <v>57</v>
      </c>
      <c r="E10" s="34"/>
      <c r="F10" s="40" t="s">
        <v>40</v>
      </c>
      <c r="G10" s="34"/>
      <c r="H10" s="45" t="s">
        <v>238</v>
      </c>
      <c r="I10" s="34"/>
      <c r="J10" s="48" t="s">
        <v>58</v>
      </c>
      <c r="K10" s="10"/>
      <c r="L10" s="42" t="s">
        <v>127</v>
      </c>
      <c r="M10" s="10"/>
      <c r="N10" s="40" t="s">
        <v>258</v>
      </c>
      <c r="O10" s="10"/>
      <c r="P10" s="56" t="s">
        <v>57</v>
      </c>
      <c r="Q10" s="34"/>
      <c r="R10" s="40" t="s">
        <v>40</v>
      </c>
      <c r="S10" s="34"/>
      <c r="T10" s="45" t="s">
        <v>238</v>
      </c>
      <c r="U10" s="34"/>
      <c r="V10" s="48" t="s">
        <v>58</v>
      </c>
      <c r="W10" s="10"/>
      <c r="X10" s="42" t="s">
        <v>127</v>
      </c>
      <c r="Y10" s="10"/>
      <c r="Z10" s="40" t="s">
        <v>258</v>
      </c>
    </row>
    <row r="11" spans="1:26" ht="15.6" x14ac:dyDescent="0.3">
      <c r="A11" s="9"/>
      <c r="B11" s="58"/>
      <c r="C11" s="9"/>
      <c r="D11" s="9"/>
      <c r="E11" s="9"/>
      <c r="F11" s="6"/>
      <c r="G11" s="9"/>
      <c r="H11" s="9"/>
      <c r="I11" s="9"/>
      <c r="J11" s="46"/>
      <c r="K11" s="9"/>
      <c r="L11" s="9"/>
      <c r="M11" s="9"/>
      <c r="N11" s="6"/>
      <c r="P11" s="9"/>
      <c r="Q11" s="9"/>
      <c r="R11" s="6"/>
      <c r="S11" s="9"/>
      <c r="T11" s="9"/>
      <c r="U11" s="9"/>
      <c r="V11" s="46"/>
      <c r="W11" s="9"/>
      <c r="X11" s="9"/>
      <c r="Y11" s="9"/>
      <c r="Z11" s="6"/>
    </row>
    <row r="12" spans="1:26" s="23" customFormat="1" x14ac:dyDescent="0.3">
      <c r="A12" s="10"/>
      <c r="B12" s="25" t="s">
        <v>140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3">
      <c r="A13" s="9"/>
      <c r="B13" s="10"/>
      <c r="C13" s="9"/>
      <c r="D13" s="2"/>
      <c r="E13" s="2"/>
      <c r="F13" s="6"/>
      <c r="G13" s="2"/>
      <c r="H13" s="2"/>
      <c r="I13" s="2"/>
      <c r="J13" s="6"/>
      <c r="K13" s="2"/>
      <c r="L13" s="2"/>
      <c r="M13" s="2"/>
      <c r="N13" s="6"/>
      <c r="P13" s="2"/>
      <c r="Q13" s="2"/>
      <c r="R13" s="6"/>
      <c r="S13" s="2"/>
      <c r="T13" s="2"/>
      <c r="U13" s="2"/>
      <c r="V13" s="6"/>
      <c r="W13" s="2"/>
      <c r="X13" s="2"/>
      <c r="Y13" s="2"/>
      <c r="Z13" s="6"/>
    </row>
    <row r="14" spans="1:26" s="23" customFormat="1" x14ac:dyDescent="0.3">
      <c r="A14" s="10"/>
      <c r="B14" s="25" t="s">
        <v>257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3">
      <c r="A15" s="9"/>
      <c r="B15" s="10"/>
      <c r="C15" s="10"/>
      <c r="D15" s="2"/>
      <c r="E15" s="2"/>
      <c r="F15" s="6"/>
      <c r="G15" s="2"/>
      <c r="H15" s="2"/>
      <c r="I15" s="2"/>
      <c r="J15" s="6"/>
      <c r="K15" s="2"/>
      <c r="L15" s="2"/>
      <c r="M15" s="2"/>
      <c r="N15" s="6"/>
      <c r="O15" s="10"/>
      <c r="P15" s="2"/>
      <c r="Q15" s="2"/>
      <c r="R15" s="6"/>
      <c r="S15" s="2"/>
      <c r="T15" s="2"/>
      <c r="U15" s="2"/>
      <c r="V15" s="6"/>
      <c r="W15" s="2"/>
      <c r="X15" s="2"/>
      <c r="Y15" s="2"/>
      <c r="Z15" s="6"/>
    </row>
    <row r="16" spans="1:26" s="23" customFormat="1" x14ac:dyDescent="0.3">
      <c r="A16" s="10"/>
      <c r="B16" s="26" t="s">
        <v>108</v>
      </c>
      <c r="C16" s="26"/>
      <c r="D16" s="21">
        <f>D12-D14</f>
        <v>0</v>
      </c>
      <c r="E16" s="13"/>
      <c r="F16" s="22">
        <f>IF(D$12=0,0,D16/D$12)</f>
        <v>0</v>
      </c>
      <c r="G16" s="13"/>
      <c r="H16" s="21">
        <f>H12-H14</f>
        <v>0</v>
      </c>
      <c r="I16" s="13"/>
      <c r="J16" s="22">
        <f>IF(H$12=0,0,H16/H$12)</f>
        <v>0</v>
      </c>
      <c r="K16" s="16"/>
      <c r="L16" s="21">
        <f>+D16-H16</f>
        <v>0</v>
      </c>
      <c r="M16" s="16"/>
      <c r="N16" s="22">
        <f>IF(H16=0,0,L16/H16)</f>
        <v>0</v>
      </c>
      <c r="O16" s="25"/>
      <c r="P16" s="21">
        <f>P12-P14</f>
        <v>0</v>
      </c>
      <c r="Q16" s="13"/>
      <c r="R16" s="22">
        <f>IF(P$12=0,0,P16/P$12)</f>
        <v>0</v>
      </c>
      <c r="S16" s="13"/>
      <c r="T16" s="21">
        <f>T12-T14</f>
        <v>0</v>
      </c>
      <c r="U16" s="13"/>
      <c r="V16" s="22">
        <f>IF(T$12=0,0,T16/T$12)</f>
        <v>0</v>
      </c>
      <c r="W16" s="16"/>
      <c r="X16" s="21">
        <f>+P16-T16</f>
        <v>0</v>
      </c>
      <c r="Y16" s="16"/>
      <c r="Z16" s="22">
        <f>IF(T16=0,0,X16/T16)</f>
        <v>0</v>
      </c>
    </row>
    <row r="17" spans="1:26" x14ac:dyDescent="0.3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3">
      <c r="A18" s="10"/>
      <c r="B18" s="25" t="s">
        <v>295</v>
      </c>
      <c r="C18" s="10"/>
      <c r="D18" s="20">
        <f>SUM(OSRRefD22x_0)</f>
        <v>20675.600000000002</v>
      </c>
      <c r="E18" s="20"/>
      <c r="F18" s="32">
        <f t="shared" ref="F18:F28" si="0">IF(D$12=0,0,D18/D$12)</f>
        <v>0</v>
      </c>
      <c r="G18" s="20"/>
      <c r="H18" s="20">
        <f>SUM(OSRRefH22x_0)</f>
        <v>19867.329675000001</v>
      </c>
      <c r="I18" s="20"/>
      <c r="J18" s="32">
        <f t="shared" ref="J18:J28" si="1">IF(H$12=0,0,H18/H$12)</f>
        <v>0</v>
      </c>
      <c r="K18" s="4"/>
      <c r="L18" s="20">
        <f t="shared" ref="L18:L28" si="2">+D18-H18</f>
        <v>808.27032500000132</v>
      </c>
      <c r="M18" s="4"/>
      <c r="N18" s="32">
        <f t="shared" ref="N18:N28" si="3">IF(H18=0,0,L18/H18)</f>
        <v>4.0683390179863277E-2</v>
      </c>
      <c r="O18" s="10"/>
      <c r="P18" s="20">
        <f>SUM(OSRRefP22x_0)</f>
        <v>20675.600000000002</v>
      </c>
      <c r="Q18" s="20"/>
      <c r="R18" s="32">
        <f t="shared" ref="R18:R28" si="4">IF(P$12=0,0,P18/P$12)</f>
        <v>0</v>
      </c>
      <c r="S18" s="20"/>
      <c r="T18" s="20">
        <f>SUM(OSRRefT22x_0)</f>
        <v>19867.329675000001</v>
      </c>
      <c r="U18" s="20"/>
      <c r="V18" s="32">
        <f t="shared" ref="V18:V28" si="5">IF(T$12=0,0,T18/T$12)</f>
        <v>0</v>
      </c>
      <c r="W18" s="4"/>
      <c r="X18" s="20">
        <f t="shared" ref="X18:X28" si="6">+P18-T18</f>
        <v>808.27032500000132</v>
      </c>
      <c r="Y18" s="4"/>
      <c r="Z18" s="32">
        <f t="shared" ref="Z18:Z28" si="7">IF(T18=0,0,X18/T18)</f>
        <v>4.0683390179863277E-2</v>
      </c>
    </row>
    <row r="19" spans="1:26" s="27" customFormat="1" outlineLevel="1" collapsed="1" x14ac:dyDescent="0.3">
      <c r="A19" s="28"/>
      <c r="B19" s="14" t="str">
        <f>CONCATENATE("     ","*Benefits                                         ")</f>
        <v xml:space="preserve">     *Benefits                                         </v>
      </c>
      <c r="C19" s="14"/>
      <c r="D19" s="1">
        <f>SUM(OSRRefD22_0x_0)</f>
        <v>5748.06</v>
      </c>
      <c r="E19" s="1"/>
      <c r="F19" s="5">
        <f t="shared" si="0"/>
        <v>0</v>
      </c>
      <c r="G19" s="1"/>
      <c r="H19" s="1">
        <f>SUM(OSRRefH22_0x_0)</f>
        <v>4804.704675</v>
      </c>
      <c r="I19" s="1"/>
      <c r="J19" s="5">
        <f t="shared" si="1"/>
        <v>0</v>
      </c>
      <c r="K19" s="1"/>
      <c r="L19" s="1">
        <f t="shared" si="2"/>
        <v>943.35532500000045</v>
      </c>
      <c r="M19" s="1"/>
      <c r="N19" s="5">
        <f t="shared" si="3"/>
        <v>0.19633991864442749</v>
      </c>
      <c r="O19" s="14"/>
      <c r="P19" s="1">
        <f>SUM(OSRRefP22_0x_0)</f>
        <v>5748.06</v>
      </c>
      <c r="Q19" s="1"/>
      <c r="R19" s="5">
        <f t="shared" si="4"/>
        <v>0</v>
      </c>
      <c r="S19" s="1"/>
      <c r="T19" s="1">
        <f>SUM(OSRRefT22_0x_0)</f>
        <v>4804.704675</v>
      </c>
      <c r="U19" s="1"/>
      <c r="V19" s="5">
        <f t="shared" si="5"/>
        <v>0</v>
      </c>
      <c r="W19" s="1"/>
      <c r="X19" s="1">
        <f t="shared" si="6"/>
        <v>943.35532500000045</v>
      </c>
      <c r="Y19" s="1"/>
      <c r="Z19" s="5">
        <f t="shared" si="7"/>
        <v>0.19633991864442749</v>
      </c>
    </row>
    <row r="20" spans="1:26" s="24" customFormat="1" hidden="1" outlineLevel="2" x14ac:dyDescent="0.3">
      <c r="A20" s="29"/>
      <c r="B20" s="11" t="str">
        <f>CONCATENATE("          ", "6111", " - ", "F.I.C.A.")</f>
        <v xml:space="preserve">          6111 - F.I.C.A.</v>
      </c>
      <c r="C20" s="11"/>
      <c r="D20" s="8">
        <v>685.42</v>
      </c>
      <c r="E20" s="3"/>
      <c r="F20" s="7">
        <f t="shared" si="0"/>
        <v>0</v>
      </c>
      <c r="G20" s="3"/>
      <c r="H20" s="8">
        <v>856.94467499999996</v>
      </c>
      <c r="I20" s="3"/>
      <c r="J20" s="7">
        <f t="shared" si="1"/>
        <v>0</v>
      </c>
      <c r="K20" s="3"/>
      <c r="L20" s="8">
        <f t="shared" si="2"/>
        <v>-171.524675</v>
      </c>
      <c r="M20" s="3"/>
      <c r="N20" s="7">
        <f t="shared" si="3"/>
        <v>-0.20015839995738349</v>
      </c>
      <c r="O20" s="11"/>
      <c r="P20" s="8">
        <v>685.42</v>
      </c>
      <c r="Q20" s="3"/>
      <c r="R20" s="7">
        <f t="shared" si="4"/>
        <v>0</v>
      </c>
      <c r="S20" s="3"/>
      <c r="T20" s="8">
        <v>856.94467499999996</v>
      </c>
      <c r="U20" s="3"/>
      <c r="V20" s="7">
        <f t="shared" si="5"/>
        <v>0</v>
      </c>
      <c r="W20" s="3"/>
      <c r="X20" s="8">
        <f t="shared" si="6"/>
        <v>-171.524675</v>
      </c>
      <c r="Y20" s="3"/>
      <c r="Z20" s="7">
        <f t="shared" si="7"/>
        <v>-0.20015839995738349</v>
      </c>
    </row>
    <row r="21" spans="1:26" s="24" customFormat="1" hidden="1" outlineLevel="2" x14ac:dyDescent="0.3">
      <c r="A21" s="29"/>
      <c r="B21" s="11" t="str">
        <f>CONCATENATE("          ", "6112", " - ", "COMPENSATION INSURANCE")</f>
        <v xml:space="preserve">          6112 - COMPENSATION INSURANCE</v>
      </c>
      <c r="C21" s="11"/>
      <c r="D21" s="8">
        <v>322.54000000000002</v>
      </c>
      <c r="E21" s="3"/>
      <c r="F21" s="7">
        <f t="shared" si="0"/>
        <v>0</v>
      </c>
      <c r="G21" s="3"/>
      <c r="H21" s="8">
        <v>424.38524999999998</v>
      </c>
      <c r="I21" s="3"/>
      <c r="J21" s="7">
        <f t="shared" si="1"/>
        <v>0</v>
      </c>
      <c r="K21" s="3"/>
      <c r="L21" s="8">
        <f t="shared" si="2"/>
        <v>-101.84524999999996</v>
      </c>
      <c r="M21" s="3"/>
      <c r="N21" s="7">
        <f t="shared" si="3"/>
        <v>-0.23998301071962319</v>
      </c>
      <c r="O21" s="11"/>
      <c r="P21" s="8">
        <v>322.54000000000002</v>
      </c>
      <c r="Q21" s="3"/>
      <c r="R21" s="7">
        <f t="shared" si="4"/>
        <v>0</v>
      </c>
      <c r="S21" s="3"/>
      <c r="T21" s="8">
        <v>424.38524999999998</v>
      </c>
      <c r="U21" s="3"/>
      <c r="V21" s="7">
        <f t="shared" si="5"/>
        <v>0</v>
      </c>
      <c r="W21" s="3"/>
      <c r="X21" s="8">
        <f t="shared" si="6"/>
        <v>-101.84524999999996</v>
      </c>
      <c r="Y21" s="3"/>
      <c r="Z21" s="7">
        <f t="shared" si="7"/>
        <v>-0.23998301071962319</v>
      </c>
    </row>
    <row r="22" spans="1:26" s="24" customFormat="1" hidden="1" outlineLevel="2" x14ac:dyDescent="0.3">
      <c r="A22" s="29"/>
      <c r="B22" s="11" t="str">
        <f>CONCATENATE("          ", "6113", " - ", "GROUP INSURANCE")</f>
        <v xml:space="preserve">          6113 - GROUP INSURANCE</v>
      </c>
      <c r="C22" s="11"/>
      <c r="D22" s="8">
        <v>2687.98</v>
      </c>
      <c r="E22" s="3"/>
      <c r="F22" s="7">
        <f t="shared" si="0"/>
        <v>0</v>
      </c>
      <c r="G22" s="3"/>
      <c r="H22" s="8">
        <v>1977</v>
      </c>
      <c r="I22" s="3"/>
      <c r="J22" s="7">
        <f t="shared" si="1"/>
        <v>0</v>
      </c>
      <c r="K22" s="3"/>
      <c r="L22" s="8">
        <f t="shared" si="2"/>
        <v>710.98</v>
      </c>
      <c r="M22" s="3"/>
      <c r="N22" s="7">
        <f t="shared" si="3"/>
        <v>0.35962569549822965</v>
      </c>
      <c r="O22" s="11"/>
      <c r="P22" s="8">
        <v>2687.98</v>
      </c>
      <c r="Q22" s="3"/>
      <c r="R22" s="7">
        <f t="shared" si="4"/>
        <v>0</v>
      </c>
      <c r="S22" s="3"/>
      <c r="T22" s="8">
        <v>1977</v>
      </c>
      <c r="U22" s="3"/>
      <c r="V22" s="7">
        <f t="shared" si="5"/>
        <v>0</v>
      </c>
      <c r="W22" s="3"/>
      <c r="X22" s="8">
        <f t="shared" si="6"/>
        <v>710.98</v>
      </c>
      <c r="Y22" s="3"/>
      <c r="Z22" s="7">
        <f t="shared" si="7"/>
        <v>0.35962569549822965</v>
      </c>
    </row>
    <row r="23" spans="1:26" s="24" customFormat="1" hidden="1" outlineLevel="2" x14ac:dyDescent="0.3">
      <c r="A23" s="29"/>
      <c r="B23" s="11" t="str">
        <f>CONCATENATE("          ", "6114", " - ", "STATE UNEMPLOYMENT INSURANCE")</f>
        <v xml:space="preserve">          6114 - STATE UNEMPLOYMENT INSURANCE</v>
      </c>
      <c r="C23" s="11"/>
      <c r="D23" s="8">
        <v>23.29</v>
      </c>
      <c r="E23" s="3"/>
      <c r="F23" s="7">
        <f t="shared" si="0"/>
        <v>0</v>
      </c>
      <c r="G23" s="3"/>
      <c r="H23" s="8">
        <v>23.514749999999999</v>
      </c>
      <c r="I23" s="3"/>
      <c r="J23" s="7">
        <f t="shared" si="1"/>
        <v>0</v>
      </c>
      <c r="K23" s="3"/>
      <c r="L23" s="8">
        <f t="shared" si="2"/>
        <v>-0.22475000000000023</v>
      </c>
      <c r="M23" s="3"/>
      <c r="N23" s="7">
        <f t="shared" si="3"/>
        <v>-9.5578307232694476E-3</v>
      </c>
      <c r="O23" s="11"/>
      <c r="P23" s="8">
        <v>23.29</v>
      </c>
      <c r="Q23" s="3"/>
      <c r="R23" s="7">
        <f t="shared" si="4"/>
        <v>0</v>
      </c>
      <c r="S23" s="3"/>
      <c r="T23" s="8">
        <v>23.514749999999999</v>
      </c>
      <c r="U23" s="3"/>
      <c r="V23" s="7">
        <f t="shared" si="5"/>
        <v>0</v>
      </c>
      <c r="W23" s="3"/>
      <c r="X23" s="8">
        <f t="shared" si="6"/>
        <v>-0.22475000000000023</v>
      </c>
      <c r="Y23" s="3"/>
      <c r="Z23" s="7">
        <f t="shared" si="7"/>
        <v>-9.5578307232694476E-3</v>
      </c>
    </row>
    <row r="24" spans="1:26" s="24" customFormat="1" hidden="1" outlineLevel="2" x14ac:dyDescent="0.3">
      <c r="A24" s="29"/>
      <c r="B24" s="11" t="str">
        <f>CONCATENATE("          ", "6115", " - ", "P.E.R.S.")</f>
        <v xml:space="preserve">          6115 - P.E.R.S.</v>
      </c>
      <c r="C24" s="11"/>
      <c r="D24" s="8">
        <v>680.03</v>
      </c>
      <c r="E24" s="3"/>
      <c r="F24" s="7">
        <f t="shared" si="0"/>
        <v>0</v>
      </c>
      <c r="G24" s="3"/>
      <c r="H24" s="8">
        <v>962.98500000000001</v>
      </c>
      <c r="I24" s="3"/>
      <c r="J24" s="7">
        <f t="shared" si="1"/>
        <v>0</v>
      </c>
      <c r="K24" s="3"/>
      <c r="L24" s="8">
        <f t="shared" si="2"/>
        <v>-282.95500000000004</v>
      </c>
      <c r="M24" s="3"/>
      <c r="N24" s="7">
        <f t="shared" si="3"/>
        <v>-0.29383116040229085</v>
      </c>
      <c r="O24" s="11"/>
      <c r="P24" s="8">
        <v>680.03</v>
      </c>
      <c r="Q24" s="3"/>
      <c r="R24" s="7">
        <f t="shared" si="4"/>
        <v>0</v>
      </c>
      <c r="S24" s="3"/>
      <c r="T24" s="8">
        <v>962.98500000000001</v>
      </c>
      <c r="U24" s="3"/>
      <c r="V24" s="7">
        <f t="shared" si="5"/>
        <v>0</v>
      </c>
      <c r="W24" s="3"/>
      <c r="X24" s="8">
        <f t="shared" si="6"/>
        <v>-282.95500000000004</v>
      </c>
      <c r="Y24" s="3"/>
      <c r="Z24" s="7">
        <f t="shared" si="7"/>
        <v>-0.29383116040229085</v>
      </c>
    </row>
    <row r="25" spans="1:26" s="24" customFormat="1" hidden="1" outlineLevel="2" x14ac:dyDescent="0.3">
      <c r="A25" s="29"/>
      <c r="B25" s="11" t="str">
        <f>CONCATENATE("          ", "6116", " - ", "EDUCATIONAL BENEFITS")</f>
        <v xml:space="preserve">          6116 - EDUCATIONAL BENEFITS</v>
      </c>
      <c r="C25" s="11"/>
      <c r="D25" s="8"/>
      <c r="E25" s="3"/>
      <c r="F25" s="7">
        <f t="shared" si="0"/>
        <v>0</v>
      </c>
      <c r="G25" s="3"/>
      <c r="H25" s="8">
        <v>0</v>
      </c>
      <c r="I25" s="3"/>
      <c r="J25" s="7">
        <f t="shared" si="1"/>
        <v>0</v>
      </c>
      <c r="K25" s="3"/>
      <c r="L25" s="8">
        <f t="shared" si="2"/>
        <v>0</v>
      </c>
      <c r="M25" s="3"/>
      <c r="N25" s="7">
        <f t="shared" si="3"/>
        <v>0</v>
      </c>
      <c r="O25" s="11"/>
      <c r="P25" s="8"/>
      <c r="Q25" s="3"/>
      <c r="R25" s="7">
        <f t="shared" si="4"/>
        <v>0</v>
      </c>
      <c r="S25" s="3"/>
      <c r="T25" s="8">
        <v>0</v>
      </c>
      <c r="U25" s="3"/>
      <c r="V25" s="7">
        <f t="shared" si="5"/>
        <v>0</v>
      </c>
      <c r="W25" s="3"/>
      <c r="X25" s="8">
        <f t="shared" si="6"/>
        <v>0</v>
      </c>
      <c r="Y25" s="3"/>
      <c r="Z25" s="7">
        <f t="shared" si="7"/>
        <v>0</v>
      </c>
    </row>
    <row r="26" spans="1:26" s="24" customFormat="1" hidden="1" outlineLevel="2" x14ac:dyDescent="0.3">
      <c r="A26" s="29"/>
      <c r="B26" s="11" t="str">
        <f>CONCATENATE("          ", "6118", " - ", "VACATION")</f>
        <v xml:space="preserve">          6118 - VACATION</v>
      </c>
      <c r="C26" s="11"/>
      <c r="D26" s="8">
        <v>827.64</v>
      </c>
      <c r="E26" s="3"/>
      <c r="F26" s="7">
        <f t="shared" si="0"/>
        <v>0</v>
      </c>
      <c r="G26" s="3"/>
      <c r="H26" s="8">
        <v>335.92500000000001</v>
      </c>
      <c r="I26" s="3"/>
      <c r="J26" s="7">
        <f t="shared" si="1"/>
        <v>0</v>
      </c>
      <c r="K26" s="3"/>
      <c r="L26" s="8">
        <f t="shared" si="2"/>
        <v>491.71499999999997</v>
      </c>
      <c r="M26" s="3"/>
      <c r="N26" s="7">
        <f t="shared" si="3"/>
        <v>1.4637642330877427</v>
      </c>
      <c r="O26" s="11"/>
      <c r="P26" s="8">
        <v>827.64</v>
      </c>
      <c r="Q26" s="3"/>
      <c r="R26" s="7">
        <f t="shared" si="4"/>
        <v>0</v>
      </c>
      <c r="S26" s="3"/>
      <c r="T26" s="8">
        <v>335.92500000000001</v>
      </c>
      <c r="U26" s="3"/>
      <c r="V26" s="7">
        <f t="shared" si="5"/>
        <v>0</v>
      </c>
      <c r="W26" s="3"/>
      <c r="X26" s="8">
        <f t="shared" si="6"/>
        <v>491.71499999999997</v>
      </c>
      <c r="Y26" s="3"/>
      <c r="Z26" s="7">
        <f t="shared" si="7"/>
        <v>1.4637642330877427</v>
      </c>
    </row>
    <row r="27" spans="1:26" s="24" customFormat="1" hidden="1" outlineLevel="2" x14ac:dyDescent="0.3">
      <c r="A27" s="29"/>
      <c r="B27" s="11" t="str">
        <f>CONCATENATE("          ", "6119", " - ", "SICK LEAVE")</f>
        <v xml:space="preserve">          6119 - SICK LEAVE</v>
      </c>
      <c r="C27" s="11"/>
      <c r="D27" s="8">
        <v>413.26</v>
      </c>
      <c r="E27" s="3"/>
      <c r="F27" s="7">
        <f t="shared" si="0"/>
        <v>0</v>
      </c>
      <c r="G27" s="3"/>
      <c r="H27" s="8">
        <v>223.95</v>
      </c>
      <c r="I27" s="3"/>
      <c r="J27" s="7">
        <f t="shared" si="1"/>
        <v>0</v>
      </c>
      <c r="K27" s="3"/>
      <c r="L27" s="8">
        <f t="shared" si="2"/>
        <v>189.31</v>
      </c>
      <c r="M27" s="3"/>
      <c r="N27" s="7">
        <f t="shared" si="3"/>
        <v>0.84532261665550357</v>
      </c>
      <c r="O27" s="11"/>
      <c r="P27" s="8">
        <v>413.26</v>
      </c>
      <c r="Q27" s="3"/>
      <c r="R27" s="7">
        <f t="shared" si="4"/>
        <v>0</v>
      </c>
      <c r="S27" s="3"/>
      <c r="T27" s="8">
        <v>223.95</v>
      </c>
      <c r="U27" s="3"/>
      <c r="V27" s="7">
        <f t="shared" si="5"/>
        <v>0</v>
      </c>
      <c r="W27" s="3"/>
      <c r="X27" s="8">
        <f t="shared" si="6"/>
        <v>189.31</v>
      </c>
      <c r="Y27" s="3"/>
      <c r="Z27" s="7">
        <f t="shared" si="7"/>
        <v>0.84532261665550357</v>
      </c>
    </row>
    <row r="28" spans="1:26" s="24" customFormat="1" hidden="1" outlineLevel="2" x14ac:dyDescent="0.3">
      <c r="A28" s="29"/>
      <c r="B28" s="11" t="str">
        <f>CONCATENATE("          ", "6156", " - ", "EMPLOYEE MEALS")</f>
        <v xml:space="preserve">          6156 - EMPLOYEE MEALS</v>
      </c>
      <c r="C28" s="11"/>
      <c r="D28" s="8">
        <v>107.9</v>
      </c>
      <c r="E28" s="3"/>
      <c r="F28" s="7">
        <f t="shared" si="0"/>
        <v>0</v>
      </c>
      <c r="G28" s="3"/>
      <c r="H28" s="8"/>
      <c r="I28" s="3"/>
      <c r="J28" s="7">
        <f t="shared" si="1"/>
        <v>0</v>
      </c>
      <c r="K28" s="3"/>
      <c r="L28" s="8">
        <f t="shared" si="2"/>
        <v>107.9</v>
      </c>
      <c r="M28" s="3"/>
      <c r="N28" s="7">
        <f t="shared" si="3"/>
        <v>0</v>
      </c>
      <c r="O28" s="11"/>
      <c r="P28" s="8">
        <v>107.9</v>
      </c>
      <c r="Q28" s="3"/>
      <c r="R28" s="7">
        <f t="shared" si="4"/>
        <v>0</v>
      </c>
      <c r="S28" s="3"/>
      <c r="T28" s="8"/>
      <c r="U28" s="3"/>
      <c r="V28" s="7">
        <f t="shared" si="5"/>
        <v>0</v>
      </c>
      <c r="W28" s="3"/>
      <c r="X28" s="8">
        <f t="shared" si="6"/>
        <v>107.9</v>
      </c>
      <c r="Y28" s="3"/>
      <c r="Z28" s="7">
        <f t="shared" si="7"/>
        <v>0</v>
      </c>
    </row>
    <row r="29" spans="1:26" s="27" customFormat="1" outlineLevel="1" collapsed="1" x14ac:dyDescent="0.3">
      <c r="A29" s="28"/>
      <c r="B29" s="14" t="str">
        <f>CONCATENATE("     ","*Payroll                                          ")</f>
        <v xml:space="preserve">     *Payroll                                          </v>
      </c>
      <c r="C29" s="14"/>
      <c r="D29" s="1">
        <f>SUM(OSRRefD22_1x_0)</f>
        <v>11199.54</v>
      </c>
      <c r="E29" s="1"/>
      <c r="F29" s="5">
        <f t="shared" ref="F29:F39" si="8">IF(D$12=0,0,D29/D$12)</f>
        <v>0</v>
      </c>
      <c r="G29" s="1"/>
      <c r="H29" s="1">
        <f>SUM(OSRRefH22_1x_0)</f>
        <v>10637.625</v>
      </c>
      <c r="I29" s="1"/>
      <c r="J29" s="5">
        <f t="shared" ref="J29:J39" si="9">IF(H$12=0,0,H29/H$12)</f>
        <v>0</v>
      </c>
      <c r="K29" s="1"/>
      <c r="L29" s="1">
        <f t="shared" ref="L29:L39" si="10">+D29-H29</f>
        <v>561.91500000000087</v>
      </c>
      <c r="M29" s="1"/>
      <c r="N29" s="5">
        <f t="shared" ref="N29:N39" si="11">IF(H29=0,0,L29/H29)</f>
        <v>5.2823351076955696E-2</v>
      </c>
      <c r="O29" s="14"/>
      <c r="P29" s="1">
        <f>SUM(OSRRefP22_1x_0)</f>
        <v>11199.54</v>
      </c>
      <c r="Q29" s="1"/>
      <c r="R29" s="5">
        <f t="shared" ref="R29:R39" si="12">IF(P$12=0,0,P29/P$12)</f>
        <v>0</v>
      </c>
      <c r="S29" s="1"/>
      <c r="T29" s="1">
        <f>SUM(OSRRefT22_1x_0)</f>
        <v>10637.625</v>
      </c>
      <c r="U29" s="1"/>
      <c r="V29" s="5">
        <f t="shared" ref="V29:V39" si="13">IF(T$12=0,0,T29/T$12)</f>
        <v>0</v>
      </c>
      <c r="W29" s="1"/>
      <c r="X29" s="1">
        <f t="shared" ref="X29:X39" si="14">+P29-T29</f>
        <v>561.91500000000087</v>
      </c>
      <c r="Y29" s="1"/>
      <c r="Z29" s="5">
        <f t="shared" ref="Z29:Z39" si="15">IF(T29=0,0,X29/T29)</f>
        <v>5.2823351076955696E-2</v>
      </c>
    </row>
    <row r="30" spans="1:26" s="24" customFormat="1" hidden="1" outlineLevel="2" x14ac:dyDescent="0.3">
      <c r="A30" s="29"/>
      <c r="B30" s="11" t="str">
        <f>CONCATENATE("          ", "6001", " - ", "ADMINISTRATIVE SALARIES")</f>
        <v xml:space="preserve">          6001 - ADMINISTRATIVE SALARIES</v>
      </c>
      <c r="C30" s="11"/>
      <c r="D30" s="8">
        <v>11199.54</v>
      </c>
      <c r="E30" s="3"/>
      <c r="F30" s="7">
        <f t="shared" si="8"/>
        <v>0</v>
      </c>
      <c r="G30" s="3"/>
      <c r="H30" s="8">
        <v>0</v>
      </c>
      <c r="I30" s="3"/>
      <c r="J30" s="7">
        <f t="shared" si="9"/>
        <v>0</v>
      </c>
      <c r="K30" s="3"/>
      <c r="L30" s="8">
        <f t="shared" si="10"/>
        <v>11199.54</v>
      </c>
      <c r="M30" s="3"/>
      <c r="N30" s="7">
        <f t="shared" si="11"/>
        <v>0</v>
      </c>
      <c r="O30" s="11"/>
      <c r="P30" s="8">
        <v>11199.54</v>
      </c>
      <c r="Q30" s="3"/>
      <c r="R30" s="7">
        <f t="shared" si="12"/>
        <v>0</v>
      </c>
      <c r="S30" s="3"/>
      <c r="T30" s="8">
        <v>0</v>
      </c>
      <c r="U30" s="3"/>
      <c r="V30" s="7">
        <f t="shared" si="13"/>
        <v>0</v>
      </c>
      <c r="W30" s="3"/>
      <c r="X30" s="8">
        <f t="shared" si="14"/>
        <v>11199.54</v>
      </c>
      <c r="Y30" s="3"/>
      <c r="Z30" s="7">
        <f t="shared" si="15"/>
        <v>0</v>
      </c>
    </row>
    <row r="31" spans="1:26" s="24" customFormat="1" hidden="1" outlineLevel="2" x14ac:dyDescent="0.3">
      <c r="A31" s="29"/>
      <c r="B31" s="11" t="str">
        <f>CONCATENATE("          ", "6002", " - ", "STAFF SALARIES")</f>
        <v xml:space="preserve">          6002 - STAFF SALARIES</v>
      </c>
      <c r="C31" s="11"/>
      <c r="D31" s="8"/>
      <c r="E31" s="3"/>
      <c r="F31" s="7">
        <f t="shared" si="8"/>
        <v>0</v>
      </c>
      <c r="G31" s="3"/>
      <c r="H31" s="8">
        <v>10637.625</v>
      </c>
      <c r="I31" s="3"/>
      <c r="J31" s="7">
        <f t="shared" si="9"/>
        <v>0</v>
      </c>
      <c r="K31" s="3"/>
      <c r="L31" s="8">
        <f t="shared" si="10"/>
        <v>-10637.625</v>
      </c>
      <c r="M31" s="3"/>
      <c r="N31" s="7">
        <f t="shared" si="11"/>
        <v>-1</v>
      </c>
      <c r="O31" s="11"/>
      <c r="P31" s="8"/>
      <c r="Q31" s="3"/>
      <c r="R31" s="7">
        <f t="shared" si="12"/>
        <v>0</v>
      </c>
      <c r="S31" s="3"/>
      <c r="T31" s="8">
        <v>10637.625</v>
      </c>
      <c r="U31" s="3"/>
      <c r="V31" s="7">
        <f t="shared" si="13"/>
        <v>0</v>
      </c>
      <c r="W31" s="3"/>
      <c r="X31" s="8">
        <f t="shared" si="14"/>
        <v>-10637.625</v>
      </c>
      <c r="Y31" s="3"/>
      <c r="Z31" s="7">
        <f t="shared" si="15"/>
        <v>-1</v>
      </c>
    </row>
    <row r="32" spans="1:26" s="24" customFormat="1" hidden="1" outlineLevel="2" x14ac:dyDescent="0.3">
      <c r="A32" s="29"/>
      <c r="B32" s="11" t="str">
        <f>CONCATENATE("          ", "6003", " - ", "STAFF HOURLY-9 MONTH")</f>
        <v xml:space="preserve">          6003 - STAFF HOURLY-9 MONTH</v>
      </c>
      <c r="C32" s="11"/>
      <c r="D32" s="8"/>
      <c r="E32" s="3"/>
      <c r="F32" s="7">
        <f t="shared" si="8"/>
        <v>0</v>
      </c>
      <c r="G32" s="3"/>
      <c r="H32" s="8">
        <v>0</v>
      </c>
      <c r="I32" s="3"/>
      <c r="J32" s="7">
        <f t="shared" si="9"/>
        <v>0</v>
      </c>
      <c r="K32" s="3"/>
      <c r="L32" s="8">
        <f t="shared" si="10"/>
        <v>0</v>
      </c>
      <c r="M32" s="3"/>
      <c r="N32" s="7">
        <f t="shared" si="11"/>
        <v>0</v>
      </c>
      <c r="O32" s="11"/>
      <c r="P32" s="8"/>
      <c r="Q32" s="3"/>
      <c r="R32" s="7">
        <f t="shared" si="12"/>
        <v>0</v>
      </c>
      <c r="S32" s="3"/>
      <c r="T32" s="8">
        <v>0</v>
      </c>
      <c r="U32" s="3"/>
      <c r="V32" s="7">
        <f t="shared" si="13"/>
        <v>0</v>
      </c>
      <c r="W32" s="3"/>
      <c r="X32" s="8">
        <f t="shared" si="14"/>
        <v>0</v>
      </c>
      <c r="Y32" s="3"/>
      <c r="Z32" s="7">
        <f t="shared" si="15"/>
        <v>0</v>
      </c>
    </row>
    <row r="33" spans="1:26" s="24" customFormat="1" hidden="1" outlineLevel="2" x14ac:dyDescent="0.3">
      <c r="A33" s="29"/>
      <c r="B33" s="11" t="str">
        <f>CONCATENATE("          ", "6004", " - ", "STAFF HOURLY")</f>
        <v xml:space="preserve">          6004 - STAFF HOURLY</v>
      </c>
      <c r="C33" s="11"/>
      <c r="D33" s="8"/>
      <c r="E33" s="3"/>
      <c r="F33" s="7">
        <f t="shared" si="8"/>
        <v>0</v>
      </c>
      <c r="G33" s="3"/>
      <c r="H33" s="8">
        <v>0</v>
      </c>
      <c r="I33" s="3"/>
      <c r="J33" s="7">
        <f t="shared" si="9"/>
        <v>0</v>
      </c>
      <c r="K33" s="3"/>
      <c r="L33" s="8">
        <f t="shared" si="10"/>
        <v>0</v>
      </c>
      <c r="M33" s="3"/>
      <c r="N33" s="7">
        <f t="shared" si="11"/>
        <v>0</v>
      </c>
      <c r="O33" s="11"/>
      <c r="P33" s="8"/>
      <c r="Q33" s="3"/>
      <c r="R33" s="7">
        <f t="shared" si="12"/>
        <v>0</v>
      </c>
      <c r="S33" s="3"/>
      <c r="T33" s="8">
        <v>0</v>
      </c>
      <c r="U33" s="3"/>
      <c r="V33" s="7">
        <f t="shared" si="13"/>
        <v>0</v>
      </c>
      <c r="W33" s="3"/>
      <c r="X33" s="8">
        <f t="shared" si="14"/>
        <v>0</v>
      </c>
      <c r="Y33" s="3"/>
      <c r="Z33" s="7">
        <f t="shared" si="15"/>
        <v>0</v>
      </c>
    </row>
    <row r="34" spans="1:26" s="24" customFormat="1" hidden="1" outlineLevel="2" x14ac:dyDescent="0.3">
      <c r="A34" s="29"/>
      <c r="B34" s="11" t="str">
        <f>CONCATENATE("          ", "6005", " - ", "TEMPORARY WAGES-HOURLY")</f>
        <v xml:space="preserve">          6005 - TEMPORARY WAGES-HOURLY</v>
      </c>
      <c r="C34" s="11"/>
      <c r="D34" s="8"/>
      <c r="E34" s="3"/>
      <c r="F34" s="7">
        <f t="shared" si="8"/>
        <v>0</v>
      </c>
      <c r="G34" s="3"/>
      <c r="H34" s="8">
        <v>0</v>
      </c>
      <c r="I34" s="3"/>
      <c r="J34" s="7">
        <f t="shared" si="9"/>
        <v>0</v>
      </c>
      <c r="K34" s="3"/>
      <c r="L34" s="8">
        <f t="shared" si="10"/>
        <v>0</v>
      </c>
      <c r="M34" s="3"/>
      <c r="N34" s="7">
        <f t="shared" si="11"/>
        <v>0</v>
      </c>
      <c r="O34" s="11"/>
      <c r="P34" s="8"/>
      <c r="Q34" s="3"/>
      <c r="R34" s="7">
        <f t="shared" si="12"/>
        <v>0</v>
      </c>
      <c r="S34" s="3"/>
      <c r="T34" s="8">
        <v>0</v>
      </c>
      <c r="U34" s="3"/>
      <c r="V34" s="7">
        <f t="shared" si="13"/>
        <v>0</v>
      </c>
      <c r="W34" s="3"/>
      <c r="X34" s="8">
        <f t="shared" si="14"/>
        <v>0</v>
      </c>
      <c r="Y34" s="3"/>
      <c r="Z34" s="7">
        <f t="shared" si="15"/>
        <v>0</v>
      </c>
    </row>
    <row r="35" spans="1:26" s="24" customFormat="1" hidden="1" outlineLevel="2" x14ac:dyDescent="0.3">
      <c r="A35" s="29"/>
      <c r="B35" s="11" t="str">
        <f>CONCATENATE("          ", "6006", " - ", "TEMPORARY PART TIME")</f>
        <v xml:space="preserve">          6006 - TEMPORARY PART TIME</v>
      </c>
      <c r="C35" s="11"/>
      <c r="D35" s="8"/>
      <c r="E35" s="3"/>
      <c r="F35" s="7">
        <f t="shared" si="8"/>
        <v>0</v>
      </c>
      <c r="G35" s="3"/>
      <c r="H35" s="8">
        <v>0</v>
      </c>
      <c r="I35" s="3"/>
      <c r="J35" s="7">
        <f t="shared" si="9"/>
        <v>0</v>
      </c>
      <c r="K35" s="3"/>
      <c r="L35" s="8">
        <f t="shared" si="10"/>
        <v>0</v>
      </c>
      <c r="M35" s="3"/>
      <c r="N35" s="7">
        <f t="shared" si="11"/>
        <v>0</v>
      </c>
      <c r="O35" s="11"/>
      <c r="P35" s="8"/>
      <c r="Q35" s="3"/>
      <c r="R35" s="7">
        <f t="shared" si="12"/>
        <v>0</v>
      </c>
      <c r="S35" s="3"/>
      <c r="T35" s="8">
        <v>0</v>
      </c>
      <c r="U35" s="3"/>
      <c r="V35" s="7">
        <f t="shared" si="13"/>
        <v>0</v>
      </c>
      <c r="W35" s="3"/>
      <c r="X35" s="8">
        <f t="shared" si="14"/>
        <v>0</v>
      </c>
      <c r="Y35" s="3"/>
      <c r="Z35" s="7">
        <f t="shared" si="15"/>
        <v>0</v>
      </c>
    </row>
    <row r="36" spans="1:26" s="24" customFormat="1" hidden="1" outlineLevel="2" x14ac:dyDescent="0.3">
      <c r="A36" s="29"/>
      <c r="B36" s="11" t="str">
        <f>CONCATENATE("          ", "6007", " - ", "STUDENT HOURLY")</f>
        <v xml:space="preserve">          6007 - STUDENT HOURLY</v>
      </c>
      <c r="C36" s="11"/>
      <c r="D36" s="8"/>
      <c r="E36" s="3"/>
      <c r="F36" s="7">
        <f t="shared" si="8"/>
        <v>0</v>
      </c>
      <c r="G36" s="3"/>
      <c r="H36" s="8">
        <v>0</v>
      </c>
      <c r="I36" s="3"/>
      <c r="J36" s="7">
        <f t="shared" si="9"/>
        <v>0</v>
      </c>
      <c r="K36" s="3"/>
      <c r="L36" s="8">
        <f t="shared" si="10"/>
        <v>0</v>
      </c>
      <c r="M36" s="3"/>
      <c r="N36" s="7">
        <f t="shared" si="11"/>
        <v>0</v>
      </c>
      <c r="O36" s="11"/>
      <c r="P36" s="8"/>
      <c r="Q36" s="3"/>
      <c r="R36" s="7">
        <f t="shared" si="12"/>
        <v>0</v>
      </c>
      <c r="S36" s="3"/>
      <c r="T36" s="8">
        <v>0</v>
      </c>
      <c r="U36" s="3"/>
      <c r="V36" s="7">
        <f t="shared" si="13"/>
        <v>0</v>
      </c>
      <c r="W36" s="3"/>
      <c r="X36" s="8">
        <f t="shared" si="14"/>
        <v>0</v>
      </c>
      <c r="Y36" s="3"/>
      <c r="Z36" s="7">
        <f t="shared" si="15"/>
        <v>0</v>
      </c>
    </row>
    <row r="37" spans="1:26" s="24" customFormat="1" hidden="1" outlineLevel="2" x14ac:dyDescent="0.3">
      <c r="A37" s="29"/>
      <c r="B37" s="11" t="str">
        <f>CONCATENATE("          ", "6008", " - ", "STUDENT HOURLY-FICA EXEMPT")</f>
        <v xml:space="preserve">          6008 - STUDENT HOURLY-FICA EXEMPT</v>
      </c>
      <c r="C37" s="11"/>
      <c r="D37" s="8"/>
      <c r="E37" s="3"/>
      <c r="F37" s="7">
        <f t="shared" si="8"/>
        <v>0</v>
      </c>
      <c r="G37" s="3"/>
      <c r="H37" s="8">
        <v>0</v>
      </c>
      <c r="I37" s="3"/>
      <c r="J37" s="7">
        <f t="shared" si="9"/>
        <v>0</v>
      </c>
      <c r="K37" s="3"/>
      <c r="L37" s="8">
        <f t="shared" si="10"/>
        <v>0</v>
      </c>
      <c r="M37" s="3"/>
      <c r="N37" s="7">
        <f t="shared" si="11"/>
        <v>0</v>
      </c>
      <c r="O37" s="11"/>
      <c r="P37" s="8"/>
      <c r="Q37" s="3"/>
      <c r="R37" s="7">
        <f t="shared" si="12"/>
        <v>0</v>
      </c>
      <c r="S37" s="3"/>
      <c r="T37" s="8">
        <v>0</v>
      </c>
      <c r="U37" s="3"/>
      <c r="V37" s="7">
        <f t="shared" si="13"/>
        <v>0</v>
      </c>
      <c r="W37" s="3"/>
      <c r="X37" s="8">
        <f t="shared" si="14"/>
        <v>0</v>
      </c>
      <c r="Y37" s="3"/>
      <c r="Z37" s="7">
        <f t="shared" si="15"/>
        <v>0</v>
      </c>
    </row>
    <row r="38" spans="1:26" s="24" customFormat="1" hidden="1" outlineLevel="2" x14ac:dyDescent="0.3">
      <c r="A38" s="29"/>
      <c r="B38" s="11" t="str">
        <f>CONCATENATE("          ", "6009", " - ", "TEMPORARY-SEASONAL")</f>
        <v xml:space="preserve">          6009 - TEMPORARY-SEASONAL</v>
      </c>
      <c r="C38" s="11"/>
      <c r="D38" s="8"/>
      <c r="E38" s="3"/>
      <c r="F38" s="7">
        <f t="shared" si="8"/>
        <v>0</v>
      </c>
      <c r="G38" s="3"/>
      <c r="H38" s="8">
        <v>0</v>
      </c>
      <c r="I38" s="3"/>
      <c r="J38" s="7">
        <f t="shared" si="9"/>
        <v>0</v>
      </c>
      <c r="K38" s="3"/>
      <c r="L38" s="8">
        <f t="shared" si="10"/>
        <v>0</v>
      </c>
      <c r="M38" s="3"/>
      <c r="N38" s="7">
        <f t="shared" si="11"/>
        <v>0</v>
      </c>
      <c r="O38" s="11"/>
      <c r="P38" s="8"/>
      <c r="Q38" s="3"/>
      <c r="R38" s="7">
        <f t="shared" si="12"/>
        <v>0</v>
      </c>
      <c r="S38" s="3"/>
      <c r="T38" s="8">
        <v>0</v>
      </c>
      <c r="U38" s="3"/>
      <c r="V38" s="7">
        <f t="shared" si="13"/>
        <v>0</v>
      </c>
      <c r="W38" s="3"/>
      <c r="X38" s="8">
        <f t="shared" si="14"/>
        <v>0</v>
      </c>
      <c r="Y38" s="3"/>
      <c r="Z38" s="7">
        <f t="shared" si="15"/>
        <v>0</v>
      </c>
    </row>
    <row r="39" spans="1:26" s="24" customFormat="1" hidden="1" outlineLevel="2" x14ac:dyDescent="0.3">
      <c r="A39" s="29"/>
      <c r="B39" s="11" t="str">
        <f>CONCATENATE("          ", "6010", " - ", "GRATUITY")</f>
        <v xml:space="preserve">          6010 - GRATUITY</v>
      </c>
      <c r="C39" s="11"/>
      <c r="D39" s="8"/>
      <c r="E39" s="3"/>
      <c r="F39" s="7">
        <f t="shared" si="8"/>
        <v>0</v>
      </c>
      <c r="G39" s="3"/>
      <c r="H39" s="8">
        <v>0</v>
      </c>
      <c r="I39" s="3"/>
      <c r="J39" s="7">
        <f t="shared" si="9"/>
        <v>0</v>
      </c>
      <c r="K39" s="3"/>
      <c r="L39" s="8">
        <f t="shared" si="10"/>
        <v>0</v>
      </c>
      <c r="M39" s="3"/>
      <c r="N39" s="7">
        <f t="shared" si="11"/>
        <v>0</v>
      </c>
      <c r="O39" s="11"/>
      <c r="P39" s="8"/>
      <c r="Q39" s="3"/>
      <c r="R39" s="7">
        <f t="shared" si="12"/>
        <v>0</v>
      </c>
      <c r="S39" s="3"/>
      <c r="T39" s="8">
        <v>0</v>
      </c>
      <c r="U39" s="3"/>
      <c r="V39" s="7">
        <f t="shared" si="13"/>
        <v>0</v>
      </c>
      <c r="W39" s="3"/>
      <c r="X39" s="8">
        <f t="shared" si="14"/>
        <v>0</v>
      </c>
      <c r="Y39" s="3"/>
      <c r="Z39" s="7">
        <f t="shared" si="15"/>
        <v>0</v>
      </c>
    </row>
    <row r="40" spans="1:26" s="27" customFormat="1" outlineLevel="1" collapsed="1" x14ac:dyDescent="0.3">
      <c r="A40" s="28"/>
      <c r="B40" s="14" t="str">
        <f>CONCATENATE("     ","General                                           ")</f>
        <v xml:space="preserve">     General                                           </v>
      </c>
      <c r="C40" s="14"/>
      <c r="D40" s="1">
        <f>SUM(OSRRefD22_2x_0)</f>
        <v>170</v>
      </c>
      <c r="E40" s="1"/>
      <c r="F40" s="5">
        <f t="shared" ref="F40:F48" si="16">IF(D$12=0,0,D40/D$12)</f>
        <v>0</v>
      </c>
      <c r="G40" s="1"/>
      <c r="H40" s="1">
        <f>SUM(OSRRefH22_2x_0)</f>
        <v>200</v>
      </c>
      <c r="I40" s="1"/>
      <c r="J40" s="5">
        <f t="shared" ref="J40:J48" si="17">IF(H$12=0,0,H40/H$12)</f>
        <v>0</v>
      </c>
      <c r="K40" s="1"/>
      <c r="L40" s="1">
        <f t="shared" ref="L40:L48" si="18">+D40-H40</f>
        <v>-30</v>
      </c>
      <c r="M40" s="1"/>
      <c r="N40" s="5">
        <f t="shared" ref="N40:N48" si="19">IF(H40=0,0,L40/H40)</f>
        <v>-0.15</v>
      </c>
      <c r="O40" s="14"/>
      <c r="P40" s="1">
        <f>SUM(OSRRefP22_2x_0)</f>
        <v>170</v>
      </c>
      <c r="Q40" s="1"/>
      <c r="R40" s="5">
        <f t="shared" ref="R40:R48" si="20">IF(P$12=0,0,P40/P$12)</f>
        <v>0</v>
      </c>
      <c r="S40" s="1"/>
      <c r="T40" s="1">
        <f>SUM(OSRRefT22_2x_0)</f>
        <v>200</v>
      </c>
      <c r="U40" s="1"/>
      <c r="V40" s="5">
        <f t="shared" ref="V40:V48" si="21">IF(T$12=0,0,T40/T$12)</f>
        <v>0</v>
      </c>
      <c r="W40" s="1"/>
      <c r="X40" s="1">
        <f t="shared" ref="X40:X48" si="22">+P40-T40</f>
        <v>-30</v>
      </c>
      <c r="Y40" s="1"/>
      <c r="Z40" s="5">
        <f t="shared" ref="Z40:Z48" si="23">IF(T40=0,0,X40/T40)</f>
        <v>-0.15</v>
      </c>
    </row>
    <row r="41" spans="1:26" s="24" customFormat="1" hidden="1" outlineLevel="2" x14ac:dyDescent="0.3">
      <c r="A41" s="29"/>
      <c r="B41" s="11" t="str">
        <f>CONCATENATE("          ", "6279", " - ", "GENERAL EXPENSE")</f>
        <v xml:space="preserve">          6279 - GENERAL EXPENSE</v>
      </c>
      <c r="C41" s="11"/>
      <c r="D41" s="8">
        <v>170</v>
      </c>
      <c r="E41" s="3"/>
      <c r="F41" s="7">
        <f t="shared" si="16"/>
        <v>0</v>
      </c>
      <c r="G41" s="3"/>
      <c r="H41" s="8">
        <v>200</v>
      </c>
      <c r="I41" s="3"/>
      <c r="J41" s="7">
        <f t="shared" si="17"/>
        <v>0</v>
      </c>
      <c r="K41" s="3"/>
      <c r="L41" s="8">
        <f t="shared" si="18"/>
        <v>-30</v>
      </c>
      <c r="M41" s="3"/>
      <c r="N41" s="7">
        <f t="shared" si="19"/>
        <v>-0.15</v>
      </c>
      <c r="O41" s="11"/>
      <c r="P41" s="8">
        <v>170</v>
      </c>
      <c r="Q41" s="3"/>
      <c r="R41" s="7">
        <f t="shared" si="20"/>
        <v>0</v>
      </c>
      <c r="S41" s="3"/>
      <c r="T41" s="8">
        <v>200</v>
      </c>
      <c r="U41" s="3"/>
      <c r="V41" s="7">
        <f t="shared" si="21"/>
        <v>0</v>
      </c>
      <c r="W41" s="3"/>
      <c r="X41" s="8">
        <f t="shared" si="22"/>
        <v>-30</v>
      </c>
      <c r="Y41" s="3"/>
      <c r="Z41" s="7">
        <f t="shared" si="23"/>
        <v>-0.15</v>
      </c>
    </row>
    <row r="42" spans="1:26" s="27" customFormat="1" outlineLevel="1" collapsed="1" x14ac:dyDescent="0.3">
      <c r="A42" s="28"/>
      <c r="B42" s="14" t="str">
        <f>CONCATENATE("     ","Repair and Maintenance                            ")</f>
        <v xml:space="preserve">     Repair and Maintenance                            </v>
      </c>
      <c r="C42" s="14"/>
      <c r="D42" s="1">
        <f>SUM(OSRRefD22_3x_0)</f>
        <v>3500</v>
      </c>
      <c r="E42" s="1"/>
      <c r="F42" s="5">
        <f t="shared" si="16"/>
        <v>0</v>
      </c>
      <c r="G42" s="1"/>
      <c r="H42" s="1">
        <f>SUM(OSRRefH22_3x_0)</f>
        <v>3500</v>
      </c>
      <c r="I42" s="1"/>
      <c r="J42" s="5">
        <f t="shared" si="17"/>
        <v>0</v>
      </c>
      <c r="K42" s="1"/>
      <c r="L42" s="1">
        <f t="shared" si="18"/>
        <v>0</v>
      </c>
      <c r="M42" s="1"/>
      <c r="N42" s="5">
        <f t="shared" si="19"/>
        <v>0</v>
      </c>
      <c r="O42" s="14"/>
      <c r="P42" s="1">
        <f>SUM(OSRRefP22_3x_0)</f>
        <v>3500</v>
      </c>
      <c r="Q42" s="1"/>
      <c r="R42" s="5">
        <f t="shared" si="20"/>
        <v>0</v>
      </c>
      <c r="S42" s="1"/>
      <c r="T42" s="1">
        <f>SUM(OSRRefT22_3x_0)</f>
        <v>3500</v>
      </c>
      <c r="U42" s="1"/>
      <c r="V42" s="5">
        <f t="shared" si="21"/>
        <v>0</v>
      </c>
      <c r="W42" s="1"/>
      <c r="X42" s="1">
        <f t="shared" si="22"/>
        <v>0</v>
      </c>
      <c r="Y42" s="1"/>
      <c r="Z42" s="5">
        <f t="shared" si="23"/>
        <v>0</v>
      </c>
    </row>
    <row r="43" spans="1:26" s="24" customFormat="1" hidden="1" outlineLevel="2" x14ac:dyDescent="0.3">
      <c r="A43" s="29"/>
      <c r="B43" s="11" t="str">
        <f>CONCATENATE("          ", "6371", " - ", "COMPUTER SOFTWARE MAINTENANCE")</f>
        <v xml:space="preserve">          6371 - COMPUTER SOFTWARE MAINTENANCE</v>
      </c>
      <c r="C43" s="11"/>
      <c r="D43" s="8">
        <v>3500</v>
      </c>
      <c r="E43" s="3"/>
      <c r="F43" s="7">
        <f t="shared" si="16"/>
        <v>0</v>
      </c>
      <c r="G43" s="3"/>
      <c r="H43" s="8">
        <v>3500</v>
      </c>
      <c r="I43" s="3"/>
      <c r="J43" s="7">
        <f t="shared" si="17"/>
        <v>0</v>
      </c>
      <c r="K43" s="3"/>
      <c r="L43" s="8">
        <f t="shared" si="18"/>
        <v>0</v>
      </c>
      <c r="M43" s="3"/>
      <c r="N43" s="7">
        <f t="shared" si="19"/>
        <v>0</v>
      </c>
      <c r="O43" s="11"/>
      <c r="P43" s="8">
        <v>3500</v>
      </c>
      <c r="Q43" s="3"/>
      <c r="R43" s="7">
        <f t="shared" si="20"/>
        <v>0</v>
      </c>
      <c r="S43" s="3"/>
      <c r="T43" s="8">
        <v>3500</v>
      </c>
      <c r="U43" s="3"/>
      <c r="V43" s="7">
        <f t="shared" si="21"/>
        <v>0</v>
      </c>
      <c r="W43" s="3"/>
      <c r="X43" s="8">
        <f t="shared" si="22"/>
        <v>0</v>
      </c>
      <c r="Y43" s="3"/>
      <c r="Z43" s="7">
        <f t="shared" si="23"/>
        <v>0</v>
      </c>
    </row>
    <row r="44" spans="1:26" s="27" customFormat="1" outlineLevel="1" collapsed="1" x14ac:dyDescent="0.3">
      <c r="A44" s="28"/>
      <c r="B44" s="14" t="str">
        <f>CONCATENATE("     ","Supplies                                          ")</f>
        <v xml:space="preserve">     Supplies                                          </v>
      </c>
      <c r="C44" s="14"/>
      <c r="D44" s="1">
        <f>SUM(OSRRefD22_4x_0)</f>
        <v>0</v>
      </c>
      <c r="E44" s="1"/>
      <c r="F44" s="5">
        <f t="shared" si="16"/>
        <v>0</v>
      </c>
      <c r="G44" s="1"/>
      <c r="H44" s="1">
        <f>SUM(OSRRefH22_4x_0)</f>
        <v>342</v>
      </c>
      <c r="I44" s="1"/>
      <c r="J44" s="5">
        <f t="shared" si="17"/>
        <v>0</v>
      </c>
      <c r="K44" s="1"/>
      <c r="L44" s="1">
        <f t="shared" si="18"/>
        <v>-342</v>
      </c>
      <c r="M44" s="1"/>
      <c r="N44" s="5">
        <f t="shared" si="19"/>
        <v>-1</v>
      </c>
      <c r="O44" s="14"/>
      <c r="P44" s="1">
        <f>SUM(OSRRefP22_4x_0)</f>
        <v>0</v>
      </c>
      <c r="Q44" s="1"/>
      <c r="R44" s="5">
        <f t="shared" si="20"/>
        <v>0</v>
      </c>
      <c r="S44" s="1"/>
      <c r="T44" s="1">
        <f>SUM(OSRRefT22_4x_0)</f>
        <v>342</v>
      </c>
      <c r="U44" s="1"/>
      <c r="V44" s="5">
        <f t="shared" si="21"/>
        <v>0</v>
      </c>
      <c r="W44" s="1"/>
      <c r="X44" s="1">
        <f t="shared" si="22"/>
        <v>-342</v>
      </c>
      <c r="Y44" s="1"/>
      <c r="Z44" s="5">
        <f t="shared" si="23"/>
        <v>-1</v>
      </c>
    </row>
    <row r="45" spans="1:26" s="24" customFormat="1" hidden="1" outlineLevel="2" x14ac:dyDescent="0.3">
      <c r="A45" s="29"/>
      <c r="B45" s="11" t="str">
        <f>CONCATENATE("          ", "6234", " - ", "EXPENDABLE SUPPLIES &amp; EQUIPMEN")</f>
        <v xml:space="preserve">          6234 - EXPENDABLE SUPPLIES &amp; EQUIPMEN</v>
      </c>
      <c r="C45" s="11"/>
      <c r="D45" s="8"/>
      <c r="E45" s="3"/>
      <c r="F45" s="7">
        <f t="shared" si="16"/>
        <v>0</v>
      </c>
      <c r="G45" s="3"/>
      <c r="H45" s="8">
        <v>342</v>
      </c>
      <c r="I45" s="3"/>
      <c r="J45" s="7">
        <f t="shared" si="17"/>
        <v>0</v>
      </c>
      <c r="K45" s="3"/>
      <c r="L45" s="8">
        <f t="shared" si="18"/>
        <v>-342</v>
      </c>
      <c r="M45" s="3"/>
      <c r="N45" s="7">
        <f t="shared" si="19"/>
        <v>-1</v>
      </c>
      <c r="O45" s="11"/>
      <c r="P45" s="8"/>
      <c r="Q45" s="3"/>
      <c r="R45" s="7">
        <f t="shared" si="20"/>
        <v>0</v>
      </c>
      <c r="S45" s="3"/>
      <c r="T45" s="8">
        <v>342</v>
      </c>
      <c r="U45" s="3"/>
      <c r="V45" s="7">
        <f t="shared" si="21"/>
        <v>0</v>
      </c>
      <c r="W45" s="3"/>
      <c r="X45" s="8">
        <f t="shared" si="22"/>
        <v>-342</v>
      </c>
      <c r="Y45" s="3"/>
      <c r="Z45" s="7">
        <f t="shared" si="23"/>
        <v>-1</v>
      </c>
    </row>
    <row r="46" spans="1:26" s="27" customFormat="1" outlineLevel="1" collapsed="1" x14ac:dyDescent="0.3">
      <c r="A46" s="28"/>
      <c r="B46" s="14" t="str">
        <f>CONCATENATE("     ","Telephone/Data Lines                              ")</f>
        <v xml:space="preserve">     Telephone/Data Lines                              </v>
      </c>
      <c r="C46" s="14"/>
      <c r="D46" s="1">
        <f>SUM(OSRRefD22_5x_0)</f>
        <v>58</v>
      </c>
      <c r="E46" s="1"/>
      <c r="F46" s="5">
        <f t="shared" si="16"/>
        <v>0</v>
      </c>
      <c r="G46" s="1"/>
      <c r="H46" s="1">
        <f>SUM(OSRRefH22_5x_0)</f>
        <v>83</v>
      </c>
      <c r="I46" s="1"/>
      <c r="J46" s="5">
        <f t="shared" si="17"/>
        <v>0</v>
      </c>
      <c r="K46" s="1"/>
      <c r="L46" s="1">
        <f t="shared" si="18"/>
        <v>-25</v>
      </c>
      <c r="M46" s="1"/>
      <c r="N46" s="5">
        <f t="shared" si="19"/>
        <v>-0.30120481927710846</v>
      </c>
      <c r="O46" s="14"/>
      <c r="P46" s="1">
        <f>SUM(OSRRefP22_5x_0)</f>
        <v>58</v>
      </c>
      <c r="Q46" s="1"/>
      <c r="R46" s="5">
        <f t="shared" si="20"/>
        <v>0</v>
      </c>
      <c r="S46" s="1"/>
      <c r="T46" s="1">
        <f>SUM(OSRRefT22_5x_0)</f>
        <v>83</v>
      </c>
      <c r="U46" s="1"/>
      <c r="V46" s="5">
        <f t="shared" si="21"/>
        <v>0</v>
      </c>
      <c r="W46" s="1"/>
      <c r="X46" s="1">
        <f t="shared" si="22"/>
        <v>-25</v>
      </c>
      <c r="Y46" s="1"/>
      <c r="Z46" s="5">
        <f t="shared" si="23"/>
        <v>-0.30120481927710846</v>
      </c>
    </row>
    <row r="47" spans="1:26" s="24" customFormat="1" hidden="1" outlineLevel="2" x14ac:dyDescent="0.3">
      <c r="A47" s="29"/>
      <c r="B47" s="11" t="str">
        <f>CONCATENATE("          ", "6303", " - ", "DATA PHONE LINES")</f>
        <v xml:space="preserve">          6303 - DATA PHONE LINES</v>
      </c>
      <c r="C47" s="11"/>
      <c r="D47" s="8"/>
      <c r="E47" s="3"/>
      <c r="F47" s="7">
        <f t="shared" si="16"/>
        <v>0</v>
      </c>
      <c r="G47" s="3"/>
      <c r="H47" s="8">
        <v>58</v>
      </c>
      <c r="I47" s="3"/>
      <c r="J47" s="7">
        <f t="shared" si="17"/>
        <v>0</v>
      </c>
      <c r="K47" s="3"/>
      <c r="L47" s="8">
        <f t="shared" si="18"/>
        <v>-58</v>
      </c>
      <c r="M47" s="3"/>
      <c r="N47" s="7">
        <f t="shared" si="19"/>
        <v>-1</v>
      </c>
      <c r="O47" s="11"/>
      <c r="P47" s="8"/>
      <c r="Q47" s="3"/>
      <c r="R47" s="7">
        <f t="shared" si="20"/>
        <v>0</v>
      </c>
      <c r="S47" s="3"/>
      <c r="T47" s="8">
        <v>58</v>
      </c>
      <c r="U47" s="3"/>
      <c r="V47" s="7">
        <f t="shared" si="21"/>
        <v>0</v>
      </c>
      <c r="W47" s="3"/>
      <c r="X47" s="8">
        <f t="shared" si="22"/>
        <v>-58</v>
      </c>
      <c r="Y47" s="3"/>
      <c r="Z47" s="7">
        <f t="shared" si="23"/>
        <v>-1</v>
      </c>
    </row>
    <row r="48" spans="1:26" s="24" customFormat="1" hidden="1" outlineLevel="2" x14ac:dyDescent="0.3">
      <c r="A48" s="29"/>
      <c r="B48" s="11" t="str">
        <f>CONCATENATE("          ", "6309", " - ", "TELEPHONE")</f>
        <v xml:space="preserve">          6309 - TELEPHONE</v>
      </c>
      <c r="C48" s="11"/>
      <c r="D48" s="8">
        <v>58</v>
      </c>
      <c r="E48" s="3"/>
      <c r="F48" s="7">
        <f t="shared" si="16"/>
        <v>0</v>
      </c>
      <c r="G48" s="3"/>
      <c r="H48" s="8">
        <v>25</v>
      </c>
      <c r="I48" s="3"/>
      <c r="J48" s="7">
        <f t="shared" si="17"/>
        <v>0</v>
      </c>
      <c r="K48" s="3"/>
      <c r="L48" s="8">
        <f t="shared" si="18"/>
        <v>33</v>
      </c>
      <c r="M48" s="3"/>
      <c r="N48" s="7">
        <f t="shared" si="19"/>
        <v>1.32</v>
      </c>
      <c r="O48" s="11"/>
      <c r="P48" s="8">
        <v>58</v>
      </c>
      <c r="Q48" s="3"/>
      <c r="R48" s="7">
        <f t="shared" si="20"/>
        <v>0</v>
      </c>
      <c r="S48" s="3"/>
      <c r="T48" s="8">
        <v>25</v>
      </c>
      <c r="U48" s="3"/>
      <c r="V48" s="7">
        <f t="shared" si="21"/>
        <v>0</v>
      </c>
      <c r="W48" s="3"/>
      <c r="X48" s="8">
        <f t="shared" si="22"/>
        <v>33</v>
      </c>
      <c r="Y48" s="3"/>
      <c r="Z48" s="7">
        <f t="shared" si="23"/>
        <v>1.32</v>
      </c>
    </row>
    <row r="49" spans="1:26" s="27" customFormat="1" outlineLevel="1" collapsed="1" x14ac:dyDescent="0.3">
      <c r="A49" s="28"/>
      <c r="B49" s="14" t="str">
        <f>CONCATENATE("     ","Training                                          ")</f>
        <v xml:space="preserve">     Training                                          </v>
      </c>
      <c r="C49" s="14"/>
      <c r="D49" s="1">
        <f>SUM(OSRRefD22_6x_0)</f>
        <v>0</v>
      </c>
      <c r="E49" s="1"/>
      <c r="F49" s="5">
        <f t="shared" ref="F49:F50" si="24">IF(D$12=0,0,D49/D$12)</f>
        <v>0</v>
      </c>
      <c r="G49" s="1"/>
      <c r="H49" s="1">
        <f>SUM(OSRRefH22_6x_0)</f>
        <v>300</v>
      </c>
      <c r="I49" s="1"/>
      <c r="J49" s="5">
        <f t="shared" ref="J49:J50" si="25">IF(H$12=0,0,H49/H$12)</f>
        <v>0</v>
      </c>
      <c r="K49" s="1"/>
      <c r="L49" s="1">
        <f t="shared" ref="L49:L50" si="26">+D49-H49</f>
        <v>-300</v>
      </c>
      <c r="M49" s="1"/>
      <c r="N49" s="5">
        <f t="shared" ref="N49:N50" si="27">IF(H49=0,0,L49/H49)</f>
        <v>-1</v>
      </c>
      <c r="O49" s="14"/>
      <c r="P49" s="1">
        <f>SUM(OSRRefP22_6x_0)</f>
        <v>0</v>
      </c>
      <c r="Q49" s="1"/>
      <c r="R49" s="5">
        <f t="shared" ref="R49:R50" si="28">IF(P$12=0,0,P49/P$12)</f>
        <v>0</v>
      </c>
      <c r="S49" s="1"/>
      <c r="T49" s="1">
        <f>SUM(OSRRefT22_6x_0)</f>
        <v>300</v>
      </c>
      <c r="U49" s="1"/>
      <c r="V49" s="5">
        <f t="shared" ref="V49:V50" si="29">IF(T$12=0,0,T49/T$12)</f>
        <v>0</v>
      </c>
      <c r="W49" s="1"/>
      <c r="X49" s="1">
        <f t="shared" ref="X49:X50" si="30">+P49-T49</f>
        <v>-300</v>
      </c>
      <c r="Y49" s="1"/>
      <c r="Z49" s="5">
        <f t="shared" ref="Z49:Z50" si="31">IF(T49=0,0,X49/T49)</f>
        <v>-1</v>
      </c>
    </row>
    <row r="50" spans="1:26" s="24" customFormat="1" hidden="1" outlineLevel="2" x14ac:dyDescent="0.3">
      <c r="A50" s="29"/>
      <c r="B50" s="11" t="str">
        <f>CONCATENATE("          ", "6376", " - ", "TRAINING")</f>
        <v xml:space="preserve">          6376 - TRAINING</v>
      </c>
      <c r="C50" s="11"/>
      <c r="D50" s="8"/>
      <c r="E50" s="3"/>
      <c r="F50" s="7">
        <f t="shared" si="24"/>
        <v>0</v>
      </c>
      <c r="G50" s="3"/>
      <c r="H50" s="8">
        <v>300</v>
      </c>
      <c r="I50" s="3"/>
      <c r="J50" s="7">
        <f t="shared" si="25"/>
        <v>0</v>
      </c>
      <c r="K50" s="3"/>
      <c r="L50" s="8">
        <f t="shared" si="26"/>
        <v>-300</v>
      </c>
      <c r="M50" s="3"/>
      <c r="N50" s="7">
        <f t="shared" si="27"/>
        <v>-1</v>
      </c>
      <c r="O50" s="11"/>
      <c r="P50" s="8"/>
      <c r="Q50" s="3"/>
      <c r="R50" s="7">
        <f t="shared" si="28"/>
        <v>0</v>
      </c>
      <c r="S50" s="3"/>
      <c r="T50" s="8">
        <v>300</v>
      </c>
      <c r="U50" s="3"/>
      <c r="V50" s="7">
        <f t="shared" si="29"/>
        <v>0</v>
      </c>
      <c r="W50" s="3"/>
      <c r="X50" s="8">
        <f t="shared" si="30"/>
        <v>-300</v>
      </c>
      <c r="Y50" s="3"/>
      <c r="Z50" s="7">
        <f t="shared" si="31"/>
        <v>-1</v>
      </c>
    </row>
    <row r="51" spans="1:26" s="62" customFormat="1" x14ac:dyDescent="0.3">
      <c r="A51" s="36"/>
      <c r="B51" s="36"/>
      <c r="C51" s="36"/>
      <c r="D51" s="1"/>
      <c r="E51" s="1"/>
      <c r="F51" s="5"/>
      <c r="G51" s="1"/>
      <c r="H51" s="1"/>
      <c r="I51" s="1"/>
      <c r="J51" s="5"/>
      <c r="K51" s="1"/>
      <c r="L51" s="1"/>
      <c r="M51" s="1"/>
      <c r="N51" s="5"/>
      <c r="O51" s="36"/>
      <c r="P51" s="1"/>
      <c r="Q51" s="1"/>
      <c r="R51" s="5"/>
      <c r="S51" s="1"/>
      <c r="T51" s="1"/>
      <c r="U51" s="1"/>
      <c r="V51" s="5"/>
      <c r="W51" s="1"/>
      <c r="X51" s="1"/>
      <c r="Y51" s="1"/>
      <c r="Z51" s="5"/>
    </row>
    <row r="52" spans="1:26" s="23" customFormat="1" x14ac:dyDescent="0.3">
      <c r="A52" s="10"/>
      <c r="B52" s="25" t="s">
        <v>293</v>
      </c>
      <c r="C52" s="10"/>
      <c r="D52" s="4">
        <f>SUM(0)</f>
        <v>0</v>
      </c>
      <c r="E52" s="4"/>
      <c r="F52" s="12">
        <f>IF(D$12=0,0,D52/D$12)</f>
        <v>0</v>
      </c>
      <c r="G52" s="4"/>
      <c r="H52" s="4">
        <f>SUM(0)</f>
        <v>0</v>
      </c>
      <c r="I52" s="4"/>
      <c r="J52" s="12">
        <f>IF(H$12=0,0,H52/H$12)</f>
        <v>0</v>
      </c>
      <c r="K52" s="4"/>
      <c r="L52" s="4">
        <f>+D52-H52</f>
        <v>0</v>
      </c>
      <c r="M52" s="4"/>
      <c r="N52" s="12">
        <f>IF(H52=0,0,L52/H52)</f>
        <v>0</v>
      </c>
      <c r="O52" s="10"/>
      <c r="P52" s="4">
        <f>SUM(0)</f>
        <v>0</v>
      </c>
      <c r="Q52" s="4"/>
      <c r="R52" s="12">
        <f>IF(P$12=0,0,P52/P$12)</f>
        <v>0</v>
      </c>
      <c r="S52" s="4"/>
      <c r="T52" s="4">
        <f>SUM(0)</f>
        <v>0</v>
      </c>
      <c r="U52" s="4"/>
      <c r="V52" s="12">
        <f>IF(T$12=0,0,T52/T$12)</f>
        <v>0</v>
      </c>
      <c r="W52" s="4"/>
      <c r="X52" s="4">
        <f>+P52-T52</f>
        <v>0</v>
      </c>
      <c r="Y52" s="4"/>
      <c r="Z52" s="12">
        <f>IF(T52=0,0,X52/T52)</f>
        <v>0</v>
      </c>
    </row>
    <row r="53" spans="1:26" x14ac:dyDescent="0.3">
      <c r="A53" s="9"/>
      <c r="B53" s="10"/>
      <c r="C53" s="10"/>
      <c r="D53" s="2"/>
      <c r="E53" s="2"/>
      <c r="F53" s="6"/>
      <c r="G53" s="2"/>
      <c r="H53" s="2"/>
      <c r="I53" s="2"/>
      <c r="J53" s="6"/>
      <c r="K53" s="2"/>
      <c r="L53" s="2"/>
      <c r="M53" s="2"/>
      <c r="N53" s="6"/>
      <c r="O53" s="10"/>
      <c r="P53" s="2"/>
      <c r="Q53" s="2"/>
      <c r="R53" s="6"/>
      <c r="S53" s="2"/>
      <c r="T53" s="2"/>
      <c r="U53" s="2"/>
      <c r="V53" s="6"/>
      <c r="W53" s="2"/>
      <c r="X53" s="2"/>
      <c r="Y53" s="2"/>
      <c r="Z53" s="6"/>
    </row>
    <row r="54" spans="1:26" s="23" customFormat="1" x14ac:dyDescent="0.3">
      <c r="A54" s="10"/>
      <c r="B54" s="26" t="s">
        <v>277</v>
      </c>
      <c r="C54" s="26"/>
      <c r="D54" s="21">
        <f>+D16-D18+D52</f>
        <v>-20675.600000000002</v>
      </c>
      <c r="E54" s="13"/>
      <c r="F54" s="22">
        <f>IF(D$12=0,0,D54/D$12)</f>
        <v>0</v>
      </c>
      <c r="G54" s="13"/>
      <c r="H54" s="21">
        <f>+H16-H18+H52</f>
        <v>-19867.329675000001</v>
      </c>
      <c r="I54" s="13"/>
      <c r="J54" s="22">
        <f>IF(H$12=0,0,H54/H$12)</f>
        <v>0</v>
      </c>
      <c r="K54" s="16"/>
      <c r="L54" s="21">
        <f>+D54-H54</f>
        <v>-808.27032500000132</v>
      </c>
      <c r="M54" s="16"/>
      <c r="N54" s="22">
        <f>IF(H54=0,0,L54/H54)</f>
        <v>4.0683390179863277E-2</v>
      </c>
      <c r="O54" s="25"/>
      <c r="P54" s="21">
        <f>+P16-P18+P52</f>
        <v>-20675.600000000002</v>
      </c>
      <c r="Q54" s="13"/>
      <c r="R54" s="22">
        <f>IF(P$12=0,0,P54/P$12)</f>
        <v>0</v>
      </c>
      <c r="S54" s="13"/>
      <c r="T54" s="21">
        <f>+T16-T18+T52</f>
        <v>-19867.329675000001</v>
      </c>
      <c r="U54" s="13"/>
      <c r="V54" s="22">
        <f>IF(T$12=0,0,T54/T$12)</f>
        <v>0</v>
      </c>
      <c r="W54" s="16"/>
      <c r="X54" s="21">
        <f>+P54-T54</f>
        <v>-808.27032500000132</v>
      </c>
      <c r="Y54" s="16"/>
      <c r="Z54" s="22">
        <f>IF(T54=0,0,X54/T54)</f>
        <v>4.0683390179863277E-2</v>
      </c>
    </row>
    <row r="55" spans="1:26" x14ac:dyDescent="0.3">
      <c r="A55" s="9"/>
      <c r="B55" s="10"/>
      <c r="C55" s="9"/>
      <c r="D55" s="2"/>
      <c r="E55" s="2"/>
      <c r="F55" s="6"/>
      <c r="G55" s="2"/>
      <c r="H55" s="2"/>
      <c r="I55" s="2"/>
      <c r="J55" s="6"/>
      <c r="K55" s="2"/>
      <c r="L55" s="2"/>
      <c r="M55" s="2"/>
      <c r="N55" s="6"/>
      <c r="P55" s="2"/>
      <c r="Q55" s="2"/>
      <c r="R55" s="6"/>
      <c r="S55" s="2"/>
      <c r="T55" s="2"/>
      <c r="U55" s="2"/>
      <c r="V55" s="6"/>
      <c r="W55" s="2"/>
      <c r="X55" s="2"/>
      <c r="Y55" s="2"/>
      <c r="Z55" s="6"/>
    </row>
    <row r="56" spans="1:26" s="23" customFormat="1" x14ac:dyDescent="0.3">
      <c r="A56" s="52"/>
      <c r="B56" s="10" t="s">
        <v>128</v>
      </c>
      <c r="C56" s="10"/>
      <c r="D56" s="4"/>
      <c r="E56" s="4"/>
      <c r="F56" s="12">
        <f>IF(D$12=0,0,D56/D$12)</f>
        <v>0</v>
      </c>
      <c r="G56" s="4"/>
      <c r="H56" s="4"/>
      <c r="I56" s="4"/>
      <c r="J56" s="12">
        <f>IF(H$12=0,0,H56/H$12)</f>
        <v>0</v>
      </c>
      <c r="K56" s="4"/>
      <c r="L56" s="4">
        <f>+D56-H56</f>
        <v>0</v>
      </c>
      <c r="M56" s="4"/>
      <c r="N56" s="12">
        <f>IF(H56=0,0,L56/H56)</f>
        <v>0</v>
      </c>
      <c r="O56" s="10"/>
      <c r="P56" s="4"/>
      <c r="Q56" s="4"/>
      <c r="R56" s="12">
        <f>IF(P$12=0,0,P56/P$12)</f>
        <v>0</v>
      </c>
      <c r="S56" s="4"/>
      <c r="T56" s="4"/>
      <c r="U56" s="4"/>
      <c r="V56" s="12">
        <f>IF(T$12=0,0,T56/T$12)</f>
        <v>0</v>
      </c>
      <c r="W56" s="4"/>
      <c r="X56" s="4">
        <f>+P56-T56</f>
        <v>0</v>
      </c>
      <c r="Y56" s="4"/>
      <c r="Z56" s="12">
        <f>IF(T56=0,0,X56/T56)</f>
        <v>0</v>
      </c>
    </row>
    <row r="57" spans="1:26" x14ac:dyDescent="0.3">
      <c r="A57" s="9"/>
      <c r="B57" s="10"/>
      <c r="C57" s="10"/>
      <c r="D57" s="2"/>
      <c r="E57" s="2"/>
      <c r="F57" s="6"/>
      <c r="G57" s="2"/>
      <c r="H57" s="2"/>
      <c r="I57" s="2"/>
      <c r="J57" s="6"/>
      <c r="K57" s="2"/>
      <c r="L57" s="2"/>
      <c r="M57" s="2"/>
      <c r="N57" s="6"/>
      <c r="O57" s="10"/>
      <c r="P57" s="2"/>
      <c r="Q57" s="2"/>
      <c r="R57" s="6"/>
      <c r="S57" s="2"/>
      <c r="T57" s="2"/>
      <c r="U57" s="2"/>
      <c r="V57" s="6"/>
      <c r="W57" s="2"/>
      <c r="X57" s="2"/>
      <c r="Y57" s="2"/>
      <c r="Z57" s="6"/>
    </row>
    <row r="58" spans="1:26" s="23" customFormat="1" ht="15" thickBot="1" x14ac:dyDescent="0.35">
      <c r="A58" s="10"/>
      <c r="B58" s="26" t="s">
        <v>126</v>
      </c>
      <c r="C58" s="26"/>
      <c r="D58" s="35">
        <f>+D54-D56</f>
        <v>-20675.600000000002</v>
      </c>
      <c r="E58" s="13"/>
      <c r="F58" s="30">
        <f>IF(D$12=0,0,D58/D$12)</f>
        <v>0</v>
      </c>
      <c r="G58" s="13"/>
      <c r="H58" s="35">
        <f>+H54-H56</f>
        <v>-19867.329675000001</v>
      </c>
      <c r="I58" s="13"/>
      <c r="J58" s="30">
        <f>IF(H$12=0,0,H58/H$12)</f>
        <v>0</v>
      </c>
      <c r="K58" s="16"/>
      <c r="L58" s="35">
        <f>D58-H58</f>
        <v>-808.27032500000132</v>
      </c>
      <c r="M58" s="16"/>
      <c r="N58" s="30">
        <f>IF(H58=0,0,L58/H58)</f>
        <v>4.0683390179863277E-2</v>
      </c>
      <c r="O58" s="25"/>
      <c r="P58" s="35">
        <f>+P54-P56</f>
        <v>-20675.600000000002</v>
      </c>
      <c r="Q58" s="13"/>
      <c r="R58" s="30">
        <f>IF(P$12=0,0,P58/P$12)</f>
        <v>0</v>
      </c>
      <c r="S58" s="13"/>
      <c r="T58" s="35">
        <f>+T54-T56</f>
        <v>-19867.329675000001</v>
      </c>
      <c r="U58" s="13"/>
      <c r="V58" s="30">
        <f>IF(T$12=0,0,T58/T$12)</f>
        <v>0</v>
      </c>
      <c r="W58" s="16"/>
      <c r="X58" s="35">
        <f>P58-T58</f>
        <v>-808.27032500000132</v>
      </c>
      <c r="Y58" s="16"/>
      <c r="Z58" s="30">
        <f>IF(T58=0,0,X58/T58)</f>
        <v>4.0683390179863277E-2</v>
      </c>
    </row>
    <row r="59" spans="1:26" ht="15" thickTop="1" x14ac:dyDescent="0.3">
      <c r="A59" s="9"/>
      <c r="B59" s="9"/>
      <c r="C59" s="9"/>
      <c r="D59" s="2"/>
      <c r="E59" s="2"/>
      <c r="F59" s="6"/>
      <c r="G59" s="2"/>
      <c r="H59" s="2"/>
      <c r="I59" s="2"/>
      <c r="J59" s="6"/>
      <c r="K59" s="2"/>
      <c r="L59" s="2"/>
      <c r="M59" s="2"/>
      <c r="N59" s="6"/>
      <c r="P59" s="2"/>
      <c r="Q59" s="2"/>
      <c r="R59" s="6"/>
      <c r="S59" s="2"/>
      <c r="T59" s="2"/>
      <c r="U59" s="2"/>
      <c r="V59" s="6"/>
      <c r="W59" s="2"/>
      <c r="X59" s="2"/>
      <c r="Y59" s="2"/>
      <c r="Z59" s="6"/>
    </row>
    <row r="60" spans="1:26" x14ac:dyDescent="0.3">
      <c r="A60" s="9"/>
      <c r="B60" s="9"/>
      <c r="C60" s="9"/>
      <c r="D60" s="2"/>
      <c r="E60" s="2"/>
      <c r="F60" s="6"/>
      <c r="G60" s="2"/>
      <c r="H60" s="2"/>
      <c r="I60" s="2"/>
      <c r="J60" s="6"/>
      <c r="K60" s="2"/>
      <c r="L60" s="2"/>
      <c r="M60" s="2"/>
      <c r="N60" s="6"/>
      <c r="P60" s="2"/>
      <c r="Q60" s="2"/>
      <c r="R60" s="6"/>
      <c r="S60" s="2"/>
      <c r="T60" s="2"/>
      <c r="U60" s="2"/>
      <c r="V60" s="6"/>
      <c r="W60" s="2"/>
      <c r="X60" s="2"/>
      <c r="Y60" s="2"/>
      <c r="Z60" s="6"/>
    </row>
    <row r="61" spans="1:26" s="23" customFormat="1" ht="15" thickBot="1" x14ac:dyDescent="0.35">
      <c r="A61" s="10"/>
      <c r="B61" s="26" t="s">
        <v>294</v>
      </c>
      <c r="C61" s="26"/>
      <c r="D61" s="33">
        <f>SUM(D58:D60)</f>
        <v>-20675.600000000002</v>
      </c>
      <c r="E61" s="13"/>
      <c r="F61" s="31">
        <f>IF(D$12=0,0,D61/D$12)</f>
        <v>0</v>
      </c>
      <c r="G61" s="13"/>
      <c r="H61" s="33">
        <f>SUM(H58:H60)</f>
        <v>-19867.329675000001</v>
      </c>
      <c r="I61" s="13"/>
      <c r="J61" s="31">
        <f>IF(H$12=0,0,H61/H$12)</f>
        <v>0</v>
      </c>
      <c r="K61" s="16"/>
      <c r="L61" s="33">
        <f>+D61-H61</f>
        <v>-808.27032500000132</v>
      </c>
      <c r="M61" s="16"/>
      <c r="N61" s="31">
        <f>IF(H61=0,0,L61/H61)</f>
        <v>4.0683390179863277E-2</v>
      </c>
      <c r="O61" s="25"/>
      <c r="P61" s="33">
        <f>SUM(P58:P60)</f>
        <v>-20675.600000000002</v>
      </c>
      <c r="Q61" s="13"/>
      <c r="R61" s="31">
        <f>IF(P$12=0,0,P61/P$12)</f>
        <v>0</v>
      </c>
      <c r="S61" s="13"/>
      <c r="T61" s="33">
        <f>SUM(T58:T60)</f>
        <v>-19867.329675000001</v>
      </c>
      <c r="U61" s="13"/>
      <c r="V61" s="31">
        <f>IF(T$12=0,0,T61/T$12)</f>
        <v>0</v>
      </c>
      <c r="W61" s="16"/>
      <c r="X61" s="33">
        <f>+P61-T61</f>
        <v>-808.27032500000132</v>
      </c>
      <c r="Y61" s="16"/>
      <c r="Z61" s="31">
        <f>IF(T61=0,0,X61/T61)</f>
        <v>4.0683390179863277E-2</v>
      </c>
    </row>
    <row r="62" spans="1:26" ht="15" thickTop="1" x14ac:dyDescent="0.3">
      <c r="A62" s="9"/>
      <c r="C62" s="9"/>
      <c r="D62" s="18"/>
      <c r="E62" s="18"/>
      <c r="G62" s="18"/>
      <c r="H62" s="18"/>
      <c r="I62" s="18"/>
      <c r="J62" s="43"/>
      <c r="K62" s="18"/>
      <c r="L62" s="18"/>
      <c r="M62" s="18"/>
      <c r="P62" s="18"/>
      <c r="Q62" s="18"/>
      <c r="R62" s="43"/>
      <c r="S62" s="18"/>
      <c r="T62" s="18"/>
      <c r="U62" s="18"/>
      <c r="V62" s="43"/>
      <c r="W62" s="18"/>
      <c r="X62" s="18"/>
    </row>
    <row r="63" spans="1:26" x14ac:dyDescent="0.3">
      <c r="A63" s="9"/>
      <c r="B63" s="54">
        <v>44462.64548684028</v>
      </c>
      <c r="D63" s="18"/>
      <c r="E63" s="18"/>
      <c r="G63" s="18"/>
      <c r="H63" s="18"/>
      <c r="I63" s="18"/>
      <c r="J63" s="43"/>
      <c r="K63" s="18"/>
      <c r="L63" s="18"/>
      <c r="M63" s="18"/>
      <c r="P63" s="18"/>
      <c r="Q63" s="18"/>
      <c r="R63" s="43"/>
      <c r="S63" s="18"/>
      <c r="T63" s="18"/>
      <c r="U63" s="18"/>
      <c r="V63" s="43"/>
      <c r="W63" s="18"/>
      <c r="X63" s="18"/>
    </row>
    <row r="64" spans="1:26" x14ac:dyDescent="0.3">
      <c r="A64" s="9"/>
      <c r="B64" s="59" t="s">
        <v>56</v>
      </c>
      <c r="D64" s="18"/>
      <c r="E64" s="18"/>
      <c r="G64" s="18"/>
      <c r="H64" s="18"/>
      <c r="I64" s="18"/>
      <c r="J64" s="43"/>
      <c r="K64" s="18"/>
      <c r="L64" s="18"/>
      <c r="M64" s="18"/>
      <c r="P64" s="18"/>
      <c r="Q64" s="18"/>
      <c r="R64" s="43"/>
      <c r="S64" s="18"/>
      <c r="T64" s="18"/>
      <c r="U64" s="18"/>
      <c r="V64" s="43"/>
      <c r="W64" s="18"/>
      <c r="X64" s="18"/>
    </row>
    <row r="65" spans="1:24" x14ac:dyDescent="0.3">
      <c r="A65" s="9"/>
      <c r="B65" s="55"/>
      <c r="D65" s="18"/>
      <c r="E65" s="18"/>
      <c r="G65" s="18"/>
      <c r="H65" s="18"/>
      <c r="I65" s="18"/>
      <c r="J65" s="43"/>
      <c r="K65" s="18"/>
      <c r="L65" s="18"/>
      <c r="M65" s="18"/>
      <c r="P65" s="18"/>
      <c r="Q65" s="18"/>
      <c r="R65" s="43"/>
      <c r="S65" s="18"/>
      <c r="T65" s="18"/>
      <c r="U65" s="18"/>
      <c r="V65" s="43"/>
      <c r="W65" s="18"/>
      <c r="X65" s="18"/>
    </row>
    <row r="66" spans="1:24" x14ac:dyDescent="0.3">
      <c r="D66" s="18"/>
      <c r="E66" s="18"/>
      <c r="G66" s="18"/>
      <c r="H66" s="18"/>
      <c r="I66" s="18"/>
      <c r="J66" s="43"/>
      <c r="K66" s="18"/>
      <c r="L66" s="18"/>
      <c r="M66" s="18"/>
      <c r="P66" s="18"/>
      <c r="Q66" s="18"/>
      <c r="R66" s="43"/>
      <c r="S66" s="18"/>
      <c r="T66" s="18"/>
      <c r="U66" s="18"/>
      <c r="V66" s="43"/>
      <c r="W66" s="18"/>
      <c r="X66" s="18"/>
    </row>
  </sheetData>
  <pageMargins left="0.25" right="0.25" top="0.75" bottom="0.75" header="0.3" footer="0.3"/>
  <pageSetup scale="55" fitToWidth="2" orientation="landscape"/>
  <drawing r:id="rId1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>
    <tabColor rgb="FF92D050"/>
    <outlinePr summaryBelow="0" summaryRight="0"/>
  </sheetPr>
  <dimension ref="A2:Z85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50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7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50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7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7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7" customWidth="1" outlineLevel="1"/>
  </cols>
  <sheetData>
    <row r="2" spans="1:26" x14ac:dyDescent="0.3">
      <c r="D2" s="57" t="s">
        <v>23</v>
      </c>
    </row>
    <row r="3" spans="1:26" x14ac:dyDescent="0.3">
      <c r="D3" s="57" t="s">
        <v>237</v>
      </c>
      <c r="E3" s="17"/>
      <c r="F3" s="51"/>
      <c r="G3" s="17"/>
      <c r="H3" s="17"/>
      <c r="I3" s="17"/>
      <c r="J3" s="39"/>
      <c r="K3" s="17"/>
      <c r="L3" s="17"/>
      <c r="M3" s="17"/>
      <c r="N3" s="51"/>
      <c r="O3" s="61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3">
      <c r="D4" s="57" t="str">
        <f>CONCATENATE("Period ",RIGHT(202201,2),", ",2022)</f>
        <v>Period 01, 2022</v>
      </c>
      <c r="E4" s="17"/>
      <c r="F4" s="51"/>
      <c r="G4" s="17"/>
      <c r="H4" s="17"/>
      <c r="I4" s="17"/>
      <c r="J4" s="39"/>
      <c r="K4" s="17"/>
      <c r="L4" s="17"/>
      <c r="M4" s="17"/>
      <c r="N4" s="51"/>
      <c r="O4" s="61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3">
      <c r="A5" s="23"/>
      <c r="D5" s="64">
        <v>44408</v>
      </c>
      <c r="E5" s="17"/>
      <c r="F5" s="51"/>
      <c r="G5" s="17"/>
      <c r="H5" s="17"/>
      <c r="I5" s="17"/>
      <c r="J5" s="39"/>
      <c r="K5" s="17"/>
      <c r="L5" s="17"/>
      <c r="M5" s="17"/>
      <c r="N5" s="51"/>
      <c r="O5" s="61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3">
      <c r="A6" s="23"/>
      <c r="B6" s="47"/>
      <c r="C6" s="47"/>
      <c r="D6" s="23" t="str">
        <f>CONCATENATE("Department ","433", " - ", "Hillside Dining Hall")</f>
        <v>Department 433 - Hillside Dining Hall</v>
      </c>
      <c r="E6" s="17"/>
      <c r="F6" s="51"/>
      <c r="G6" s="17"/>
      <c r="H6" s="17"/>
      <c r="I6" s="17"/>
      <c r="J6" s="39"/>
      <c r="K6" s="17"/>
      <c r="L6" s="17"/>
      <c r="M6" s="17"/>
      <c r="N6" s="51"/>
      <c r="O6" s="60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3">
      <c r="B7" s="63"/>
    </row>
    <row r="8" spans="1:26" x14ac:dyDescent="0.3">
      <c r="B8" s="63"/>
    </row>
    <row r="9" spans="1:26" x14ac:dyDescent="0.3">
      <c r="B9" s="9"/>
      <c r="C9" s="9"/>
      <c r="D9" s="15" t="s">
        <v>292</v>
      </c>
      <c r="E9" s="15"/>
      <c r="F9" s="38"/>
      <c r="G9" s="15"/>
      <c r="H9" s="15"/>
      <c r="I9" s="15"/>
      <c r="J9" s="49"/>
      <c r="K9" s="15"/>
      <c r="L9" s="15"/>
      <c r="M9" s="15"/>
      <c r="N9" s="38"/>
      <c r="P9" s="15" t="s">
        <v>39</v>
      </c>
      <c r="Q9" s="15"/>
      <c r="R9" s="38"/>
      <c r="S9" s="15"/>
      <c r="T9" s="15"/>
      <c r="U9" s="15"/>
      <c r="V9" s="49"/>
      <c r="W9" s="15"/>
      <c r="X9" s="15"/>
      <c r="Y9" s="15"/>
      <c r="Z9" s="38"/>
    </row>
    <row r="10" spans="1:26" x14ac:dyDescent="0.3">
      <c r="A10" s="10"/>
      <c r="B10" s="53"/>
      <c r="C10" s="10"/>
      <c r="D10" s="42" t="s">
        <v>57</v>
      </c>
      <c r="E10" s="34"/>
      <c r="F10" s="40" t="s">
        <v>40</v>
      </c>
      <c r="G10" s="34"/>
      <c r="H10" s="45" t="s">
        <v>238</v>
      </c>
      <c r="I10" s="34"/>
      <c r="J10" s="48" t="s">
        <v>58</v>
      </c>
      <c r="K10" s="10"/>
      <c r="L10" s="42" t="s">
        <v>127</v>
      </c>
      <c r="M10" s="10"/>
      <c r="N10" s="40" t="s">
        <v>258</v>
      </c>
      <c r="O10" s="10"/>
      <c r="P10" s="56" t="s">
        <v>57</v>
      </c>
      <c r="Q10" s="34"/>
      <c r="R10" s="40" t="s">
        <v>40</v>
      </c>
      <c r="S10" s="34"/>
      <c r="T10" s="45" t="s">
        <v>238</v>
      </c>
      <c r="U10" s="34"/>
      <c r="V10" s="48" t="s">
        <v>58</v>
      </c>
      <c r="W10" s="10"/>
      <c r="X10" s="42" t="s">
        <v>127</v>
      </c>
      <c r="Y10" s="10"/>
      <c r="Z10" s="40" t="s">
        <v>258</v>
      </c>
    </row>
    <row r="11" spans="1:26" ht="15.6" x14ac:dyDescent="0.3">
      <c r="A11" s="9"/>
      <c r="B11" s="58"/>
      <c r="C11" s="9"/>
      <c r="D11" s="9"/>
      <c r="E11" s="9"/>
      <c r="F11" s="6"/>
      <c r="G11" s="9"/>
      <c r="H11" s="9"/>
      <c r="I11" s="9"/>
      <c r="J11" s="46"/>
      <c r="K11" s="9"/>
      <c r="L11" s="9"/>
      <c r="M11" s="9"/>
      <c r="N11" s="6"/>
      <c r="P11" s="9"/>
      <c r="Q11" s="9"/>
      <c r="R11" s="6"/>
      <c r="S11" s="9"/>
      <c r="T11" s="9"/>
      <c r="U11" s="9"/>
      <c r="V11" s="46"/>
      <c r="W11" s="9"/>
      <c r="X11" s="9"/>
      <c r="Y11" s="9"/>
      <c r="Z11" s="6"/>
    </row>
    <row r="12" spans="1:26" s="23" customFormat="1" x14ac:dyDescent="0.3">
      <c r="A12" s="10"/>
      <c r="B12" s="25" t="s">
        <v>140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3">
      <c r="A13" s="9"/>
      <c r="B13" s="10"/>
      <c r="C13" s="9"/>
      <c r="D13" s="2"/>
      <c r="E13" s="2"/>
      <c r="F13" s="6"/>
      <c r="G13" s="2"/>
      <c r="H13" s="2"/>
      <c r="I13" s="2"/>
      <c r="J13" s="6"/>
      <c r="K13" s="2"/>
      <c r="L13" s="2"/>
      <c r="M13" s="2"/>
      <c r="N13" s="6"/>
      <c r="P13" s="2"/>
      <c r="Q13" s="2"/>
      <c r="R13" s="6"/>
      <c r="S13" s="2"/>
      <c r="T13" s="2"/>
      <c r="U13" s="2"/>
      <c r="V13" s="6"/>
      <c r="W13" s="2"/>
      <c r="X13" s="2"/>
      <c r="Y13" s="2"/>
      <c r="Z13" s="6"/>
    </row>
    <row r="14" spans="1:26" s="23" customFormat="1" x14ac:dyDescent="0.3">
      <c r="A14" s="10"/>
      <c r="B14" s="25" t="s">
        <v>257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3">
      <c r="A15" s="9"/>
      <c r="B15" s="10"/>
      <c r="C15" s="10"/>
      <c r="D15" s="2"/>
      <c r="E15" s="2"/>
      <c r="F15" s="6"/>
      <c r="G15" s="2"/>
      <c r="H15" s="2"/>
      <c r="I15" s="2"/>
      <c r="J15" s="6"/>
      <c r="K15" s="2"/>
      <c r="L15" s="2"/>
      <c r="M15" s="2"/>
      <c r="N15" s="6"/>
      <c r="O15" s="10"/>
      <c r="P15" s="2"/>
      <c r="Q15" s="2"/>
      <c r="R15" s="6"/>
      <c r="S15" s="2"/>
      <c r="T15" s="2"/>
      <c r="U15" s="2"/>
      <c r="V15" s="6"/>
      <c r="W15" s="2"/>
      <c r="X15" s="2"/>
      <c r="Y15" s="2"/>
      <c r="Z15" s="6"/>
    </row>
    <row r="16" spans="1:26" s="23" customFormat="1" x14ac:dyDescent="0.3">
      <c r="A16" s="10"/>
      <c r="B16" s="26" t="s">
        <v>108</v>
      </c>
      <c r="C16" s="26"/>
      <c r="D16" s="21">
        <f>D12-D14</f>
        <v>0</v>
      </c>
      <c r="E16" s="13"/>
      <c r="F16" s="22">
        <f>IF(D$12=0,0,D16/D$12)</f>
        <v>0</v>
      </c>
      <c r="G16" s="13"/>
      <c r="H16" s="21">
        <f>H12-H14</f>
        <v>0</v>
      </c>
      <c r="I16" s="13"/>
      <c r="J16" s="22">
        <f>IF(H$12=0,0,H16/H$12)</f>
        <v>0</v>
      </c>
      <c r="K16" s="16"/>
      <c r="L16" s="21">
        <f>+D16-H16</f>
        <v>0</v>
      </c>
      <c r="M16" s="16"/>
      <c r="N16" s="22">
        <f>IF(H16=0,0,L16/H16)</f>
        <v>0</v>
      </c>
      <c r="O16" s="25"/>
      <c r="P16" s="21">
        <f>P12-P14</f>
        <v>0</v>
      </c>
      <c r="Q16" s="13"/>
      <c r="R16" s="22">
        <f>IF(P$12=0,0,P16/P$12)</f>
        <v>0</v>
      </c>
      <c r="S16" s="13"/>
      <c r="T16" s="21">
        <f>T12-T14</f>
        <v>0</v>
      </c>
      <c r="U16" s="13"/>
      <c r="V16" s="22">
        <f>IF(T$12=0,0,T16/T$12)</f>
        <v>0</v>
      </c>
      <c r="W16" s="16"/>
      <c r="X16" s="21">
        <f>+P16-T16</f>
        <v>0</v>
      </c>
      <c r="Y16" s="16"/>
      <c r="Z16" s="22">
        <f>IF(T16=0,0,X16/T16)</f>
        <v>0</v>
      </c>
    </row>
    <row r="17" spans="1:26" x14ac:dyDescent="0.3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3">
      <c r="A18" s="10"/>
      <c r="B18" s="25" t="s">
        <v>295</v>
      </c>
      <c r="C18" s="10"/>
      <c r="D18" s="20">
        <f>SUM(OSRRefD22x_0)</f>
        <v>41498.81</v>
      </c>
      <c r="E18" s="20"/>
      <c r="F18" s="32">
        <f t="shared" ref="F18:F29" si="0">IF(D$12=0,0,D18/D$12)</f>
        <v>0</v>
      </c>
      <c r="G18" s="20"/>
      <c r="H18" s="20">
        <f>SUM(OSRRefH22x_0)</f>
        <v>117734.36837115386</v>
      </c>
      <c r="I18" s="20"/>
      <c r="J18" s="32">
        <f t="shared" ref="J18:J29" si="1">IF(H$12=0,0,H18/H$12)</f>
        <v>0</v>
      </c>
      <c r="K18" s="4"/>
      <c r="L18" s="20">
        <f t="shared" ref="L18:L29" si="2">+D18-H18</f>
        <v>-76235.558371153864</v>
      </c>
      <c r="M18" s="4"/>
      <c r="N18" s="32">
        <f t="shared" ref="N18:N29" si="3">IF(H18=0,0,L18/H18)</f>
        <v>-0.64752170012772892</v>
      </c>
      <c r="O18" s="10"/>
      <c r="P18" s="20">
        <f>SUM(OSRRefP22x_0)</f>
        <v>41498.81</v>
      </c>
      <c r="Q18" s="20"/>
      <c r="R18" s="32">
        <f t="shared" ref="R18:R29" si="4">IF(P$12=0,0,P18/P$12)</f>
        <v>0</v>
      </c>
      <c r="S18" s="20"/>
      <c r="T18" s="20">
        <f>SUM(OSRRefT22x_0)</f>
        <v>117734.36837115386</v>
      </c>
      <c r="U18" s="20"/>
      <c r="V18" s="32">
        <f t="shared" ref="V18:V29" si="5">IF(T$12=0,0,T18/T$12)</f>
        <v>0</v>
      </c>
      <c r="W18" s="4"/>
      <c r="X18" s="20">
        <f t="shared" ref="X18:X29" si="6">+P18-T18</f>
        <v>-76235.558371153864</v>
      </c>
      <c r="Y18" s="4"/>
      <c r="Z18" s="32">
        <f t="shared" ref="Z18:Z29" si="7">IF(T18=0,0,X18/T18)</f>
        <v>-0.64752170012772892</v>
      </c>
    </row>
    <row r="19" spans="1:26" s="27" customFormat="1" outlineLevel="1" collapsed="1" x14ac:dyDescent="0.3">
      <c r="A19" s="28"/>
      <c r="B19" s="14" t="str">
        <f>CONCATENATE("     ","*Benefits                                         ")</f>
        <v xml:space="preserve">     *Benefits                                         </v>
      </c>
      <c r="C19" s="14"/>
      <c r="D19" s="1">
        <f>SUM(OSRRefD22_0x_0)</f>
        <v>16794.339999999997</v>
      </c>
      <c r="E19" s="1"/>
      <c r="F19" s="5">
        <f t="shared" si="0"/>
        <v>0</v>
      </c>
      <c r="G19" s="1"/>
      <c r="H19" s="1">
        <f>SUM(OSRRefH22_0x_0)</f>
        <v>36725.341448076957</v>
      </c>
      <c r="I19" s="1"/>
      <c r="J19" s="5">
        <f t="shared" si="1"/>
        <v>0</v>
      </c>
      <c r="K19" s="1"/>
      <c r="L19" s="1">
        <f t="shared" si="2"/>
        <v>-19931.001448076961</v>
      </c>
      <c r="M19" s="1"/>
      <c r="N19" s="5">
        <f t="shared" si="3"/>
        <v>-0.54270431974760047</v>
      </c>
      <c r="O19" s="14"/>
      <c r="P19" s="1">
        <f>SUM(OSRRefP22_0x_0)</f>
        <v>16794.339999999997</v>
      </c>
      <c r="Q19" s="1"/>
      <c r="R19" s="5">
        <f t="shared" si="4"/>
        <v>0</v>
      </c>
      <c r="S19" s="1"/>
      <c r="T19" s="1">
        <f>SUM(OSRRefT22_0x_0)</f>
        <v>36725.341448076957</v>
      </c>
      <c r="U19" s="1"/>
      <c r="V19" s="5">
        <f t="shared" si="5"/>
        <v>0</v>
      </c>
      <c r="W19" s="1"/>
      <c r="X19" s="1">
        <f t="shared" si="6"/>
        <v>-19931.001448076961</v>
      </c>
      <c r="Y19" s="1"/>
      <c r="Z19" s="5">
        <f t="shared" si="7"/>
        <v>-0.54270431974760047</v>
      </c>
    </row>
    <row r="20" spans="1:26" s="24" customFormat="1" hidden="1" outlineLevel="2" x14ac:dyDescent="0.3">
      <c r="A20" s="29"/>
      <c r="B20" s="11" t="str">
        <f>CONCATENATE("          ", "6111", " - ", "F.I.C.A.")</f>
        <v xml:space="preserve">          6111 - F.I.C.A.</v>
      </c>
      <c r="C20" s="11"/>
      <c r="D20" s="8">
        <v>1369.22</v>
      </c>
      <c r="E20" s="3"/>
      <c r="F20" s="7">
        <f t="shared" si="0"/>
        <v>0</v>
      </c>
      <c r="G20" s="3"/>
      <c r="H20" s="8">
        <v>4799.3287557692302</v>
      </c>
      <c r="I20" s="3"/>
      <c r="J20" s="7">
        <f t="shared" si="1"/>
        <v>0</v>
      </c>
      <c r="K20" s="3"/>
      <c r="L20" s="8">
        <f t="shared" si="2"/>
        <v>-3430.1087557692299</v>
      </c>
      <c r="M20" s="3"/>
      <c r="N20" s="7">
        <f t="shared" si="3"/>
        <v>-0.71470593708462393</v>
      </c>
      <c r="O20" s="11"/>
      <c r="P20" s="8">
        <v>1369.22</v>
      </c>
      <c r="Q20" s="3"/>
      <c r="R20" s="7">
        <f t="shared" si="4"/>
        <v>0</v>
      </c>
      <c r="S20" s="3"/>
      <c r="T20" s="8">
        <v>4799.3287557692302</v>
      </c>
      <c r="U20" s="3"/>
      <c r="V20" s="7">
        <f t="shared" si="5"/>
        <v>0</v>
      </c>
      <c r="W20" s="3"/>
      <c r="X20" s="8">
        <f t="shared" si="6"/>
        <v>-3430.1087557692299</v>
      </c>
      <c r="Y20" s="3"/>
      <c r="Z20" s="7">
        <f t="shared" si="7"/>
        <v>-0.71470593708462393</v>
      </c>
    </row>
    <row r="21" spans="1:26" s="24" customFormat="1" hidden="1" outlineLevel="2" x14ac:dyDescent="0.3">
      <c r="A21" s="29"/>
      <c r="B21" s="11" t="str">
        <f>CONCATENATE("          ", "6112", " - ", "COMPENSATION INSURANCE")</f>
        <v xml:space="preserve">          6112 - COMPENSATION INSURANCE</v>
      </c>
      <c r="C21" s="11"/>
      <c r="D21" s="8">
        <v>643.47</v>
      </c>
      <c r="E21" s="3"/>
      <c r="F21" s="7">
        <f t="shared" si="0"/>
        <v>0</v>
      </c>
      <c r="G21" s="3"/>
      <c r="H21" s="8">
        <v>2376.7745961538499</v>
      </c>
      <c r="I21" s="3"/>
      <c r="J21" s="7">
        <f t="shared" si="1"/>
        <v>0</v>
      </c>
      <c r="K21" s="3"/>
      <c r="L21" s="8">
        <f t="shared" si="2"/>
        <v>-1733.3045961538498</v>
      </c>
      <c r="M21" s="3"/>
      <c r="N21" s="7">
        <f t="shared" si="3"/>
        <v>-0.72926755400311094</v>
      </c>
      <c r="O21" s="11"/>
      <c r="P21" s="8">
        <v>643.47</v>
      </c>
      <c r="Q21" s="3"/>
      <c r="R21" s="7">
        <f t="shared" si="4"/>
        <v>0</v>
      </c>
      <c r="S21" s="3"/>
      <c r="T21" s="8">
        <v>2376.7745961538499</v>
      </c>
      <c r="U21" s="3"/>
      <c r="V21" s="7">
        <f t="shared" si="5"/>
        <v>0</v>
      </c>
      <c r="W21" s="3"/>
      <c r="X21" s="8">
        <f t="shared" si="6"/>
        <v>-1733.3045961538498</v>
      </c>
      <c r="Y21" s="3"/>
      <c r="Z21" s="7">
        <f t="shared" si="7"/>
        <v>-0.72926755400311094</v>
      </c>
    </row>
    <row r="22" spans="1:26" s="24" customFormat="1" hidden="1" outlineLevel="2" x14ac:dyDescent="0.3">
      <c r="A22" s="29"/>
      <c r="B22" s="11" t="str">
        <f>CONCATENATE("          ", "6113", " - ", "GROUP INSURANCE")</f>
        <v xml:space="preserve">          6113 - GROUP INSURANCE</v>
      </c>
      <c r="C22" s="11"/>
      <c r="D22" s="8">
        <v>10588.88</v>
      </c>
      <c r="E22" s="3"/>
      <c r="F22" s="7">
        <f t="shared" si="0"/>
        <v>0</v>
      </c>
      <c r="G22" s="3"/>
      <c r="H22" s="8">
        <v>23715.230769230799</v>
      </c>
      <c r="I22" s="3"/>
      <c r="J22" s="7">
        <f t="shared" si="1"/>
        <v>0</v>
      </c>
      <c r="K22" s="3"/>
      <c r="L22" s="8">
        <f t="shared" si="2"/>
        <v>-13126.350769230799</v>
      </c>
      <c r="M22" s="3"/>
      <c r="N22" s="7">
        <f t="shared" si="3"/>
        <v>-0.55349875769547707</v>
      </c>
      <c r="O22" s="11"/>
      <c r="P22" s="8">
        <v>10588.88</v>
      </c>
      <c r="Q22" s="3"/>
      <c r="R22" s="7">
        <f t="shared" si="4"/>
        <v>0</v>
      </c>
      <c r="S22" s="3"/>
      <c r="T22" s="8">
        <v>23715.230769230799</v>
      </c>
      <c r="U22" s="3"/>
      <c r="V22" s="7">
        <f t="shared" si="5"/>
        <v>0</v>
      </c>
      <c r="W22" s="3"/>
      <c r="X22" s="8">
        <f t="shared" si="6"/>
        <v>-13126.350769230799</v>
      </c>
      <c r="Y22" s="3"/>
      <c r="Z22" s="7">
        <f t="shared" si="7"/>
        <v>-0.55349875769547707</v>
      </c>
    </row>
    <row r="23" spans="1:26" s="24" customFormat="1" hidden="1" outlineLevel="2" x14ac:dyDescent="0.3">
      <c r="A23" s="29"/>
      <c r="B23" s="11" t="str">
        <f>CONCATENATE("          ", "6114", " - ", "STATE UNEMPLOYMENT INSURANCE")</f>
        <v xml:space="preserve">          6114 - STATE UNEMPLOYMENT INSURANCE</v>
      </c>
      <c r="C23" s="11"/>
      <c r="D23" s="8">
        <v>46.47</v>
      </c>
      <c r="E23" s="3"/>
      <c r="F23" s="7">
        <f t="shared" si="0"/>
        <v>0</v>
      </c>
      <c r="G23" s="3"/>
      <c r="H23" s="8">
        <v>131.69463461538501</v>
      </c>
      <c r="I23" s="3"/>
      <c r="J23" s="7">
        <f t="shared" si="1"/>
        <v>0</v>
      </c>
      <c r="K23" s="3"/>
      <c r="L23" s="8">
        <f t="shared" si="2"/>
        <v>-85.224634615385014</v>
      </c>
      <c r="M23" s="3"/>
      <c r="N23" s="7">
        <f t="shared" si="3"/>
        <v>-0.64713824419866517</v>
      </c>
      <c r="O23" s="11"/>
      <c r="P23" s="8">
        <v>46.47</v>
      </c>
      <c r="Q23" s="3"/>
      <c r="R23" s="7">
        <f t="shared" si="4"/>
        <v>0</v>
      </c>
      <c r="S23" s="3"/>
      <c r="T23" s="8">
        <v>131.69463461538501</v>
      </c>
      <c r="U23" s="3"/>
      <c r="V23" s="7">
        <f t="shared" si="5"/>
        <v>0</v>
      </c>
      <c r="W23" s="3"/>
      <c r="X23" s="8">
        <f t="shared" si="6"/>
        <v>-85.224634615385014</v>
      </c>
      <c r="Y23" s="3"/>
      <c r="Z23" s="7">
        <f t="shared" si="7"/>
        <v>-0.64713824419866517</v>
      </c>
    </row>
    <row r="24" spans="1:26" s="24" customFormat="1" hidden="1" outlineLevel="2" x14ac:dyDescent="0.3">
      <c r="A24" s="29"/>
      <c r="B24" s="11" t="str">
        <f>CONCATENATE("          ", "6115", " - ", "P.E.R.S.")</f>
        <v xml:space="preserve">          6115 - P.E.R.S.</v>
      </c>
      <c r="C24" s="11"/>
      <c r="D24" s="8">
        <v>935.58</v>
      </c>
      <c r="E24" s="3"/>
      <c r="F24" s="7">
        <f t="shared" si="0"/>
        <v>0</v>
      </c>
      <c r="G24" s="3"/>
      <c r="H24" s="8">
        <v>1557.60884615385</v>
      </c>
      <c r="I24" s="3"/>
      <c r="J24" s="7">
        <f t="shared" si="1"/>
        <v>0</v>
      </c>
      <c r="K24" s="3"/>
      <c r="L24" s="8">
        <f t="shared" si="2"/>
        <v>-622.02884615384994</v>
      </c>
      <c r="M24" s="3"/>
      <c r="N24" s="7">
        <f t="shared" si="3"/>
        <v>-0.39934855768815414</v>
      </c>
      <c r="O24" s="11"/>
      <c r="P24" s="8">
        <v>935.58</v>
      </c>
      <c r="Q24" s="3"/>
      <c r="R24" s="7">
        <f t="shared" si="4"/>
        <v>0</v>
      </c>
      <c r="S24" s="3"/>
      <c r="T24" s="8">
        <v>1557.60884615385</v>
      </c>
      <c r="U24" s="3"/>
      <c r="V24" s="7">
        <f t="shared" si="5"/>
        <v>0</v>
      </c>
      <c r="W24" s="3"/>
      <c r="X24" s="8">
        <f t="shared" si="6"/>
        <v>-622.02884615384994</v>
      </c>
      <c r="Y24" s="3"/>
      <c r="Z24" s="7">
        <f t="shared" si="7"/>
        <v>-0.39934855768815414</v>
      </c>
    </row>
    <row r="25" spans="1:26" s="24" customFormat="1" hidden="1" outlineLevel="2" x14ac:dyDescent="0.3">
      <c r="A25" s="29"/>
      <c r="B25" s="11" t="str">
        <f>CONCATENATE("          ", "6116", " - ", "EDUCATIONAL BENEFITS")</f>
        <v xml:space="preserve">          6116 - EDUCATIONAL BENEFITS</v>
      </c>
      <c r="C25" s="11"/>
      <c r="D25" s="8"/>
      <c r="E25" s="3"/>
      <c r="F25" s="7">
        <f t="shared" si="0"/>
        <v>0</v>
      </c>
      <c r="G25" s="3"/>
      <c r="H25" s="8">
        <v>0</v>
      </c>
      <c r="I25" s="3"/>
      <c r="J25" s="7">
        <f t="shared" si="1"/>
        <v>0</v>
      </c>
      <c r="K25" s="3"/>
      <c r="L25" s="8">
        <f t="shared" si="2"/>
        <v>0</v>
      </c>
      <c r="M25" s="3"/>
      <c r="N25" s="7">
        <f t="shared" si="3"/>
        <v>0</v>
      </c>
      <c r="O25" s="11"/>
      <c r="P25" s="8"/>
      <c r="Q25" s="3"/>
      <c r="R25" s="7">
        <f t="shared" si="4"/>
        <v>0</v>
      </c>
      <c r="S25" s="3"/>
      <c r="T25" s="8">
        <v>0</v>
      </c>
      <c r="U25" s="3"/>
      <c r="V25" s="7">
        <f t="shared" si="5"/>
        <v>0</v>
      </c>
      <c r="W25" s="3"/>
      <c r="X25" s="8">
        <f t="shared" si="6"/>
        <v>0</v>
      </c>
      <c r="Y25" s="3"/>
      <c r="Z25" s="7">
        <f t="shared" si="7"/>
        <v>0</v>
      </c>
    </row>
    <row r="26" spans="1:26" s="24" customFormat="1" hidden="1" outlineLevel="2" x14ac:dyDescent="0.3">
      <c r="A26" s="29"/>
      <c r="B26" s="11" t="str">
        <f>CONCATENATE("          ", "6117", " - ", "RETIREMENT STAFF HOURLY")</f>
        <v xml:space="preserve">          6117 - RETIREMENT STAFF HOURLY</v>
      </c>
      <c r="C26" s="11"/>
      <c r="D26" s="8">
        <v>346.42</v>
      </c>
      <c r="E26" s="3"/>
      <c r="F26" s="7">
        <f t="shared" si="0"/>
        <v>0</v>
      </c>
      <c r="G26" s="3"/>
      <c r="H26" s="8"/>
      <c r="I26" s="3"/>
      <c r="J26" s="7">
        <f t="shared" si="1"/>
        <v>0</v>
      </c>
      <c r="K26" s="3"/>
      <c r="L26" s="8">
        <f t="shared" si="2"/>
        <v>346.42</v>
      </c>
      <c r="M26" s="3"/>
      <c r="N26" s="7">
        <f t="shared" si="3"/>
        <v>0</v>
      </c>
      <c r="O26" s="11"/>
      <c r="P26" s="8">
        <v>346.42</v>
      </c>
      <c r="Q26" s="3"/>
      <c r="R26" s="7">
        <f t="shared" si="4"/>
        <v>0</v>
      </c>
      <c r="S26" s="3"/>
      <c r="T26" s="8"/>
      <c r="U26" s="3"/>
      <c r="V26" s="7">
        <f t="shared" si="5"/>
        <v>0</v>
      </c>
      <c r="W26" s="3"/>
      <c r="X26" s="8">
        <f t="shared" si="6"/>
        <v>346.42</v>
      </c>
      <c r="Y26" s="3"/>
      <c r="Z26" s="7">
        <f t="shared" si="7"/>
        <v>0</v>
      </c>
    </row>
    <row r="27" spans="1:26" s="24" customFormat="1" hidden="1" outlineLevel="2" x14ac:dyDescent="0.3">
      <c r="A27" s="29"/>
      <c r="B27" s="11" t="str">
        <f>CONCATENATE("          ", "6118", " - ", "VACATION")</f>
        <v xml:space="preserve">          6118 - VACATION</v>
      </c>
      <c r="C27" s="11"/>
      <c r="D27" s="8">
        <v>1447.81</v>
      </c>
      <c r="E27" s="3"/>
      <c r="F27" s="7">
        <f t="shared" si="0"/>
        <v>0</v>
      </c>
      <c r="G27" s="3"/>
      <c r="H27" s="8">
        <v>2263.3519230769198</v>
      </c>
      <c r="I27" s="3"/>
      <c r="J27" s="7">
        <f t="shared" si="1"/>
        <v>0</v>
      </c>
      <c r="K27" s="3"/>
      <c r="L27" s="8">
        <f t="shared" si="2"/>
        <v>-815.54192307691983</v>
      </c>
      <c r="M27" s="3"/>
      <c r="N27" s="7">
        <f t="shared" si="3"/>
        <v>-0.36032484155987071</v>
      </c>
      <c r="O27" s="11"/>
      <c r="P27" s="8">
        <v>1447.81</v>
      </c>
      <c r="Q27" s="3"/>
      <c r="R27" s="7">
        <f t="shared" si="4"/>
        <v>0</v>
      </c>
      <c r="S27" s="3"/>
      <c r="T27" s="8">
        <v>2263.3519230769198</v>
      </c>
      <c r="U27" s="3"/>
      <c r="V27" s="7">
        <f t="shared" si="5"/>
        <v>0</v>
      </c>
      <c r="W27" s="3"/>
      <c r="X27" s="8">
        <f t="shared" si="6"/>
        <v>-815.54192307691983</v>
      </c>
      <c r="Y27" s="3"/>
      <c r="Z27" s="7">
        <f t="shared" si="7"/>
        <v>-0.36032484155987071</v>
      </c>
    </row>
    <row r="28" spans="1:26" s="24" customFormat="1" hidden="1" outlineLevel="2" x14ac:dyDescent="0.3">
      <c r="A28" s="29"/>
      <c r="B28" s="11" t="str">
        <f>CONCATENATE("          ", "6119", " - ", "SICK LEAVE")</f>
        <v xml:space="preserve">          6119 - SICK LEAVE</v>
      </c>
      <c r="C28" s="11"/>
      <c r="D28" s="8">
        <v>850.14</v>
      </c>
      <c r="E28" s="3"/>
      <c r="F28" s="7">
        <f t="shared" si="0"/>
        <v>0</v>
      </c>
      <c r="G28" s="3"/>
      <c r="H28" s="8">
        <v>1881.35192307692</v>
      </c>
      <c r="I28" s="3"/>
      <c r="J28" s="7">
        <f t="shared" si="1"/>
        <v>0</v>
      </c>
      <c r="K28" s="3"/>
      <c r="L28" s="8">
        <f t="shared" si="2"/>
        <v>-1031.2119230769199</v>
      </c>
      <c r="M28" s="3"/>
      <c r="N28" s="7">
        <f t="shared" si="3"/>
        <v>-0.54812282084384822</v>
      </c>
      <c r="O28" s="11"/>
      <c r="P28" s="8">
        <v>850.14</v>
      </c>
      <c r="Q28" s="3"/>
      <c r="R28" s="7">
        <f t="shared" si="4"/>
        <v>0</v>
      </c>
      <c r="S28" s="3"/>
      <c r="T28" s="8">
        <v>1881.35192307692</v>
      </c>
      <c r="U28" s="3"/>
      <c r="V28" s="7">
        <f t="shared" si="5"/>
        <v>0</v>
      </c>
      <c r="W28" s="3"/>
      <c r="X28" s="8">
        <f t="shared" si="6"/>
        <v>-1031.2119230769199</v>
      </c>
      <c r="Y28" s="3"/>
      <c r="Z28" s="7">
        <f t="shared" si="7"/>
        <v>-0.54812282084384822</v>
      </c>
    </row>
    <row r="29" spans="1:26" s="24" customFormat="1" hidden="1" outlineLevel="2" x14ac:dyDescent="0.3">
      <c r="A29" s="29"/>
      <c r="B29" s="11" t="str">
        <f>CONCATENATE("          ", "6156", " - ", "EMPLOYEE MEALS")</f>
        <v xml:space="preserve">          6156 - EMPLOYEE MEALS</v>
      </c>
      <c r="C29" s="11"/>
      <c r="D29" s="8">
        <v>566.35</v>
      </c>
      <c r="E29" s="3"/>
      <c r="F29" s="7">
        <f t="shared" si="0"/>
        <v>0</v>
      </c>
      <c r="G29" s="3"/>
      <c r="H29" s="8"/>
      <c r="I29" s="3"/>
      <c r="J29" s="7">
        <f t="shared" si="1"/>
        <v>0</v>
      </c>
      <c r="K29" s="3"/>
      <c r="L29" s="8">
        <f t="shared" si="2"/>
        <v>566.35</v>
      </c>
      <c r="M29" s="3"/>
      <c r="N29" s="7">
        <f t="shared" si="3"/>
        <v>0</v>
      </c>
      <c r="O29" s="11"/>
      <c r="P29" s="8">
        <v>566.35</v>
      </c>
      <c r="Q29" s="3"/>
      <c r="R29" s="7">
        <f t="shared" si="4"/>
        <v>0</v>
      </c>
      <c r="S29" s="3"/>
      <c r="T29" s="8"/>
      <c r="U29" s="3"/>
      <c r="V29" s="7">
        <f t="shared" si="5"/>
        <v>0</v>
      </c>
      <c r="W29" s="3"/>
      <c r="X29" s="8">
        <f t="shared" si="6"/>
        <v>566.35</v>
      </c>
      <c r="Y29" s="3"/>
      <c r="Z29" s="7">
        <f t="shared" si="7"/>
        <v>0</v>
      </c>
    </row>
    <row r="30" spans="1:26" s="27" customFormat="1" outlineLevel="1" collapsed="1" x14ac:dyDescent="0.3">
      <c r="A30" s="28"/>
      <c r="B30" s="14" t="str">
        <f>CONCATENATE("     ","*Payroll                                          ")</f>
        <v xml:space="preserve">     *Payroll                                          </v>
      </c>
      <c r="C30" s="14"/>
      <c r="D30" s="1">
        <f>SUM(OSRRefD22_1x_0)</f>
        <v>18875.27</v>
      </c>
      <c r="E30" s="1"/>
      <c r="F30" s="5">
        <f t="shared" ref="F30:F40" si="8">IF(D$12=0,0,D30/D$12)</f>
        <v>0</v>
      </c>
      <c r="G30" s="1"/>
      <c r="H30" s="1">
        <f>SUM(OSRRefH22_1x_0)</f>
        <v>58873.026923076904</v>
      </c>
      <c r="I30" s="1"/>
      <c r="J30" s="5">
        <f t="shared" ref="J30:J40" si="9">IF(H$12=0,0,H30/H$12)</f>
        <v>0</v>
      </c>
      <c r="K30" s="1"/>
      <c r="L30" s="1">
        <f t="shared" ref="L30:L40" si="10">+D30-H30</f>
        <v>-39997.7569230769</v>
      </c>
      <c r="M30" s="1"/>
      <c r="N30" s="5">
        <f t="shared" ref="N30:N40" si="11">IF(H30=0,0,L30/H30)</f>
        <v>-0.67939018959119768</v>
      </c>
      <c r="O30" s="14"/>
      <c r="P30" s="1">
        <f>SUM(OSRRefP22_1x_0)</f>
        <v>18875.27</v>
      </c>
      <c r="Q30" s="1"/>
      <c r="R30" s="5">
        <f t="shared" ref="R30:R40" si="12">IF(P$12=0,0,P30/P$12)</f>
        <v>0</v>
      </c>
      <c r="S30" s="1"/>
      <c r="T30" s="1">
        <f>SUM(OSRRefT22_1x_0)</f>
        <v>58873.026923076904</v>
      </c>
      <c r="U30" s="1"/>
      <c r="V30" s="5">
        <f t="shared" ref="V30:V40" si="13">IF(T$12=0,0,T30/T$12)</f>
        <v>0</v>
      </c>
      <c r="W30" s="1"/>
      <c r="X30" s="1">
        <f t="shared" ref="X30:X40" si="14">+P30-T30</f>
        <v>-39997.7569230769</v>
      </c>
      <c r="Y30" s="1"/>
      <c r="Z30" s="5">
        <f t="shared" ref="Z30:Z40" si="15">IF(T30=0,0,X30/T30)</f>
        <v>-0.67939018959119768</v>
      </c>
    </row>
    <row r="31" spans="1:26" s="24" customFormat="1" hidden="1" outlineLevel="2" x14ac:dyDescent="0.3">
      <c r="A31" s="29"/>
      <c r="B31" s="11" t="str">
        <f>CONCATENATE("          ", "6001", " - ", "ADMINISTRATIVE SALARIES")</f>
        <v xml:space="preserve">          6001 - ADMINISTRATIVE SALARIES</v>
      </c>
      <c r="C31" s="11"/>
      <c r="D31" s="8"/>
      <c r="E31" s="3"/>
      <c r="F31" s="7">
        <f t="shared" si="8"/>
        <v>0</v>
      </c>
      <c r="G31" s="3"/>
      <c r="H31" s="8">
        <v>0</v>
      </c>
      <c r="I31" s="3"/>
      <c r="J31" s="7">
        <f t="shared" si="9"/>
        <v>0</v>
      </c>
      <c r="K31" s="3"/>
      <c r="L31" s="8">
        <f t="shared" si="10"/>
        <v>0</v>
      </c>
      <c r="M31" s="3"/>
      <c r="N31" s="7">
        <f t="shared" si="11"/>
        <v>0</v>
      </c>
      <c r="O31" s="11"/>
      <c r="P31" s="8"/>
      <c r="Q31" s="3"/>
      <c r="R31" s="7">
        <f t="shared" si="12"/>
        <v>0</v>
      </c>
      <c r="S31" s="3"/>
      <c r="T31" s="8">
        <v>0</v>
      </c>
      <c r="U31" s="3"/>
      <c r="V31" s="7">
        <f t="shared" si="13"/>
        <v>0</v>
      </c>
      <c r="W31" s="3"/>
      <c r="X31" s="8">
        <f t="shared" si="14"/>
        <v>0</v>
      </c>
      <c r="Y31" s="3"/>
      <c r="Z31" s="7">
        <f t="shared" si="15"/>
        <v>0</v>
      </c>
    </row>
    <row r="32" spans="1:26" s="24" customFormat="1" hidden="1" outlineLevel="2" x14ac:dyDescent="0.3">
      <c r="A32" s="29"/>
      <c r="B32" s="11" t="str">
        <f>CONCATENATE("          ", "6002", " - ", "STAFF SALARIES")</f>
        <v xml:space="preserve">          6002 - STAFF SALARIES</v>
      </c>
      <c r="C32" s="11"/>
      <c r="D32" s="8">
        <v>10229.52</v>
      </c>
      <c r="E32" s="3"/>
      <c r="F32" s="7">
        <f t="shared" si="8"/>
        <v>0</v>
      </c>
      <c r="G32" s="3"/>
      <c r="H32" s="8">
        <v>17025.026923076901</v>
      </c>
      <c r="I32" s="3"/>
      <c r="J32" s="7">
        <f t="shared" si="9"/>
        <v>0</v>
      </c>
      <c r="K32" s="3"/>
      <c r="L32" s="8">
        <f t="shared" si="10"/>
        <v>-6795.5069230769004</v>
      </c>
      <c r="M32" s="3"/>
      <c r="N32" s="7">
        <f t="shared" si="11"/>
        <v>-0.39914808674198332</v>
      </c>
      <c r="O32" s="11"/>
      <c r="P32" s="8">
        <v>10229.52</v>
      </c>
      <c r="Q32" s="3"/>
      <c r="R32" s="7">
        <f t="shared" si="12"/>
        <v>0</v>
      </c>
      <c r="S32" s="3"/>
      <c r="T32" s="8">
        <v>17025.026923076901</v>
      </c>
      <c r="U32" s="3"/>
      <c r="V32" s="7">
        <f t="shared" si="13"/>
        <v>0</v>
      </c>
      <c r="W32" s="3"/>
      <c r="X32" s="8">
        <f t="shared" si="14"/>
        <v>-6795.5069230769004</v>
      </c>
      <c r="Y32" s="3"/>
      <c r="Z32" s="7">
        <f t="shared" si="15"/>
        <v>-0.39914808674198332</v>
      </c>
    </row>
    <row r="33" spans="1:26" s="24" customFormat="1" hidden="1" outlineLevel="2" x14ac:dyDescent="0.3">
      <c r="A33" s="29"/>
      <c r="B33" s="11" t="str">
        <f>CONCATENATE("          ", "6003", " - ", "STAFF HOURLY-9 MONTH")</f>
        <v xml:space="preserve">          6003 - STAFF HOURLY-9 MONTH</v>
      </c>
      <c r="C33" s="11"/>
      <c r="D33" s="8"/>
      <c r="E33" s="3"/>
      <c r="F33" s="7">
        <f t="shared" si="8"/>
        <v>0</v>
      </c>
      <c r="G33" s="3"/>
      <c r="H33" s="8">
        <v>0</v>
      </c>
      <c r="I33" s="3"/>
      <c r="J33" s="7">
        <f t="shared" si="9"/>
        <v>0</v>
      </c>
      <c r="K33" s="3"/>
      <c r="L33" s="8">
        <f t="shared" si="10"/>
        <v>0</v>
      </c>
      <c r="M33" s="3"/>
      <c r="N33" s="7">
        <f t="shared" si="11"/>
        <v>0</v>
      </c>
      <c r="O33" s="11"/>
      <c r="P33" s="8"/>
      <c r="Q33" s="3"/>
      <c r="R33" s="7">
        <f t="shared" si="12"/>
        <v>0</v>
      </c>
      <c r="S33" s="3"/>
      <c r="T33" s="8">
        <v>0</v>
      </c>
      <c r="U33" s="3"/>
      <c r="V33" s="7">
        <f t="shared" si="13"/>
        <v>0</v>
      </c>
      <c r="W33" s="3"/>
      <c r="X33" s="8">
        <f t="shared" si="14"/>
        <v>0</v>
      </c>
      <c r="Y33" s="3"/>
      <c r="Z33" s="7">
        <f t="shared" si="15"/>
        <v>0</v>
      </c>
    </row>
    <row r="34" spans="1:26" s="24" customFormat="1" hidden="1" outlineLevel="2" x14ac:dyDescent="0.3">
      <c r="A34" s="29"/>
      <c r="B34" s="11" t="str">
        <f>CONCATENATE("          ", "6004", " - ", "STAFF HOURLY")</f>
        <v xml:space="preserve">          6004 - STAFF HOURLY</v>
      </c>
      <c r="C34" s="11"/>
      <c r="D34" s="8">
        <v>7226.75</v>
      </c>
      <c r="E34" s="3"/>
      <c r="F34" s="7">
        <f t="shared" si="8"/>
        <v>0</v>
      </c>
      <c r="G34" s="3"/>
      <c r="H34" s="8">
        <v>41848</v>
      </c>
      <c r="I34" s="3"/>
      <c r="J34" s="7">
        <f t="shared" si="9"/>
        <v>0</v>
      </c>
      <c r="K34" s="3"/>
      <c r="L34" s="8">
        <f t="shared" si="10"/>
        <v>-34621.25</v>
      </c>
      <c r="M34" s="3"/>
      <c r="N34" s="7">
        <f t="shared" si="11"/>
        <v>-0.82730954884343333</v>
      </c>
      <c r="O34" s="11"/>
      <c r="P34" s="8">
        <v>7226.75</v>
      </c>
      <c r="Q34" s="3"/>
      <c r="R34" s="7">
        <f t="shared" si="12"/>
        <v>0</v>
      </c>
      <c r="S34" s="3"/>
      <c r="T34" s="8">
        <v>41848</v>
      </c>
      <c r="U34" s="3"/>
      <c r="V34" s="7">
        <f t="shared" si="13"/>
        <v>0</v>
      </c>
      <c r="W34" s="3"/>
      <c r="X34" s="8">
        <f t="shared" si="14"/>
        <v>-34621.25</v>
      </c>
      <c r="Y34" s="3"/>
      <c r="Z34" s="7">
        <f t="shared" si="15"/>
        <v>-0.82730954884343333</v>
      </c>
    </row>
    <row r="35" spans="1:26" s="24" customFormat="1" hidden="1" outlineLevel="2" x14ac:dyDescent="0.3">
      <c r="A35" s="29"/>
      <c r="B35" s="11" t="str">
        <f>CONCATENATE("          ", "6005", " - ", "TEMPORARY WAGES-HOURLY")</f>
        <v xml:space="preserve">          6005 - TEMPORARY WAGES-HOURLY</v>
      </c>
      <c r="C35" s="11"/>
      <c r="D35" s="8"/>
      <c r="E35" s="3"/>
      <c r="F35" s="7">
        <f t="shared" si="8"/>
        <v>0</v>
      </c>
      <c r="G35" s="3"/>
      <c r="H35" s="8">
        <v>0</v>
      </c>
      <c r="I35" s="3"/>
      <c r="J35" s="7">
        <f t="shared" si="9"/>
        <v>0</v>
      </c>
      <c r="K35" s="3"/>
      <c r="L35" s="8">
        <f t="shared" si="10"/>
        <v>0</v>
      </c>
      <c r="M35" s="3"/>
      <c r="N35" s="7">
        <f t="shared" si="11"/>
        <v>0</v>
      </c>
      <c r="O35" s="11"/>
      <c r="P35" s="8"/>
      <c r="Q35" s="3"/>
      <c r="R35" s="7">
        <f t="shared" si="12"/>
        <v>0</v>
      </c>
      <c r="S35" s="3"/>
      <c r="T35" s="8">
        <v>0</v>
      </c>
      <c r="U35" s="3"/>
      <c r="V35" s="7">
        <f t="shared" si="13"/>
        <v>0</v>
      </c>
      <c r="W35" s="3"/>
      <c r="X35" s="8">
        <f t="shared" si="14"/>
        <v>0</v>
      </c>
      <c r="Y35" s="3"/>
      <c r="Z35" s="7">
        <f t="shared" si="15"/>
        <v>0</v>
      </c>
    </row>
    <row r="36" spans="1:26" s="24" customFormat="1" hidden="1" outlineLevel="2" x14ac:dyDescent="0.3">
      <c r="A36" s="29"/>
      <c r="B36" s="11" t="str">
        <f>CONCATENATE("          ", "6006", " - ", "TEMPORARY PART TIME")</f>
        <v xml:space="preserve">          6006 - TEMPORARY PART TIME</v>
      </c>
      <c r="C36" s="11"/>
      <c r="D36" s="8"/>
      <c r="E36" s="3"/>
      <c r="F36" s="7">
        <f t="shared" si="8"/>
        <v>0</v>
      </c>
      <c r="G36" s="3"/>
      <c r="H36" s="8">
        <v>0</v>
      </c>
      <c r="I36" s="3"/>
      <c r="J36" s="7">
        <f t="shared" si="9"/>
        <v>0</v>
      </c>
      <c r="K36" s="3"/>
      <c r="L36" s="8">
        <f t="shared" si="10"/>
        <v>0</v>
      </c>
      <c r="M36" s="3"/>
      <c r="N36" s="7">
        <f t="shared" si="11"/>
        <v>0</v>
      </c>
      <c r="O36" s="11"/>
      <c r="P36" s="8"/>
      <c r="Q36" s="3"/>
      <c r="R36" s="7">
        <f t="shared" si="12"/>
        <v>0</v>
      </c>
      <c r="S36" s="3"/>
      <c r="T36" s="8">
        <v>0</v>
      </c>
      <c r="U36" s="3"/>
      <c r="V36" s="7">
        <f t="shared" si="13"/>
        <v>0</v>
      </c>
      <c r="W36" s="3"/>
      <c r="X36" s="8">
        <f t="shared" si="14"/>
        <v>0</v>
      </c>
      <c r="Y36" s="3"/>
      <c r="Z36" s="7">
        <f t="shared" si="15"/>
        <v>0</v>
      </c>
    </row>
    <row r="37" spans="1:26" s="24" customFormat="1" hidden="1" outlineLevel="2" x14ac:dyDescent="0.3">
      <c r="A37" s="29"/>
      <c r="B37" s="11" t="str">
        <f>CONCATENATE("          ", "6007", " - ", "STUDENT HOURLY")</f>
        <v xml:space="preserve">          6007 - STUDENT HOURLY</v>
      </c>
      <c r="C37" s="11"/>
      <c r="D37" s="8">
        <v>1419</v>
      </c>
      <c r="E37" s="3"/>
      <c r="F37" s="7">
        <f t="shared" si="8"/>
        <v>0</v>
      </c>
      <c r="G37" s="3"/>
      <c r="H37" s="8">
        <v>0</v>
      </c>
      <c r="I37" s="3"/>
      <c r="J37" s="7">
        <f t="shared" si="9"/>
        <v>0</v>
      </c>
      <c r="K37" s="3"/>
      <c r="L37" s="8">
        <f t="shared" si="10"/>
        <v>1419</v>
      </c>
      <c r="M37" s="3"/>
      <c r="N37" s="7">
        <f t="shared" si="11"/>
        <v>0</v>
      </c>
      <c r="O37" s="11"/>
      <c r="P37" s="8">
        <v>1419</v>
      </c>
      <c r="Q37" s="3"/>
      <c r="R37" s="7">
        <f t="shared" si="12"/>
        <v>0</v>
      </c>
      <c r="S37" s="3"/>
      <c r="T37" s="8">
        <v>0</v>
      </c>
      <c r="U37" s="3"/>
      <c r="V37" s="7">
        <f t="shared" si="13"/>
        <v>0</v>
      </c>
      <c r="W37" s="3"/>
      <c r="X37" s="8">
        <f t="shared" si="14"/>
        <v>1419</v>
      </c>
      <c r="Y37" s="3"/>
      <c r="Z37" s="7">
        <f t="shared" si="15"/>
        <v>0</v>
      </c>
    </row>
    <row r="38" spans="1:26" s="24" customFormat="1" hidden="1" outlineLevel="2" x14ac:dyDescent="0.3">
      <c r="A38" s="29"/>
      <c r="B38" s="11" t="str">
        <f>CONCATENATE("          ", "6008", " - ", "STUDENT HOURLY-FICA EXEMPT")</f>
        <v xml:space="preserve">          6008 - STUDENT HOURLY-FICA EXEMPT</v>
      </c>
      <c r="C38" s="11"/>
      <c r="D38" s="8"/>
      <c r="E38" s="3"/>
      <c r="F38" s="7">
        <f t="shared" si="8"/>
        <v>0</v>
      </c>
      <c r="G38" s="3"/>
      <c r="H38" s="8">
        <v>0</v>
      </c>
      <c r="I38" s="3"/>
      <c r="J38" s="7">
        <f t="shared" si="9"/>
        <v>0</v>
      </c>
      <c r="K38" s="3"/>
      <c r="L38" s="8">
        <f t="shared" si="10"/>
        <v>0</v>
      </c>
      <c r="M38" s="3"/>
      <c r="N38" s="7">
        <f t="shared" si="11"/>
        <v>0</v>
      </c>
      <c r="O38" s="11"/>
      <c r="P38" s="8"/>
      <c r="Q38" s="3"/>
      <c r="R38" s="7">
        <f t="shared" si="12"/>
        <v>0</v>
      </c>
      <c r="S38" s="3"/>
      <c r="T38" s="8">
        <v>0</v>
      </c>
      <c r="U38" s="3"/>
      <c r="V38" s="7">
        <f t="shared" si="13"/>
        <v>0</v>
      </c>
      <c r="W38" s="3"/>
      <c r="X38" s="8">
        <f t="shared" si="14"/>
        <v>0</v>
      </c>
      <c r="Y38" s="3"/>
      <c r="Z38" s="7">
        <f t="shared" si="15"/>
        <v>0</v>
      </c>
    </row>
    <row r="39" spans="1:26" s="24" customFormat="1" hidden="1" outlineLevel="2" x14ac:dyDescent="0.3">
      <c r="A39" s="29"/>
      <c r="B39" s="11" t="str">
        <f>CONCATENATE("          ", "6009", " - ", "TEMPORARY-SEASONAL")</f>
        <v xml:space="preserve">          6009 - TEMPORARY-SEASONAL</v>
      </c>
      <c r="C39" s="11"/>
      <c r="D39" s="8"/>
      <c r="E39" s="3"/>
      <c r="F39" s="7">
        <f t="shared" si="8"/>
        <v>0</v>
      </c>
      <c r="G39" s="3"/>
      <c r="H39" s="8">
        <v>0</v>
      </c>
      <c r="I39" s="3"/>
      <c r="J39" s="7">
        <f t="shared" si="9"/>
        <v>0</v>
      </c>
      <c r="K39" s="3"/>
      <c r="L39" s="8">
        <f t="shared" si="10"/>
        <v>0</v>
      </c>
      <c r="M39" s="3"/>
      <c r="N39" s="7">
        <f t="shared" si="11"/>
        <v>0</v>
      </c>
      <c r="O39" s="11"/>
      <c r="P39" s="8"/>
      <c r="Q39" s="3"/>
      <c r="R39" s="7">
        <f t="shared" si="12"/>
        <v>0</v>
      </c>
      <c r="S39" s="3"/>
      <c r="T39" s="8">
        <v>0</v>
      </c>
      <c r="U39" s="3"/>
      <c r="V39" s="7">
        <f t="shared" si="13"/>
        <v>0</v>
      </c>
      <c r="W39" s="3"/>
      <c r="X39" s="8">
        <f t="shared" si="14"/>
        <v>0</v>
      </c>
      <c r="Y39" s="3"/>
      <c r="Z39" s="7">
        <f t="shared" si="15"/>
        <v>0</v>
      </c>
    </row>
    <row r="40" spans="1:26" s="24" customFormat="1" hidden="1" outlineLevel="2" x14ac:dyDescent="0.3">
      <c r="A40" s="29"/>
      <c r="B40" s="11" t="str">
        <f>CONCATENATE("          ", "6010", " - ", "GRATUITY")</f>
        <v xml:space="preserve">          6010 - GRATUITY</v>
      </c>
      <c r="C40" s="11"/>
      <c r="D40" s="8"/>
      <c r="E40" s="3"/>
      <c r="F40" s="7">
        <f t="shared" si="8"/>
        <v>0</v>
      </c>
      <c r="G40" s="3"/>
      <c r="H40" s="8">
        <v>0</v>
      </c>
      <c r="I40" s="3"/>
      <c r="J40" s="7">
        <f t="shared" si="9"/>
        <v>0</v>
      </c>
      <c r="K40" s="3"/>
      <c r="L40" s="8">
        <f t="shared" si="10"/>
        <v>0</v>
      </c>
      <c r="M40" s="3"/>
      <c r="N40" s="7">
        <f t="shared" si="11"/>
        <v>0</v>
      </c>
      <c r="O40" s="11"/>
      <c r="P40" s="8"/>
      <c r="Q40" s="3"/>
      <c r="R40" s="7">
        <f t="shared" si="12"/>
        <v>0</v>
      </c>
      <c r="S40" s="3"/>
      <c r="T40" s="8">
        <v>0</v>
      </c>
      <c r="U40" s="3"/>
      <c r="V40" s="7">
        <f t="shared" si="13"/>
        <v>0</v>
      </c>
      <c r="W40" s="3"/>
      <c r="X40" s="8">
        <f t="shared" si="14"/>
        <v>0</v>
      </c>
      <c r="Y40" s="3"/>
      <c r="Z40" s="7">
        <f t="shared" si="15"/>
        <v>0</v>
      </c>
    </row>
    <row r="41" spans="1:26" s="27" customFormat="1" outlineLevel="1" collapsed="1" x14ac:dyDescent="0.3">
      <c r="A41" s="28"/>
      <c r="B41" s="14" t="str">
        <f>CONCATENATE("     ","Advertising/Promo                                 ")</f>
        <v xml:space="preserve">     Advertising/Promo                                 </v>
      </c>
      <c r="C41" s="14"/>
      <c r="D41" s="1">
        <f>SUM(OSRRefD22_2x_0)</f>
        <v>40.31</v>
      </c>
      <c r="E41" s="1"/>
      <c r="F41" s="5">
        <f t="shared" ref="F41:F55" si="16">IF(D$12=0,0,D41/D$12)</f>
        <v>0</v>
      </c>
      <c r="G41" s="1"/>
      <c r="H41" s="1">
        <f>SUM(OSRRefH22_2x_0)</f>
        <v>600</v>
      </c>
      <c r="I41" s="1"/>
      <c r="J41" s="5">
        <f t="shared" ref="J41:J55" si="17">IF(H$12=0,0,H41/H$12)</f>
        <v>0</v>
      </c>
      <c r="K41" s="1"/>
      <c r="L41" s="1">
        <f t="shared" ref="L41:L55" si="18">+D41-H41</f>
        <v>-559.69000000000005</v>
      </c>
      <c r="M41" s="1"/>
      <c r="N41" s="5">
        <f t="shared" ref="N41:N55" si="19">IF(H41=0,0,L41/H41)</f>
        <v>-0.93281666666666674</v>
      </c>
      <c r="O41" s="14"/>
      <c r="P41" s="1">
        <f>SUM(OSRRefP22_2x_0)</f>
        <v>40.31</v>
      </c>
      <c r="Q41" s="1"/>
      <c r="R41" s="5">
        <f t="shared" ref="R41:R55" si="20">IF(P$12=0,0,P41/P$12)</f>
        <v>0</v>
      </c>
      <c r="S41" s="1"/>
      <c r="T41" s="1">
        <f>SUM(OSRRefT22_2x_0)</f>
        <v>600</v>
      </c>
      <c r="U41" s="1"/>
      <c r="V41" s="5">
        <f t="shared" ref="V41:V55" si="21">IF(T$12=0,0,T41/T$12)</f>
        <v>0</v>
      </c>
      <c r="W41" s="1"/>
      <c r="X41" s="1">
        <f t="shared" ref="X41:X55" si="22">+P41-T41</f>
        <v>-559.69000000000005</v>
      </c>
      <c r="Y41" s="1"/>
      <c r="Z41" s="5">
        <f t="shared" ref="Z41:Z55" si="23">IF(T41=0,0,X41/T41)</f>
        <v>-0.93281666666666674</v>
      </c>
    </row>
    <row r="42" spans="1:26" s="24" customFormat="1" hidden="1" outlineLevel="2" x14ac:dyDescent="0.3">
      <c r="A42" s="29"/>
      <c r="B42" s="11" t="str">
        <f>CONCATENATE("          ", "6362", " - ", "ADVERTISING EXPENSE")</f>
        <v xml:space="preserve">          6362 - ADVERTISING EXPENSE</v>
      </c>
      <c r="C42" s="11"/>
      <c r="D42" s="8">
        <v>40.31</v>
      </c>
      <c r="E42" s="3"/>
      <c r="F42" s="7">
        <f t="shared" si="16"/>
        <v>0</v>
      </c>
      <c r="G42" s="3"/>
      <c r="H42" s="8">
        <v>600</v>
      </c>
      <c r="I42" s="3"/>
      <c r="J42" s="7">
        <f t="shared" si="17"/>
        <v>0</v>
      </c>
      <c r="K42" s="3"/>
      <c r="L42" s="8">
        <f t="shared" si="18"/>
        <v>-559.69000000000005</v>
      </c>
      <c r="M42" s="3"/>
      <c r="N42" s="7">
        <f t="shared" si="19"/>
        <v>-0.93281666666666674</v>
      </c>
      <c r="O42" s="11"/>
      <c r="P42" s="8">
        <v>40.31</v>
      </c>
      <c r="Q42" s="3"/>
      <c r="R42" s="7">
        <f t="shared" si="20"/>
        <v>0</v>
      </c>
      <c r="S42" s="3"/>
      <c r="T42" s="8">
        <v>600</v>
      </c>
      <c r="U42" s="3"/>
      <c r="V42" s="7">
        <f t="shared" si="21"/>
        <v>0</v>
      </c>
      <c r="W42" s="3"/>
      <c r="X42" s="8">
        <f t="shared" si="22"/>
        <v>-559.69000000000005</v>
      </c>
      <c r="Y42" s="3"/>
      <c r="Z42" s="7">
        <f t="shared" si="23"/>
        <v>-0.93281666666666674</v>
      </c>
    </row>
    <row r="43" spans="1:26" s="27" customFormat="1" outlineLevel="1" collapsed="1" x14ac:dyDescent="0.3">
      <c r="A43" s="28"/>
      <c r="B43" s="14" t="str">
        <f>CONCATENATE("     ","Bad Debts/Over/Short                              ")</f>
        <v xml:space="preserve">     Bad Debts/Over/Short                              </v>
      </c>
      <c r="C43" s="14"/>
      <c r="D43" s="1">
        <f>SUM(OSRRefD22_3x_0)</f>
        <v>0</v>
      </c>
      <c r="E43" s="1"/>
      <c r="F43" s="5">
        <f t="shared" si="16"/>
        <v>0</v>
      </c>
      <c r="G43" s="1"/>
      <c r="H43" s="1">
        <f>SUM(OSRRefH22_3x_0)</f>
        <v>15</v>
      </c>
      <c r="I43" s="1"/>
      <c r="J43" s="5">
        <f t="shared" si="17"/>
        <v>0</v>
      </c>
      <c r="K43" s="1"/>
      <c r="L43" s="1">
        <f t="shared" si="18"/>
        <v>-15</v>
      </c>
      <c r="M43" s="1"/>
      <c r="N43" s="5">
        <f t="shared" si="19"/>
        <v>-1</v>
      </c>
      <c r="O43" s="14"/>
      <c r="P43" s="1">
        <f>SUM(OSRRefP22_3x_0)</f>
        <v>0</v>
      </c>
      <c r="Q43" s="1"/>
      <c r="R43" s="5">
        <f t="shared" si="20"/>
        <v>0</v>
      </c>
      <c r="S43" s="1"/>
      <c r="T43" s="1">
        <f>SUM(OSRRefT22_3x_0)</f>
        <v>15</v>
      </c>
      <c r="U43" s="1"/>
      <c r="V43" s="5">
        <f t="shared" si="21"/>
        <v>0</v>
      </c>
      <c r="W43" s="1"/>
      <c r="X43" s="1">
        <f t="shared" si="22"/>
        <v>-15</v>
      </c>
      <c r="Y43" s="1"/>
      <c r="Z43" s="5">
        <f t="shared" si="23"/>
        <v>-1</v>
      </c>
    </row>
    <row r="44" spans="1:26" s="24" customFormat="1" hidden="1" outlineLevel="2" x14ac:dyDescent="0.3">
      <c r="A44" s="29"/>
      <c r="B44" s="11" t="str">
        <f>CONCATENATE("          ", "6272", " - ", "CASH (OVER/SHORT)")</f>
        <v xml:space="preserve">          6272 - CASH (OVER/SHORT)</v>
      </c>
      <c r="C44" s="11"/>
      <c r="D44" s="8"/>
      <c r="E44" s="3"/>
      <c r="F44" s="7">
        <f t="shared" si="16"/>
        <v>0</v>
      </c>
      <c r="G44" s="3"/>
      <c r="H44" s="8">
        <v>15</v>
      </c>
      <c r="I44" s="3"/>
      <c r="J44" s="7">
        <f t="shared" si="17"/>
        <v>0</v>
      </c>
      <c r="K44" s="3"/>
      <c r="L44" s="8">
        <f t="shared" si="18"/>
        <v>-15</v>
      </c>
      <c r="M44" s="3"/>
      <c r="N44" s="7">
        <f t="shared" si="19"/>
        <v>-1</v>
      </c>
      <c r="O44" s="11"/>
      <c r="P44" s="8"/>
      <c r="Q44" s="3"/>
      <c r="R44" s="7">
        <f t="shared" si="20"/>
        <v>0</v>
      </c>
      <c r="S44" s="3"/>
      <c r="T44" s="8">
        <v>15</v>
      </c>
      <c r="U44" s="3"/>
      <c r="V44" s="7">
        <f t="shared" si="21"/>
        <v>0</v>
      </c>
      <c r="W44" s="3"/>
      <c r="X44" s="8">
        <f t="shared" si="22"/>
        <v>-15</v>
      </c>
      <c r="Y44" s="3"/>
      <c r="Z44" s="7">
        <f t="shared" si="23"/>
        <v>-1</v>
      </c>
    </row>
    <row r="45" spans="1:26" s="27" customFormat="1" outlineLevel="1" collapsed="1" x14ac:dyDescent="0.3">
      <c r="A45" s="28"/>
      <c r="B45" s="14" t="str">
        <f>CONCATENATE("     ","Bank/card Fees                                    ")</f>
        <v xml:space="preserve">     Bank/card Fees                                    </v>
      </c>
      <c r="C45" s="14"/>
      <c r="D45" s="1">
        <f>SUM(OSRRefD22_4x_0)</f>
        <v>0</v>
      </c>
      <c r="E45" s="1"/>
      <c r="F45" s="5">
        <f t="shared" si="16"/>
        <v>0</v>
      </c>
      <c r="G45" s="1"/>
      <c r="H45" s="1">
        <f>SUM(OSRRefH22_4x_0)</f>
        <v>250</v>
      </c>
      <c r="I45" s="1"/>
      <c r="J45" s="5">
        <f t="shared" si="17"/>
        <v>0</v>
      </c>
      <c r="K45" s="1"/>
      <c r="L45" s="1">
        <f t="shared" si="18"/>
        <v>-250</v>
      </c>
      <c r="M45" s="1"/>
      <c r="N45" s="5">
        <f t="shared" si="19"/>
        <v>-1</v>
      </c>
      <c r="O45" s="14"/>
      <c r="P45" s="1">
        <f>SUM(OSRRefP22_4x_0)</f>
        <v>0</v>
      </c>
      <c r="Q45" s="1"/>
      <c r="R45" s="5">
        <f t="shared" si="20"/>
        <v>0</v>
      </c>
      <c r="S45" s="1"/>
      <c r="T45" s="1">
        <f>SUM(OSRRefT22_4x_0)</f>
        <v>250</v>
      </c>
      <c r="U45" s="1"/>
      <c r="V45" s="5">
        <f t="shared" si="21"/>
        <v>0</v>
      </c>
      <c r="W45" s="1"/>
      <c r="X45" s="1">
        <f t="shared" si="22"/>
        <v>-250</v>
      </c>
      <c r="Y45" s="1"/>
      <c r="Z45" s="5">
        <f t="shared" si="23"/>
        <v>-1</v>
      </c>
    </row>
    <row r="46" spans="1:26" s="24" customFormat="1" hidden="1" outlineLevel="2" x14ac:dyDescent="0.3">
      <c r="A46" s="29"/>
      <c r="B46" s="11" t="str">
        <f>CONCATENATE("          ", "6381", " - ", "BANK/CREDIT CARD FEES")</f>
        <v xml:space="preserve">          6381 - BANK/CREDIT CARD FEES</v>
      </c>
      <c r="C46" s="11"/>
      <c r="D46" s="8"/>
      <c r="E46" s="3"/>
      <c r="F46" s="7">
        <f t="shared" si="16"/>
        <v>0</v>
      </c>
      <c r="G46" s="3"/>
      <c r="H46" s="8">
        <v>250</v>
      </c>
      <c r="I46" s="3"/>
      <c r="J46" s="7">
        <f t="shared" si="17"/>
        <v>0</v>
      </c>
      <c r="K46" s="3"/>
      <c r="L46" s="8">
        <f t="shared" si="18"/>
        <v>-250</v>
      </c>
      <c r="M46" s="3"/>
      <c r="N46" s="7">
        <f t="shared" si="19"/>
        <v>-1</v>
      </c>
      <c r="O46" s="11"/>
      <c r="P46" s="8"/>
      <c r="Q46" s="3"/>
      <c r="R46" s="7">
        <f t="shared" si="20"/>
        <v>0</v>
      </c>
      <c r="S46" s="3"/>
      <c r="T46" s="8">
        <v>250</v>
      </c>
      <c r="U46" s="3"/>
      <c r="V46" s="7">
        <f t="shared" si="21"/>
        <v>0</v>
      </c>
      <c r="W46" s="3"/>
      <c r="X46" s="8">
        <f t="shared" si="22"/>
        <v>-250</v>
      </c>
      <c r="Y46" s="3"/>
      <c r="Z46" s="7">
        <f t="shared" si="23"/>
        <v>-1</v>
      </c>
    </row>
    <row r="47" spans="1:26" s="27" customFormat="1" outlineLevel="1" collapsed="1" x14ac:dyDescent="0.3">
      <c r="A47" s="28"/>
      <c r="B47" s="14" t="str">
        <f>CONCATENATE("     ","Depreciation                                      ")</f>
        <v xml:space="preserve">     Depreciation                                      </v>
      </c>
      <c r="C47" s="14"/>
      <c r="D47" s="1">
        <f>SUM(OSRRefD22_5x_0)</f>
        <v>273.51</v>
      </c>
      <c r="E47" s="1"/>
      <c r="F47" s="5">
        <f t="shared" si="16"/>
        <v>0</v>
      </c>
      <c r="G47" s="1"/>
      <c r="H47" s="1">
        <f>SUM(OSRRefH22_5x_0)</f>
        <v>0</v>
      </c>
      <c r="I47" s="1"/>
      <c r="J47" s="5">
        <f t="shared" si="17"/>
        <v>0</v>
      </c>
      <c r="K47" s="1"/>
      <c r="L47" s="1">
        <f t="shared" si="18"/>
        <v>273.51</v>
      </c>
      <c r="M47" s="1"/>
      <c r="N47" s="5">
        <f t="shared" si="19"/>
        <v>0</v>
      </c>
      <c r="O47" s="14"/>
      <c r="P47" s="1">
        <f>SUM(OSRRefP22_5x_0)</f>
        <v>273.51</v>
      </c>
      <c r="Q47" s="1"/>
      <c r="R47" s="5">
        <f t="shared" si="20"/>
        <v>0</v>
      </c>
      <c r="S47" s="1"/>
      <c r="T47" s="1">
        <f>SUM(OSRRefT22_5x_0)</f>
        <v>0</v>
      </c>
      <c r="U47" s="1"/>
      <c r="V47" s="5">
        <f t="shared" si="21"/>
        <v>0</v>
      </c>
      <c r="W47" s="1"/>
      <c r="X47" s="1">
        <f t="shared" si="22"/>
        <v>273.51</v>
      </c>
      <c r="Y47" s="1"/>
      <c r="Z47" s="5">
        <f t="shared" si="23"/>
        <v>0</v>
      </c>
    </row>
    <row r="48" spans="1:26" s="24" customFormat="1" hidden="1" outlineLevel="2" x14ac:dyDescent="0.3">
      <c r="A48" s="29"/>
      <c r="B48" s="11" t="str">
        <f>CONCATENATE("          ", "6322", " - ", "EQUIPMENT DEPRECIATION EXPENSE")</f>
        <v xml:space="preserve">          6322 - EQUIPMENT DEPRECIATION EXPENSE</v>
      </c>
      <c r="C48" s="11"/>
      <c r="D48" s="8">
        <v>273.51</v>
      </c>
      <c r="E48" s="3"/>
      <c r="F48" s="7">
        <f t="shared" si="16"/>
        <v>0</v>
      </c>
      <c r="G48" s="3"/>
      <c r="H48" s="8"/>
      <c r="I48" s="3"/>
      <c r="J48" s="7">
        <f t="shared" si="17"/>
        <v>0</v>
      </c>
      <c r="K48" s="3"/>
      <c r="L48" s="8">
        <f t="shared" si="18"/>
        <v>273.51</v>
      </c>
      <c r="M48" s="3"/>
      <c r="N48" s="7">
        <f t="shared" si="19"/>
        <v>0</v>
      </c>
      <c r="O48" s="11"/>
      <c r="P48" s="8">
        <v>273.51</v>
      </c>
      <c r="Q48" s="3"/>
      <c r="R48" s="7">
        <f t="shared" si="20"/>
        <v>0</v>
      </c>
      <c r="S48" s="3"/>
      <c r="T48" s="8"/>
      <c r="U48" s="3"/>
      <c r="V48" s="7">
        <f t="shared" si="21"/>
        <v>0</v>
      </c>
      <c r="W48" s="3"/>
      <c r="X48" s="8">
        <f t="shared" si="22"/>
        <v>273.51</v>
      </c>
      <c r="Y48" s="3"/>
      <c r="Z48" s="7">
        <f t="shared" si="23"/>
        <v>0</v>
      </c>
    </row>
    <row r="49" spans="1:26" s="27" customFormat="1" outlineLevel="1" collapsed="1" x14ac:dyDescent="0.3">
      <c r="A49" s="28"/>
      <c r="B49" s="14" t="str">
        <f>CONCATENATE("     ","Equipment Rental                                  ")</f>
        <v xml:space="preserve">     Equipment Rental                                  </v>
      </c>
      <c r="C49" s="14"/>
      <c r="D49" s="1">
        <f>SUM(OSRRefD22_6x_0)</f>
        <v>430.43</v>
      </c>
      <c r="E49" s="1"/>
      <c r="F49" s="5">
        <f t="shared" si="16"/>
        <v>0</v>
      </c>
      <c r="G49" s="1"/>
      <c r="H49" s="1">
        <f>SUM(OSRRefH22_6x_0)</f>
        <v>500</v>
      </c>
      <c r="I49" s="1"/>
      <c r="J49" s="5">
        <f t="shared" si="17"/>
        <v>0</v>
      </c>
      <c r="K49" s="1"/>
      <c r="L49" s="1">
        <f t="shared" si="18"/>
        <v>-69.569999999999993</v>
      </c>
      <c r="M49" s="1"/>
      <c r="N49" s="5">
        <f t="shared" si="19"/>
        <v>-0.13913999999999999</v>
      </c>
      <c r="O49" s="14"/>
      <c r="P49" s="1">
        <f>SUM(OSRRefP22_6x_0)</f>
        <v>430.43</v>
      </c>
      <c r="Q49" s="1"/>
      <c r="R49" s="5">
        <f t="shared" si="20"/>
        <v>0</v>
      </c>
      <c r="S49" s="1"/>
      <c r="T49" s="1">
        <f>SUM(OSRRefT22_6x_0)</f>
        <v>500</v>
      </c>
      <c r="U49" s="1"/>
      <c r="V49" s="5">
        <f t="shared" si="21"/>
        <v>0</v>
      </c>
      <c r="W49" s="1"/>
      <c r="X49" s="1">
        <f t="shared" si="22"/>
        <v>-69.569999999999993</v>
      </c>
      <c r="Y49" s="1"/>
      <c r="Z49" s="5">
        <f t="shared" si="23"/>
        <v>-0.13913999999999999</v>
      </c>
    </row>
    <row r="50" spans="1:26" s="24" customFormat="1" hidden="1" outlineLevel="2" x14ac:dyDescent="0.3">
      <c r="A50" s="29"/>
      <c r="B50" s="11" t="str">
        <f>CONCATENATE("          ", "6351", " - ", "EQUIPMENT RENTAL")</f>
        <v xml:space="preserve">          6351 - EQUIPMENT RENTAL</v>
      </c>
      <c r="C50" s="11"/>
      <c r="D50" s="8">
        <v>430.43</v>
      </c>
      <c r="E50" s="3"/>
      <c r="F50" s="7">
        <f t="shared" si="16"/>
        <v>0</v>
      </c>
      <c r="G50" s="3"/>
      <c r="H50" s="8">
        <v>500</v>
      </c>
      <c r="I50" s="3"/>
      <c r="J50" s="7">
        <f t="shared" si="17"/>
        <v>0</v>
      </c>
      <c r="K50" s="3"/>
      <c r="L50" s="8">
        <f t="shared" si="18"/>
        <v>-69.569999999999993</v>
      </c>
      <c r="M50" s="3"/>
      <c r="N50" s="7">
        <f t="shared" si="19"/>
        <v>-0.13913999999999999</v>
      </c>
      <c r="O50" s="11"/>
      <c r="P50" s="8">
        <v>430.43</v>
      </c>
      <c r="Q50" s="3"/>
      <c r="R50" s="7">
        <f t="shared" si="20"/>
        <v>0</v>
      </c>
      <c r="S50" s="3"/>
      <c r="T50" s="8">
        <v>500</v>
      </c>
      <c r="U50" s="3"/>
      <c r="V50" s="7">
        <f t="shared" si="21"/>
        <v>0</v>
      </c>
      <c r="W50" s="3"/>
      <c r="X50" s="8">
        <f t="shared" si="22"/>
        <v>-69.569999999999993</v>
      </c>
      <c r="Y50" s="3"/>
      <c r="Z50" s="7">
        <f t="shared" si="23"/>
        <v>-0.13913999999999999</v>
      </c>
    </row>
    <row r="51" spans="1:26" s="27" customFormat="1" outlineLevel="1" collapsed="1" x14ac:dyDescent="0.3">
      <c r="A51" s="28"/>
      <c r="B51" s="14" t="str">
        <f>CONCATENATE("     ","General                                           ")</f>
        <v xml:space="preserve">     General                                           </v>
      </c>
      <c r="C51" s="14"/>
      <c r="D51" s="1">
        <f>SUM(OSRRefD22_7x_0)</f>
        <v>70.069999999999993</v>
      </c>
      <c r="E51" s="1"/>
      <c r="F51" s="5">
        <f t="shared" si="16"/>
        <v>0</v>
      </c>
      <c r="G51" s="1"/>
      <c r="H51" s="1">
        <f>SUM(OSRRefH22_7x_0)</f>
        <v>1800</v>
      </c>
      <c r="I51" s="1"/>
      <c r="J51" s="5">
        <f t="shared" si="17"/>
        <v>0</v>
      </c>
      <c r="K51" s="1"/>
      <c r="L51" s="1">
        <f t="shared" si="18"/>
        <v>-1729.93</v>
      </c>
      <c r="M51" s="1"/>
      <c r="N51" s="5">
        <f t="shared" si="19"/>
        <v>-0.96107222222222222</v>
      </c>
      <c r="O51" s="14"/>
      <c r="P51" s="1">
        <f>SUM(OSRRefP22_7x_0)</f>
        <v>70.069999999999993</v>
      </c>
      <c r="Q51" s="1"/>
      <c r="R51" s="5">
        <f t="shared" si="20"/>
        <v>0</v>
      </c>
      <c r="S51" s="1"/>
      <c r="T51" s="1">
        <f>SUM(OSRRefT22_7x_0)</f>
        <v>1800</v>
      </c>
      <c r="U51" s="1"/>
      <c r="V51" s="5">
        <f t="shared" si="21"/>
        <v>0</v>
      </c>
      <c r="W51" s="1"/>
      <c r="X51" s="1">
        <f t="shared" si="22"/>
        <v>-1729.93</v>
      </c>
      <c r="Y51" s="1"/>
      <c r="Z51" s="5">
        <f t="shared" si="23"/>
        <v>-0.96107222222222222</v>
      </c>
    </row>
    <row r="52" spans="1:26" s="24" customFormat="1" hidden="1" outlineLevel="2" x14ac:dyDescent="0.3">
      <c r="A52" s="29"/>
      <c r="B52" s="11" t="str">
        <f>CONCATENATE("          ", "6279", " - ", "GENERAL EXPENSE")</f>
        <v xml:space="preserve">          6279 - GENERAL EXPENSE</v>
      </c>
      <c r="C52" s="11"/>
      <c r="D52" s="8">
        <v>70.069999999999993</v>
      </c>
      <c r="E52" s="3"/>
      <c r="F52" s="7">
        <f t="shared" si="16"/>
        <v>0</v>
      </c>
      <c r="G52" s="3"/>
      <c r="H52" s="8">
        <v>1800</v>
      </c>
      <c r="I52" s="3"/>
      <c r="J52" s="7">
        <f t="shared" si="17"/>
        <v>0</v>
      </c>
      <c r="K52" s="3"/>
      <c r="L52" s="8">
        <f t="shared" si="18"/>
        <v>-1729.93</v>
      </c>
      <c r="M52" s="3"/>
      <c r="N52" s="7">
        <f t="shared" si="19"/>
        <v>-0.96107222222222222</v>
      </c>
      <c r="O52" s="11"/>
      <c r="P52" s="8">
        <v>70.069999999999993</v>
      </c>
      <c r="Q52" s="3"/>
      <c r="R52" s="7">
        <f t="shared" si="20"/>
        <v>0</v>
      </c>
      <c r="S52" s="3"/>
      <c r="T52" s="8">
        <v>1800</v>
      </c>
      <c r="U52" s="3"/>
      <c r="V52" s="7">
        <f t="shared" si="21"/>
        <v>0</v>
      </c>
      <c r="W52" s="3"/>
      <c r="X52" s="8">
        <f t="shared" si="22"/>
        <v>-1729.93</v>
      </c>
      <c r="Y52" s="3"/>
      <c r="Z52" s="7">
        <f t="shared" si="23"/>
        <v>-0.96107222222222222</v>
      </c>
    </row>
    <row r="53" spans="1:26" s="27" customFormat="1" outlineLevel="1" collapsed="1" x14ac:dyDescent="0.3">
      <c r="A53" s="28"/>
      <c r="B53" s="14" t="str">
        <f>CONCATENATE("     ","Repair and Maintenance                            ")</f>
        <v xml:space="preserve">     Repair and Maintenance                            </v>
      </c>
      <c r="C53" s="14"/>
      <c r="D53" s="1">
        <f>SUM(OSRRefD22_8x_0)</f>
        <v>0</v>
      </c>
      <c r="E53" s="1"/>
      <c r="F53" s="5">
        <f t="shared" si="16"/>
        <v>0</v>
      </c>
      <c r="G53" s="1"/>
      <c r="H53" s="1">
        <f>SUM(OSRRefH22_8x_0)</f>
        <v>250</v>
      </c>
      <c r="I53" s="1"/>
      <c r="J53" s="5">
        <f t="shared" si="17"/>
        <v>0</v>
      </c>
      <c r="K53" s="1"/>
      <c r="L53" s="1">
        <f t="shared" si="18"/>
        <v>-250</v>
      </c>
      <c r="M53" s="1"/>
      <c r="N53" s="5">
        <f t="shared" si="19"/>
        <v>-1</v>
      </c>
      <c r="O53" s="14"/>
      <c r="P53" s="1">
        <f>SUM(OSRRefP22_8x_0)</f>
        <v>0</v>
      </c>
      <c r="Q53" s="1"/>
      <c r="R53" s="5">
        <f t="shared" si="20"/>
        <v>0</v>
      </c>
      <c r="S53" s="1"/>
      <c r="T53" s="1">
        <f>SUM(OSRRefT22_8x_0)</f>
        <v>250</v>
      </c>
      <c r="U53" s="1"/>
      <c r="V53" s="5">
        <f t="shared" si="21"/>
        <v>0</v>
      </c>
      <c r="W53" s="1"/>
      <c r="X53" s="1">
        <f t="shared" si="22"/>
        <v>-250</v>
      </c>
      <c r="Y53" s="1"/>
      <c r="Z53" s="5">
        <f t="shared" si="23"/>
        <v>-1</v>
      </c>
    </row>
    <row r="54" spans="1:26" s="24" customFormat="1" hidden="1" outlineLevel="2" x14ac:dyDescent="0.3">
      <c r="A54" s="29"/>
      <c r="B54" s="11" t="str">
        <f>CONCATENATE("          ", "6371", " - ", "COMPUTER SOFTWARE MAINTENANCE")</f>
        <v xml:space="preserve">          6371 - COMPUTER SOFTWARE MAINTENANCE</v>
      </c>
      <c r="C54" s="11"/>
      <c r="D54" s="8"/>
      <c r="E54" s="3"/>
      <c r="F54" s="7">
        <f t="shared" si="16"/>
        <v>0</v>
      </c>
      <c r="G54" s="3"/>
      <c r="H54" s="8">
        <v>0</v>
      </c>
      <c r="I54" s="3"/>
      <c r="J54" s="7">
        <f t="shared" si="17"/>
        <v>0</v>
      </c>
      <c r="K54" s="3"/>
      <c r="L54" s="8">
        <f t="shared" si="18"/>
        <v>0</v>
      </c>
      <c r="M54" s="3"/>
      <c r="N54" s="7">
        <f t="shared" si="19"/>
        <v>0</v>
      </c>
      <c r="O54" s="11"/>
      <c r="P54" s="8"/>
      <c r="Q54" s="3"/>
      <c r="R54" s="7">
        <f t="shared" si="20"/>
        <v>0</v>
      </c>
      <c r="S54" s="3"/>
      <c r="T54" s="8">
        <v>0</v>
      </c>
      <c r="U54" s="3"/>
      <c r="V54" s="7">
        <f t="shared" si="21"/>
        <v>0</v>
      </c>
      <c r="W54" s="3"/>
      <c r="X54" s="8">
        <f t="shared" si="22"/>
        <v>0</v>
      </c>
      <c r="Y54" s="3"/>
      <c r="Z54" s="7">
        <f t="shared" si="23"/>
        <v>0</v>
      </c>
    </row>
    <row r="55" spans="1:26" s="24" customFormat="1" hidden="1" outlineLevel="2" x14ac:dyDescent="0.3">
      <c r="A55" s="29"/>
      <c r="B55" s="11" t="str">
        <f>CONCATENATE("          ", "6375", " - ", "OUTSIDE REPAIRS &amp; MAINTENANCE")</f>
        <v xml:space="preserve">          6375 - OUTSIDE REPAIRS &amp; MAINTENANCE</v>
      </c>
      <c r="C55" s="11"/>
      <c r="D55" s="8"/>
      <c r="E55" s="3"/>
      <c r="F55" s="7">
        <f t="shared" si="16"/>
        <v>0</v>
      </c>
      <c r="G55" s="3"/>
      <c r="H55" s="8">
        <v>250</v>
      </c>
      <c r="I55" s="3"/>
      <c r="J55" s="7">
        <f t="shared" si="17"/>
        <v>0</v>
      </c>
      <c r="K55" s="3"/>
      <c r="L55" s="8">
        <f t="shared" si="18"/>
        <v>-250</v>
      </c>
      <c r="M55" s="3"/>
      <c r="N55" s="7">
        <f t="shared" si="19"/>
        <v>-1</v>
      </c>
      <c r="O55" s="11"/>
      <c r="P55" s="8"/>
      <c r="Q55" s="3"/>
      <c r="R55" s="7">
        <f t="shared" si="20"/>
        <v>0</v>
      </c>
      <c r="S55" s="3"/>
      <c r="T55" s="8">
        <v>250</v>
      </c>
      <c r="U55" s="3"/>
      <c r="V55" s="7">
        <f t="shared" si="21"/>
        <v>0</v>
      </c>
      <c r="W55" s="3"/>
      <c r="X55" s="8">
        <f t="shared" si="22"/>
        <v>-250</v>
      </c>
      <c r="Y55" s="3"/>
      <c r="Z55" s="7">
        <f t="shared" si="23"/>
        <v>-1</v>
      </c>
    </row>
    <row r="56" spans="1:26" s="27" customFormat="1" outlineLevel="1" collapsed="1" x14ac:dyDescent="0.3">
      <c r="A56" s="28"/>
      <c r="B56" s="14" t="str">
        <f>CONCATENATE("     ","Services                                          ")</f>
        <v xml:space="preserve">     Services                                          </v>
      </c>
      <c r="C56" s="14"/>
      <c r="D56" s="1">
        <f>SUM(OSRRefD22_9x_0)</f>
        <v>4846.3799999999992</v>
      </c>
      <c r="E56" s="1"/>
      <c r="F56" s="5">
        <f t="shared" ref="F56:F60" si="24">IF(D$12=0,0,D56/D$12)</f>
        <v>0</v>
      </c>
      <c r="G56" s="1"/>
      <c r="H56" s="1">
        <f>SUM(OSRRefH22_9x_0)</f>
        <v>7150</v>
      </c>
      <c r="I56" s="1"/>
      <c r="J56" s="5">
        <f t="shared" ref="J56:J60" si="25">IF(H$12=0,0,H56/H$12)</f>
        <v>0</v>
      </c>
      <c r="K56" s="1"/>
      <c r="L56" s="1">
        <f t="shared" ref="L56:L60" si="26">+D56-H56</f>
        <v>-2303.6200000000008</v>
      </c>
      <c r="M56" s="1"/>
      <c r="N56" s="5">
        <f t="shared" ref="N56:N60" si="27">IF(H56=0,0,L56/H56)</f>
        <v>-0.32218461538461551</v>
      </c>
      <c r="O56" s="14"/>
      <c r="P56" s="1">
        <f>SUM(OSRRefP22_9x_0)</f>
        <v>4846.3799999999992</v>
      </c>
      <c r="Q56" s="1"/>
      <c r="R56" s="5">
        <f t="shared" ref="R56:R60" si="28">IF(P$12=0,0,P56/P$12)</f>
        <v>0</v>
      </c>
      <c r="S56" s="1"/>
      <c r="T56" s="1">
        <f>SUM(OSRRefT22_9x_0)</f>
        <v>7150</v>
      </c>
      <c r="U56" s="1"/>
      <c r="V56" s="5">
        <f t="shared" ref="V56:V60" si="29">IF(T$12=0,0,T56/T$12)</f>
        <v>0</v>
      </c>
      <c r="W56" s="1"/>
      <c r="X56" s="1">
        <f t="shared" ref="X56:X60" si="30">+P56-T56</f>
        <v>-2303.6200000000008</v>
      </c>
      <c r="Y56" s="1"/>
      <c r="Z56" s="5">
        <f t="shared" ref="Z56:Z60" si="31">IF(T56=0,0,X56/T56)</f>
        <v>-0.32218461538461551</v>
      </c>
    </row>
    <row r="57" spans="1:26" s="24" customFormat="1" hidden="1" outlineLevel="2" x14ac:dyDescent="0.3">
      <c r="A57" s="29"/>
      <c r="B57" s="11" t="str">
        <f>CONCATENATE("          ", "6282", " - ", "JANITORIAL/EXTERMINATOR EXPENS")</f>
        <v xml:space="preserve">          6282 - JANITORIAL/EXTERMINATOR EXPENS</v>
      </c>
      <c r="C57" s="11"/>
      <c r="D57" s="8">
        <v>417.52</v>
      </c>
      <c r="E57" s="3"/>
      <c r="F57" s="7">
        <f t="shared" si="24"/>
        <v>0</v>
      </c>
      <c r="G57" s="3"/>
      <c r="H57" s="8">
        <v>450</v>
      </c>
      <c r="I57" s="3"/>
      <c r="J57" s="7">
        <f t="shared" si="25"/>
        <v>0</v>
      </c>
      <c r="K57" s="3"/>
      <c r="L57" s="8">
        <f t="shared" si="26"/>
        <v>-32.480000000000018</v>
      </c>
      <c r="M57" s="3"/>
      <c r="N57" s="7">
        <f t="shared" si="27"/>
        <v>-7.2177777777777813E-2</v>
      </c>
      <c r="O57" s="11"/>
      <c r="P57" s="8">
        <v>417.52</v>
      </c>
      <c r="Q57" s="3"/>
      <c r="R57" s="7">
        <f t="shared" si="28"/>
        <v>0</v>
      </c>
      <c r="S57" s="3"/>
      <c r="T57" s="8">
        <v>450</v>
      </c>
      <c r="U57" s="3"/>
      <c r="V57" s="7">
        <f t="shared" si="29"/>
        <v>0</v>
      </c>
      <c r="W57" s="3"/>
      <c r="X57" s="8">
        <f t="shared" si="30"/>
        <v>-32.480000000000018</v>
      </c>
      <c r="Y57" s="3"/>
      <c r="Z57" s="7">
        <f t="shared" si="31"/>
        <v>-7.2177777777777813E-2</v>
      </c>
    </row>
    <row r="58" spans="1:26" s="24" customFormat="1" hidden="1" outlineLevel="2" x14ac:dyDescent="0.3">
      <c r="A58" s="29"/>
      <c r="B58" s="11" t="str">
        <f>CONCATENATE("          ", "6284", " - ", "TRASH REMOVAL EXPENSE")</f>
        <v xml:space="preserve">          6284 - TRASH REMOVAL EXPENSE</v>
      </c>
      <c r="C58" s="11"/>
      <c r="D58" s="8"/>
      <c r="E58" s="3"/>
      <c r="F58" s="7">
        <f t="shared" si="24"/>
        <v>0</v>
      </c>
      <c r="G58" s="3"/>
      <c r="H58" s="8">
        <v>500</v>
      </c>
      <c r="I58" s="3"/>
      <c r="J58" s="7">
        <f t="shared" si="25"/>
        <v>0</v>
      </c>
      <c r="K58" s="3"/>
      <c r="L58" s="8">
        <f t="shared" si="26"/>
        <v>-500</v>
      </c>
      <c r="M58" s="3"/>
      <c r="N58" s="7">
        <f t="shared" si="27"/>
        <v>-1</v>
      </c>
      <c r="O58" s="11"/>
      <c r="P58" s="8"/>
      <c r="Q58" s="3"/>
      <c r="R58" s="7">
        <f t="shared" si="28"/>
        <v>0</v>
      </c>
      <c r="S58" s="3"/>
      <c r="T58" s="8">
        <v>500</v>
      </c>
      <c r="U58" s="3"/>
      <c r="V58" s="7">
        <f t="shared" si="29"/>
        <v>0</v>
      </c>
      <c r="W58" s="3"/>
      <c r="X58" s="8">
        <f t="shared" si="30"/>
        <v>-500</v>
      </c>
      <c r="Y58" s="3"/>
      <c r="Z58" s="7">
        <f t="shared" si="31"/>
        <v>-1</v>
      </c>
    </row>
    <row r="59" spans="1:26" s="24" customFormat="1" hidden="1" outlineLevel="2" x14ac:dyDescent="0.3">
      <c r="A59" s="29"/>
      <c r="B59" s="11" t="str">
        <f>CONCATENATE("          ", "6285", " - ", "JANITORIAL SERVICES")</f>
        <v xml:space="preserve">          6285 - JANITORIAL SERVICES</v>
      </c>
      <c r="C59" s="11"/>
      <c r="D59" s="8">
        <v>4428.8599999999997</v>
      </c>
      <c r="E59" s="3"/>
      <c r="F59" s="7">
        <f t="shared" si="24"/>
        <v>0</v>
      </c>
      <c r="G59" s="3"/>
      <c r="H59" s="8">
        <v>4700</v>
      </c>
      <c r="I59" s="3"/>
      <c r="J59" s="7">
        <f t="shared" si="25"/>
        <v>0</v>
      </c>
      <c r="K59" s="3"/>
      <c r="L59" s="8">
        <f t="shared" si="26"/>
        <v>-271.14000000000033</v>
      </c>
      <c r="M59" s="3"/>
      <c r="N59" s="7">
        <f t="shared" si="27"/>
        <v>-5.7689361702127732E-2</v>
      </c>
      <c r="O59" s="11"/>
      <c r="P59" s="8">
        <v>4428.8599999999997</v>
      </c>
      <c r="Q59" s="3"/>
      <c r="R59" s="7">
        <f t="shared" si="28"/>
        <v>0</v>
      </c>
      <c r="S59" s="3"/>
      <c r="T59" s="8">
        <v>4700</v>
      </c>
      <c r="U59" s="3"/>
      <c r="V59" s="7">
        <f t="shared" si="29"/>
        <v>0</v>
      </c>
      <c r="W59" s="3"/>
      <c r="X59" s="8">
        <f t="shared" si="30"/>
        <v>-271.14000000000033</v>
      </c>
      <c r="Y59" s="3"/>
      <c r="Z59" s="7">
        <f t="shared" si="31"/>
        <v>-5.7689361702127732E-2</v>
      </c>
    </row>
    <row r="60" spans="1:26" s="24" customFormat="1" hidden="1" outlineLevel="2" x14ac:dyDescent="0.3">
      <c r="A60" s="29"/>
      <c r="B60" s="11" t="str">
        <f>CONCATENATE("          ", "6286", " - ", "LAUNDRY EXPENSE")</f>
        <v xml:space="preserve">          6286 - LAUNDRY EXPENSE</v>
      </c>
      <c r="C60" s="11"/>
      <c r="D60" s="8"/>
      <c r="E60" s="3"/>
      <c r="F60" s="7">
        <f t="shared" si="24"/>
        <v>0</v>
      </c>
      <c r="G60" s="3"/>
      <c r="H60" s="8">
        <v>1500</v>
      </c>
      <c r="I60" s="3"/>
      <c r="J60" s="7">
        <f t="shared" si="25"/>
        <v>0</v>
      </c>
      <c r="K60" s="3"/>
      <c r="L60" s="8">
        <f t="shared" si="26"/>
        <v>-1500</v>
      </c>
      <c r="M60" s="3"/>
      <c r="N60" s="7">
        <f t="shared" si="27"/>
        <v>-1</v>
      </c>
      <c r="O60" s="11"/>
      <c r="P60" s="8"/>
      <c r="Q60" s="3"/>
      <c r="R60" s="7">
        <f t="shared" si="28"/>
        <v>0</v>
      </c>
      <c r="S60" s="3"/>
      <c r="T60" s="8">
        <v>1500</v>
      </c>
      <c r="U60" s="3"/>
      <c r="V60" s="7">
        <f t="shared" si="29"/>
        <v>0</v>
      </c>
      <c r="W60" s="3"/>
      <c r="X60" s="8">
        <f t="shared" si="30"/>
        <v>-1500</v>
      </c>
      <c r="Y60" s="3"/>
      <c r="Z60" s="7">
        <f t="shared" si="31"/>
        <v>-1</v>
      </c>
    </row>
    <row r="61" spans="1:26" s="27" customFormat="1" outlineLevel="1" collapsed="1" x14ac:dyDescent="0.3">
      <c r="A61" s="28"/>
      <c r="B61" s="14" t="str">
        <f>CONCATENATE("     ","Supplies                                          ")</f>
        <v xml:space="preserve">     Supplies                                          </v>
      </c>
      <c r="C61" s="14"/>
      <c r="D61" s="1">
        <f>SUM(OSRRefD22_10x_0)</f>
        <v>4.5</v>
      </c>
      <c r="E61" s="1"/>
      <c r="F61" s="5">
        <f t="shared" ref="F61:F67" si="32">IF(D$12=0,0,D61/D$12)</f>
        <v>0</v>
      </c>
      <c r="G61" s="1"/>
      <c r="H61" s="1">
        <f>SUM(OSRRefH22_10x_0)</f>
        <v>11396</v>
      </c>
      <c r="I61" s="1"/>
      <c r="J61" s="5">
        <f t="shared" ref="J61:J67" si="33">IF(H$12=0,0,H61/H$12)</f>
        <v>0</v>
      </c>
      <c r="K61" s="1"/>
      <c r="L61" s="1">
        <f t="shared" ref="L61:L67" si="34">+D61-H61</f>
        <v>-11391.5</v>
      </c>
      <c r="M61" s="1"/>
      <c r="N61" s="5">
        <f t="shared" ref="N61:N67" si="35">IF(H61=0,0,L61/H61)</f>
        <v>-0.99960512460512463</v>
      </c>
      <c r="O61" s="14"/>
      <c r="P61" s="1">
        <f>SUM(OSRRefP22_10x_0)</f>
        <v>4.5</v>
      </c>
      <c r="Q61" s="1"/>
      <c r="R61" s="5">
        <f t="shared" ref="R61:R67" si="36">IF(P$12=0,0,P61/P$12)</f>
        <v>0</v>
      </c>
      <c r="S61" s="1"/>
      <c r="T61" s="1">
        <f>SUM(OSRRefT22_10x_0)</f>
        <v>11396</v>
      </c>
      <c r="U61" s="1"/>
      <c r="V61" s="5">
        <f t="shared" ref="V61:V67" si="37">IF(T$12=0,0,T61/T$12)</f>
        <v>0</v>
      </c>
      <c r="W61" s="1"/>
      <c r="X61" s="1">
        <f t="shared" ref="X61:X67" si="38">+P61-T61</f>
        <v>-11391.5</v>
      </c>
      <c r="Y61" s="1"/>
      <c r="Z61" s="5">
        <f t="shared" ref="Z61:Z67" si="39">IF(T61=0,0,X61/T61)</f>
        <v>-0.99960512460512463</v>
      </c>
    </row>
    <row r="62" spans="1:26" s="24" customFormat="1" hidden="1" outlineLevel="2" x14ac:dyDescent="0.3">
      <c r="A62" s="29"/>
      <c r="B62" s="11" t="str">
        <f>CONCATENATE("          ", "6237", " - ", "JANITORIAL SUPPLIES")</f>
        <v xml:space="preserve">          6237 - JANITORIAL SUPPLIES</v>
      </c>
      <c r="C62" s="11"/>
      <c r="D62" s="8"/>
      <c r="E62" s="3"/>
      <c r="F62" s="7">
        <f t="shared" si="32"/>
        <v>0</v>
      </c>
      <c r="G62" s="3"/>
      <c r="H62" s="8">
        <v>4000</v>
      </c>
      <c r="I62" s="3"/>
      <c r="J62" s="7">
        <f t="shared" si="33"/>
        <v>0</v>
      </c>
      <c r="K62" s="3"/>
      <c r="L62" s="8">
        <f t="shared" si="34"/>
        <v>-4000</v>
      </c>
      <c r="M62" s="3"/>
      <c r="N62" s="7">
        <f t="shared" si="35"/>
        <v>-1</v>
      </c>
      <c r="O62" s="11"/>
      <c r="P62" s="8"/>
      <c r="Q62" s="3"/>
      <c r="R62" s="7">
        <f t="shared" si="36"/>
        <v>0</v>
      </c>
      <c r="S62" s="3"/>
      <c r="T62" s="8">
        <v>4000</v>
      </c>
      <c r="U62" s="3"/>
      <c r="V62" s="7">
        <f t="shared" si="37"/>
        <v>0</v>
      </c>
      <c r="W62" s="3"/>
      <c r="X62" s="8">
        <f t="shared" si="38"/>
        <v>-4000</v>
      </c>
      <c r="Y62" s="3"/>
      <c r="Z62" s="7">
        <f t="shared" si="39"/>
        <v>-1</v>
      </c>
    </row>
    <row r="63" spans="1:26" s="24" customFormat="1" hidden="1" outlineLevel="2" x14ac:dyDescent="0.3">
      <c r="A63" s="29"/>
      <c r="B63" s="11" t="str">
        <f>CONCATENATE("          ", "6239", " - ", "KITCHEN SUPPLIES")</f>
        <v xml:space="preserve">          6239 - KITCHEN SUPPLIES</v>
      </c>
      <c r="C63" s="11"/>
      <c r="D63" s="8"/>
      <c r="E63" s="3"/>
      <c r="F63" s="7">
        <f t="shared" si="32"/>
        <v>0</v>
      </c>
      <c r="G63" s="3"/>
      <c r="H63" s="8">
        <v>1500</v>
      </c>
      <c r="I63" s="3"/>
      <c r="J63" s="7">
        <f t="shared" si="33"/>
        <v>0</v>
      </c>
      <c r="K63" s="3"/>
      <c r="L63" s="8">
        <f t="shared" si="34"/>
        <v>-1500</v>
      </c>
      <c r="M63" s="3"/>
      <c r="N63" s="7">
        <f t="shared" si="35"/>
        <v>-1</v>
      </c>
      <c r="O63" s="11"/>
      <c r="P63" s="8"/>
      <c r="Q63" s="3"/>
      <c r="R63" s="7">
        <f t="shared" si="36"/>
        <v>0</v>
      </c>
      <c r="S63" s="3"/>
      <c r="T63" s="8">
        <v>1500</v>
      </c>
      <c r="U63" s="3"/>
      <c r="V63" s="7">
        <f t="shared" si="37"/>
        <v>0</v>
      </c>
      <c r="W63" s="3"/>
      <c r="X63" s="8">
        <f t="shared" si="38"/>
        <v>-1500</v>
      </c>
      <c r="Y63" s="3"/>
      <c r="Z63" s="7">
        <f t="shared" si="39"/>
        <v>-1</v>
      </c>
    </row>
    <row r="64" spans="1:26" s="24" customFormat="1" hidden="1" outlineLevel="2" x14ac:dyDescent="0.3">
      <c r="A64" s="29"/>
      <c r="B64" s="11" t="str">
        <f>CONCATENATE("          ", "6241", " - ", "OFFICE EXPENSE")</f>
        <v xml:space="preserve">          6241 - OFFICE EXPENSE</v>
      </c>
      <c r="C64" s="11"/>
      <c r="D64" s="8">
        <v>4.5</v>
      </c>
      <c r="E64" s="3"/>
      <c r="F64" s="7">
        <f t="shared" si="32"/>
        <v>0</v>
      </c>
      <c r="G64" s="3"/>
      <c r="H64" s="8">
        <v>500</v>
      </c>
      <c r="I64" s="3"/>
      <c r="J64" s="7">
        <f t="shared" si="33"/>
        <v>0</v>
      </c>
      <c r="K64" s="3"/>
      <c r="L64" s="8">
        <f t="shared" si="34"/>
        <v>-495.5</v>
      </c>
      <c r="M64" s="3"/>
      <c r="N64" s="7">
        <f t="shared" si="35"/>
        <v>-0.99099999999999999</v>
      </c>
      <c r="O64" s="11"/>
      <c r="P64" s="8">
        <v>4.5</v>
      </c>
      <c r="Q64" s="3"/>
      <c r="R64" s="7">
        <f t="shared" si="36"/>
        <v>0</v>
      </c>
      <c r="S64" s="3"/>
      <c r="T64" s="8">
        <v>500</v>
      </c>
      <c r="U64" s="3"/>
      <c r="V64" s="7">
        <f t="shared" si="37"/>
        <v>0</v>
      </c>
      <c r="W64" s="3"/>
      <c r="X64" s="8">
        <f t="shared" si="38"/>
        <v>-495.5</v>
      </c>
      <c r="Y64" s="3"/>
      <c r="Z64" s="7">
        <f t="shared" si="39"/>
        <v>-0.99099999999999999</v>
      </c>
    </row>
    <row r="65" spans="1:26" s="24" customFormat="1" hidden="1" outlineLevel="2" x14ac:dyDescent="0.3">
      <c r="A65" s="29"/>
      <c r="B65" s="11" t="str">
        <f>CONCATENATE("          ", "6243", " - ", "PAPER SUPPLIES")</f>
        <v xml:space="preserve">          6243 - PAPER SUPPLIES</v>
      </c>
      <c r="C65" s="11"/>
      <c r="D65" s="8"/>
      <c r="E65" s="3"/>
      <c r="F65" s="7">
        <f t="shared" si="32"/>
        <v>0</v>
      </c>
      <c r="G65" s="3"/>
      <c r="H65" s="8">
        <v>5000</v>
      </c>
      <c r="I65" s="3"/>
      <c r="J65" s="7">
        <f t="shared" si="33"/>
        <v>0</v>
      </c>
      <c r="K65" s="3"/>
      <c r="L65" s="8">
        <f t="shared" si="34"/>
        <v>-5000</v>
      </c>
      <c r="M65" s="3"/>
      <c r="N65" s="7">
        <f t="shared" si="35"/>
        <v>-1</v>
      </c>
      <c r="O65" s="11"/>
      <c r="P65" s="8"/>
      <c r="Q65" s="3"/>
      <c r="R65" s="7">
        <f t="shared" si="36"/>
        <v>0</v>
      </c>
      <c r="S65" s="3"/>
      <c r="T65" s="8">
        <v>5000</v>
      </c>
      <c r="U65" s="3"/>
      <c r="V65" s="7">
        <f t="shared" si="37"/>
        <v>0</v>
      </c>
      <c r="W65" s="3"/>
      <c r="X65" s="8">
        <f t="shared" si="38"/>
        <v>-5000</v>
      </c>
      <c r="Y65" s="3"/>
      <c r="Z65" s="7">
        <f t="shared" si="39"/>
        <v>-1</v>
      </c>
    </row>
    <row r="66" spans="1:26" s="24" customFormat="1" hidden="1" outlineLevel="2" x14ac:dyDescent="0.3">
      <c r="A66" s="29"/>
      <c r="B66" s="11" t="str">
        <f>CONCATENATE("          ", "6244", " - ", "SAFETY SUPPLY EXPENSE")</f>
        <v xml:space="preserve">          6244 - SAFETY SUPPLY EXPENSE</v>
      </c>
      <c r="C66" s="11"/>
      <c r="D66" s="8"/>
      <c r="E66" s="3"/>
      <c r="F66" s="7">
        <f t="shared" si="32"/>
        <v>0</v>
      </c>
      <c r="G66" s="3"/>
      <c r="H66" s="8">
        <v>200</v>
      </c>
      <c r="I66" s="3"/>
      <c r="J66" s="7">
        <f t="shared" si="33"/>
        <v>0</v>
      </c>
      <c r="K66" s="3"/>
      <c r="L66" s="8">
        <f t="shared" si="34"/>
        <v>-200</v>
      </c>
      <c r="M66" s="3"/>
      <c r="N66" s="7">
        <f t="shared" si="35"/>
        <v>-1</v>
      </c>
      <c r="O66" s="11"/>
      <c r="P66" s="8"/>
      <c r="Q66" s="3"/>
      <c r="R66" s="7">
        <f t="shared" si="36"/>
        <v>0</v>
      </c>
      <c r="S66" s="3"/>
      <c r="T66" s="8">
        <v>200</v>
      </c>
      <c r="U66" s="3"/>
      <c r="V66" s="7">
        <f t="shared" si="37"/>
        <v>0</v>
      </c>
      <c r="W66" s="3"/>
      <c r="X66" s="8">
        <f t="shared" si="38"/>
        <v>-200</v>
      </c>
      <c r="Y66" s="3"/>
      <c r="Z66" s="7">
        <f t="shared" si="39"/>
        <v>-1</v>
      </c>
    </row>
    <row r="67" spans="1:26" s="24" customFormat="1" hidden="1" outlineLevel="2" x14ac:dyDescent="0.3">
      <c r="A67" s="29"/>
      <c r="B67" s="11" t="str">
        <f>CONCATENATE("          ", "6248", " - ", "UNIFORMS")</f>
        <v xml:space="preserve">          6248 - UNIFORMS</v>
      </c>
      <c r="C67" s="11"/>
      <c r="D67" s="8"/>
      <c r="E67" s="3"/>
      <c r="F67" s="7">
        <f t="shared" si="32"/>
        <v>0</v>
      </c>
      <c r="G67" s="3"/>
      <c r="H67" s="8">
        <v>196</v>
      </c>
      <c r="I67" s="3"/>
      <c r="J67" s="7">
        <f t="shared" si="33"/>
        <v>0</v>
      </c>
      <c r="K67" s="3"/>
      <c r="L67" s="8">
        <f t="shared" si="34"/>
        <v>-196</v>
      </c>
      <c r="M67" s="3"/>
      <c r="N67" s="7">
        <f t="shared" si="35"/>
        <v>-1</v>
      </c>
      <c r="O67" s="11"/>
      <c r="P67" s="8"/>
      <c r="Q67" s="3"/>
      <c r="R67" s="7">
        <f t="shared" si="36"/>
        <v>0</v>
      </c>
      <c r="S67" s="3"/>
      <c r="T67" s="8">
        <v>196</v>
      </c>
      <c r="U67" s="3"/>
      <c r="V67" s="7">
        <f t="shared" si="37"/>
        <v>0</v>
      </c>
      <c r="W67" s="3"/>
      <c r="X67" s="8">
        <f t="shared" si="38"/>
        <v>-196</v>
      </c>
      <c r="Y67" s="3"/>
      <c r="Z67" s="7">
        <f t="shared" si="39"/>
        <v>-1</v>
      </c>
    </row>
    <row r="68" spans="1:26" s="27" customFormat="1" outlineLevel="1" collapsed="1" x14ac:dyDescent="0.3">
      <c r="A68" s="28"/>
      <c r="B68" s="14" t="str">
        <f>CONCATENATE("     ","Telephone/Data Lines                              ")</f>
        <v xml:space="preserve">     Telephone/Data Lines                              </v>
      </c>
      <c r="C68" s="14"/>
      <c r="D68" s="1">
        <f>SUM(OSRRefD22_11x_0)</f>
        <v>164</v>
      </c>
      <c r="E68" s="1"/>
      <c r="F68" s="5">
        <f t="shared" ref="F68:F69" si="40">IF(D$12=0,0,D68/D$12)</f>
        <v>0</v>
      </c>
      <c r="G68" s="1"/>
      <c r="H68" s="1">
        <f>SUM(OSRRefH22_11x_0)</f>
        <v>175</v>
      </c>
      <c r="I68" s="1"/>
      <c r="J68" s="5">
        <f t="shared" ref="J68:J69" si="41">IF(H$12=0,0,H68/H$12)</f>
        <v>0</v>
      </c>
      <c r="K68" s="1"/>
      <c r="L68" s="1">
        <f t="shared" ref="L68:L69" si="42">+D68-H68</f>
        <v>-11</v>
      </c>
      <c r="M68" s="1"/>
      <c r="N68" s="5">
        <f t="shared" ref="N68:N69" si="43">IF(H68=0,0,L68/H68)</f>
        <v>-6.2857142857142861E-2</v>
      </c>
      <c r="O68" s="14"/>
      <c r="P68" s="1">
        <f>SUM(OSRRefP22_11x_0)</f>
        <v>164</v>
      </c>
      <c r="Q68" s="1"/>
      <c r="R68" s="5">
        <f t="shared" ref="R68:R69" si="44">IF(P$12=0,0,P68/P$12)</f>
        <v>0</v>
      </c>
      <c r="S68" s="1"/>
      <c r="T68" s="1">
        <f>SUM(OSRRefT22_11x_0)</f>
        <v>175</v>
      </c>
      <c r="U68" s="1"/>
      <c r="V68" s="5">
        <f t="shared" ref="V68:V69" si="45">IF(T$12=0,0,T68/T$12)</f>
        <v>0</v>
      </c>
      <c r="W68" s="1"/>
      <c r="X68" s="1">
        <f t="shared" ref="X68:X69" si="46">+P68-T68</f>
        <v>-11</v>
      </c>
      <c r="Y68" s="1"/>
      <c r="Z68" s="5">
        <f t="shared" ref="Z68:Z69" si="47">IF(T68=0,0,X68/T68)</f>
        <v>-6.2857142857142861E-2</v>
      </c>
    </row>
    <row r="69" spans="1:26" s="24" customFormat="1" hidden="1" outlineLevel="2" x14ac:dyDescent="0.3">
      <c r="A69" s="29"/>
      <c r="B69" s="11" t="str">
        <f>CONCATENATE("          ", "6309", " - ", "TELEPHONE")</f>
        <v xml:space="preserve">          6309 - TELEPHONE</v>
      </c>
      <c r="C69" s="11"/>
      <c r="D69" s="8">
        <v>164</v>
      </c>
      <c r="E69" s="3"/>
      <c r="F69" s="7">
        <f t="shared" si="40"/>
        <v>0</v>
      </c>
      <c r="G69" s="3"/>
      <c r="H69" s="8">
        <v>175</v>
      </c>
      <c r="I69" s="3"/>
      <c r="J69" s="7">
        <f t="shared" si="41"/>
        <v>0</v>
      </c>
      <c r="K69" s="3"/>
      <c r="L69" s="8">
        <f t="shared" si="42"/>
        <v>-11</v>
      </c>
      <c r="M69" s="3"/>
      <c r="N69" s="7">
        <f t="shared" si="43"/>
        <v>-6.2857142857142861E-2</v>
      </c>
      <c r="O69" s="11"/>
      <c r="P69" s="8">
        <v>164</v>
      </c>
      <c r="Q69" s="3"/>
      <c r="R69" s="7">
        <f t="shared" si="44"/>
        <v>0</v>
      </c>
      <c r="S69" s="3"/>
      <c r="T69" s="8">
        <v>175</v>
      </c>
      <c r="U69" s="3"/>
      <c r="V69" s="7">
        <f t="shared" si="45"/>
        <v>0</v>
      </c>
      <c r="W69" s="3"/>
      <c r="X69" s="8">
        <f t="shared" si="46"/>
        <v>-11</v>
      </c>
      <c r="Y69" s="3"/>
      <c r="Z69" s="7">
        <f t="shared" si="47"/>
        <v>-6.2857142857142861E-2</v>
      </c>
    </row>
    <row r="70" spans="1:26" s="62" customFormat="1" x14ac:dyDescent="0.3">
      <c r="A70" s="36"/>
      <c r="B70" s="36"/>
      <c r="C70" s="36"/>
      <c r="D70" s="1"/>
      <c r="E70" s="1"/>
      <c r="F70" s="5"/>
      <c r="G70" s="1"/>
      <c r="H70" s="1"/>
      <c r="I70" s="1"/>
      <c r="J70" s="5"/>
      <c r="K70" s="1"/>
      <c r="L70" s="1"/>
      <c r="M70" s="1"/>
      <c r="N70" s="5"/>
      <c r="O70" s="36"/>
      <c r="P70" s="1"/>
      <c r="Q70" s="1"/>
      <c r="R70" s="5"/>
      <c r="S70" s="1"/>
      <c r="T70" s="1"/>
      <c r="U70" s="1"/>
      <c r="V70" s="5"/>
      <c r="W70" s="1"/>
      <c r="X70" s="1"/>
      <c r="Y70" s="1"/>
      <c r="Z70" s="5"/>
    </row>
    <row r="71" spans="1:26" s="23" customFormat="1" x14ac:dyDescent="0.3">
      <c r="A71" s="10"/>
      <c r="B71" s="25" t="s">
        <v>293</v>
      </c>
      <c r="C71" s="10"/>
      <c r="D71" s="4">
        <f>SUM(0)</f>
        <v>0</v>
      </c>
      <c r="E71" s="4"/>
      <c r="F71" s="12">
        <f>IF(D$12=0,0,D71/D$12)</f>
        <v>0</v>
      </c>
      <c r="G71" s="4"/>
      <c r="H71" s="4">
        <f>SUM(0)</f>
        <v>0</v>
      </c>
      <c r="I71" s="4"/>
      <c r="J71" s="12">
        <f>IF(H$12=0,0,H71/H$12)</f>
        <v>0</v>
      </c>
      <c r="K71" s="4"/>
      <c r="L71" s="4">
        <f>+D71-H71</f>
        <v>0</v>
      </c>
      <c r="M71" s="4"/>
      <c r="N71" s="12">
        <f>IF(H71=0,0,L71/H71)</f>
        <v>0</v>
      </c>
      <c r="O71" s="10"/>
      <c r="P71" s="4">
        <f>SUM(0)</f>
        <v>0</v>
      </c>
      <c r="Q71" s="4"/>
      <c r="R71" s="12">
        <f>IF(P$12=0,0,P71/P$12)</f>
        <v>0</v>
      </c>
      <c r="S71" s="4"/>
      <c r="T71" s="4">
        <f>SUM(0)</f>
        <v>0</v>
      </c>
      <c r="U71" s="4"/>
      <c r="V71" s="12">
        <f>IF(T$12=0,0,T71/T$12)</f>
        <v>0</v>
      </c>
      <c r="W71" s="4"/>
      <c r="X71" s="4">
        <f>+P71-T71</f>
        <v>0</v>
      </c>
      <c r="Y71" s="4"/>
      <c r="Z71" s="12">
        <f>IF(T71=0,0,X71/T71)</f>
        <v>0</v>
      </c>
    </row>
    <row r="72" spans="1:26" x14ac:dyDescent="0.3">
      <c r="A72" s="9"/>
      <c r="B72" s="10"/>
      <c r="C72" s="10"/>
      <c r="D72" s="2"/>
      <c r="E72" s="2"/>
      <c r="F72" s="6"/>
      <c r="G72" s="2"/>
      <c r="H72" s="2"/>
      <c r="I72" s="2"/>
      <c r="J72" s="6"/>
      <c r="K72" s="2"/>
      <c r="L72" s="2"/>
      <c r="M72" s="2"/>
      <c r="N72" s="6"/>
      <c r="O72" s="10"/>
      <c r="P72" s="2"/>
      <c r="Q72" s="2"/>
      <c r="R72" s="6"/>
      <c r="S72" s="2"/>
      <c r="T72" s="2"/>
      <c r="U72" s="2"/>
      <c r="V72" s="6"/>
      <c r="W72" s="2"/>
      <c r="X72" s="2"/>
      <c r="Y72" s="2"/>
      <c r="Z72" s="6"/>
    </row>
    <row r="73" spans="1:26" s="23" customFormat="1" x14ac:dyDescent="0.3">
      <c r="A73" s="10"/>
      <c r="B73" s="26" t="s">
        <v>277</v>
      </c>
      <c r="C73" s="26"/>
      <c r="D73" s="21">
        <f>+D16-D18+D71</f>
        <v>-41498.81</v>
      </c>
      <c r="E73" s="13"/>
      <c r="F73" s="22">
        <f>IF(D$12=0,0,D73/D$12)</f>
        <v>0</v>
      </c>
      <c r="G73" s="13"/>
      <c r="H73" s="21">
        <f>+H16-H18+H71</f>
        <v>-117734.36837115386</v>
      </c>
      <c r="I73" s="13"/>
      <c r="J73" s="22">
        <f>IF(H$12=0,0,H73/H$12)</f>
        <v>0</v>
      </c>
      <c r="K73" s="16"/>
      <c r="L73" s="21">
        <f>+D73-H73</f>
        <v>76235.558371153864</v>
      </c>
      <c r="M73" s="16"/>
      <c r="N73" s="22">
        <f>IF(H73=0,0,L73/H73)</f>
        <v>-0.64752170012772892</v>
      </c>
      <c r="O73" s="25"/>
      <c r="P73" s="21">
        <f>+P16-P18+P71</f>
        <v>-41498.81</v>
      </c>
      <c r="Q73" s="13"/>
      <c r="R73" s="22">
        <f>IF(P$12=0,0,P73/P$12)</f>
        <v>0</v>
      </c>
      <c r="S73" s="13"/>
      <c r="T73" s="21">
        <f>+T16-T18+T71</f>
        <v>-117734.36837115386</v>
      </c>
      <c r="U73" s="13"/>
      <c r="V73" s="22">
        <f>IF(T$12=0,0,T73/T$12)</f>
        <v>0</v>
      </c>
      <c r="W73" s="16"/>
      <c r="X73" s="21">
        <f>+P73-T73</f>
        <v>76235.558371153864</v>
      </c>
      <c r="Y73" s="16"/>
      <c r="Z73" s="22">
        <f>IF(T73=0,0,X73/T73)</f>
        <v>-0.64752170012772892</v>
      </c>
    </row>
    <row r="74" spans="1:26" x14ac:dyDescent="0.3">
      <c r="A74" s="9"/>
      <c r="B74" s="10"/>
      <c r="C74" s="9"/>
      <c r="D74" s="2"/>
      <c r="E74" s="2"/>
      <c r="F74" s="6"/>
      <c r="G74" s="2"/>
      <c r="H74" s="2"/>
      <c r="I74" s="2"/>
      <c r="J74" s="6"/>
      <c r="K74" s="2"/>
      <c r="L74" s="2"/>
      <c r="M74" s="2"/>
      <c r="N74" s="6"/>
      <c r="P74" s="2"/>
      <c r="Q74" s="2"/>
      <c r="R74" s="6"/>
      <c r="S74" s="2"/>
      <c r="T74" s="2"/>
      <c r="U74" s="2"/>
      <c r="V74" s="6"/>
      <c r="W74" s="2"/>
      <c r="X74" s="2"/>
      <c r="Y74" s="2"/>
      <c r="Z74" s="6"/>
    </row>
    <row r="75" spans="1:26" s="23" customFormat="1" x14ac:dyDescent="0.3">
      <c r="A75" s="52"/>
      <c r="B75" s="10" t="s">
        <v>128</v>
      </c>
      <c r="C75" s="10"/>
      <c r="D75" s="4"/>
      <c r="E75" s="4"/>
      <c r="F75" s="12">
        <f>IF(D$12=0,0,D75/D$12)</f>
        <v>0</v>
      </c>
      <c r="G75" s="4"/>
      <c r="H75" s="4">
        <v>0</v>
      </c>
      <c r="I75" s="4"/>
      <c r="J75" s="12">
        <f>IF(H$12=0,0,H75/H$12)</f>
        <v>0</v>
      </c>
      <c r="K75" s="4"/>
      <c r="L75" s="4">
        <f>+D75-H75</f>
        <v>0</v>
      </c>
      <c r="M75" s="4"/>
      <c r="N75" s="12">
        <f>IF(H75=0,0,L75/H75)</f>
        <v>0</v>
      </c>
      <c r="O75" s="10"/>
      <c r="P75" s="4"/>
      <c r="Q75" s="4"/>
      <c r="R75" s="12">
        <f>IF(P$12=0,0,P75/P$12)</f>
        <v>0</v>
      </c>
      <c r="S75" s="4"/>
      <c r="T75" s="4">
        <v>0</v>
      </c>
      <c r="U75" s="4"/>
      <c r="V75" s="12">
        <f>IF(T$12=0,0,T75/T$12)</f>
        <v>0</v>
      </c>
      <c r="W75" s="4"/>
      <c r="X75" s="4">
        <f>+P75-T75</f>
        <v>0</v>
      </c>
      <c r="Y75" s="4"/>
      <c r="Z75" s="12">
        <f>IF(T75=0,0,X75/T75)</f>
        <v>0</v>
      </c>
    </row>
    <row r="76" spans="1:26" x14ac:dyDescent="0.3">
      <c r="A76" s="9"/>
      <c r="B76" s="10"/>
      <c r="C76" s="10"/>
      <c r="D76" s="2"/>
      <c r="E76" s="2"/>
      <c r="F76" s="6"/>
      <c r="G76" s="2"/>
      <c r="H76" s="2"/>
      <c r="I76" s="2"/>
      <c r="J76" s="6"/>
      <c r="K76" s="2"/>
      <c r="L76" s="2"/>
      <c r="M76" s="2"/>
      <c r="N76" s="6"/>
      <c r="O76" s="10"/>
      <c r="P76" s="2"/>
      <c r="Q76" s="2"/>
      <c r="R76" s="6"/>
      <c r="S76" s="2"/>
      <c r="T76" s="2"/>
      <c r="U76" s="2"/>
      <c r="V76" s="6"/>
      <c r="W76" s="2"/>
      <c r="X76" s="2"/>
      <c r="Y76" s="2"/>
      <c r="Z76" s="6"/>
    </row>
    <row r="77" spans="1:26" s="23" customFormat="1" ht="15" thickBot="1" x14ac:dyDescent="0.35">
      <c r="A77" s="10"/>
      <c r="B77" s="26" t="s">
        <v>126</v>
      </c>
      <c r="C77" s="26"/>
      <c r="D77" s="35">
        <f>+D73-D75</f>
        <v>-41498.81</v>
      </c>
      <c r="E77" s="13"/>
      <c r="F77" s="30">
        <f>IF(D$12=0,0,D77/D$12)</f>
        <v>0</v>
      </c>
      <c r="G77" s="13"/>
      <c r="H77" s="35">
        <f>+H73-H75</f>
        <v>-117734.36837115386</v>
      </c>
      <c r="I77" s="13"/>
      <c r="J77" s="30">
        <f>IF(H$12=0,0,H77/H$12)</f>
        <v>0</v>
      </c>
      <c r="K77" s="16"/>
      <c r="L77" s="35">
        <f>D77-H77</f>
        <v>76235.558371153864</v>
      </c>
      <c r="M77" s="16"/>
      <c r="N77" s="30">
        <f>IF(H77=0,0,L77/H77)</f>
        <v>-0.64752170012772892</v>
      </c>
      <c r="O77" s="25"/>
      <c r="P77" s="35">
        <f>+P73-P75</f>
        <v>-41498.81</v>
      </c>
      <c r="Q77" s="13"/>
      <c r="R77" s="30">
        <f>IF(P$12=0,0,P77/P$12)</f>
        <v>0</v>
      </c>
      <c r="S77" s="13"/>
      <c r="T77" s="35">
        <f>+T73-T75</f>
        <v>-117734.36837115386</v>
      </c>
      <c r="U77" s="13"/>
      <c r="V77" s="30">
        <f>IF(T$12=0,0,T77/T$12)</f>
        <v>0</v>
      </c>
      <c r="W77" s="16"/>
      <c r="X77" s="35">
        <f>P77-T77</f>
        <v>76235.558371153864</v>
      </c>
      <c r="Y77" s="16"/>
      <c r="Z77" s="30">
        <f>IF(T77=0,0,X77/T77)</f>
        <v>-0.64752170012772892</v>
      </c>
    </row>
    <row r="78" spans="1:26" ht="15" thickTop="1" x14ac:dyDescent="0.3">
      <c r="A78" s="9"/>
      <c r="B78" s="9"/>
      <c r="C78" s="9"/>
      <c r="D78" s="2"/>
      <c r="E78" s="2"/>
      <c r="F78" s="6"/>
      <c r="G78" s="2"/>
      <c r="H78" s="2"/>
      <c r="I78" s="2"/>
      <c r="J78" s="6"/>
      <c r="K78" s="2"/>
      <c r="L78" s="2"/>
      <c r="M78" s="2"/>
      <c r="N78" s="6"/>
      <c r="P78" s="2"/>
      <c r="Q78" s="2"/>
      <c r="R78" s="6"/>
      <c r="S78" s="2"/>
      <c r="T78" s="2"/>
      <c r="U78" s="2"/>
      <c r="V78" s="6"/>
      <c r="W78" s="2"/>
      <c r="X78" s="2"/>
      <c r="Y78" s="2"/>
      <c r="Z78" s="6"/>
    </row>
    <row r="79" spans="1:26" x14ac:dyDescent="0.3">
      <c r="A79" s="9"/>
      <c r="B79" s="9"/>
      <c r="C79" s="9"/>
      <c r="D79" s="2"/>
      <c r="E79" s="2"/>
      <c r="F79" s="6"/>
      <c r="G79" s="2"/>
      <c r="H79" s="2"/>
      <c r="I79" s="2"/>
      <c r="J79" s="6"/>
      <c r="K79" s="2"/>
      <c r="L79" s="2"/>
      <c r="M79" s="2"/>
      <c r="N79" s="6"/>
      <c r="P79" s="2"/>
      <c r="Q79" s="2"/>
      <c r="R79" s="6"/>
      <c r="S79" s="2"/>
      <c r="T79" s="2"/>
      <c r="U79" s="2"/>
      <c r="V79" s="6"/>
      <c r="W79" s="2"/>
      <c r="X79" s="2"/>
      <c r="Y79" s="2"/>
      <c r="Z79" s="6"/>
    </row>
    <row r="80" spans="1:26" s="23" customFormat="1" ht="15" thickBot="1" x14ac:dyDescent="0.35">
      <c r="A80" s="10"/>
      <c r="B80" s="26" t="s">
        <v>294</v>
      </c>
      <c r="C80" s="26"/>
      <c r="D80" s="33">
        <f>SUM(D77:D79)</f>
        <v>-41498.81</v>
      </c>
      <c r="E80" s="13"/>
      <c r="F80" s="31">
        <f>IF(D$12=0,0,D80/D$12)</f>
        <v>0</v>
      </c>
      <c r="G80" s="13"/>
      <c r="H80" s="33">
        <f>SUM(H77:H79)</f>
        <v>-117734.36837115386</v>
      </c>
      <c r="I80" s="13"/>
      <c r="J80" s="31">
        <f>IF(H$12=0,0,H80/H$12)</f>
        <v>0</v>
      </c>
      <c r="K80" s="16"/>
      <c r="L80" s="33">
        <f>+D80-H80</f>
        <v>76235.558371153864</v>
      </c>
      <c r="M80" s="16"/>
      <c r="N80" s="31">
        <f>IF(H80=0,0,L80/H80)</f>
        <v>-0.64752170012772892</v>
      </c>
      <c r="O80" s="25"/>
      <c r="P80" s="33">
        <f>SUM(P77:P79)</f>
        <v>-41498.81</v>
      </c>
      <c r="Q80" s="13"/>
      <c r="R80" s="31">
        <f>IF(P$12=0,0,P80/P$12)</f>
        <v>0</v>
      </c>
      <c r="S80" s="13"/>
      <c r="T80" s="33">
        <f>SUM(T77:T79)</f>
        <v>-117734.36837115386</v>
      </c>
      <c r="U80" s="13"/>
      <c r="V80" s="31">
        <f>IF(T$12=0,0,T80/T$12)</f>
        <v>0</v>
      </c>
      <c r="W80" s="16"/>
      <c r="X80" s="33">
        <f>+P80-T80</f>
        <v>76235.558371153864</v>
      </c>
      <c r="Y80" s="16"/>
      <c r="Z80" s="31">
        <f>IF(T80=0,0,X80/T80)</f>
        <v>-0.64752170012772892</v>
      </c>
    </row>
    <row r="81" spans="1:24" ht="15" thickTop="1" x14ac:dyDescent="0.3">
      <c r="A81" s="9"/>
      <c r="C81" s="9"/>
      <c r="D81" s="18"/>
      <c r="E81" s="18"/>
      <c r="G81" s="18"/>
      <c r="H81" s="18"/>
      <c r="I81" s="18"/>
      <c r="J81" s="43"/>
      <c r="K81" s="18"/>
      <c r="L81" s="18"/>
      <c r="M81" s="18"/>
      <c r="P81" s="18"/>
      <c r="Q81" s="18"/>
      <c r="R81" s="43"/>
      <c r="S81" s="18"/>
      <c r="T81" s="18"/>
      <c r="U81" s="18"/>
      <c r="V81" s="43"/>
      <c r="W81" s="18"/>
      <c r="X81" s="18"/>
    </row>
    <row r="82" spans="1:24" x14ac:dyDescent="0.3">
      <c r="A82" s="9"/>
      <c r="B82" s="54">
        <v>44462.64548684028</v>
      </c>
      <c r="D82" s="18"/>
      <c r="E82" s="18"/>
      <c r="G82" s="18"/>
      <c r="H82" s="18"/>
      <c r="I82" s="18"/>
      <c r="J82" s="43"/>
      <c r="K82" s="18"/>
      <c r="L82" s="18"/>
      <c r="M82" s="18"/>
      <c r="P82" s="18"/>
      <c r="Q82" s="18"/>
      <c r="R82" s="43"/>
      <c r="S82" s="18"/>
      <c r="T82" s="18"/>
      <c r="U82" s="18"/>
      <c r="V82" s="43"/>
      <c r="W82" s="18"/>
      <c r="X82" s="18"/>
    </row>
    <row r="83" spans="1:24" x14ac:dyDescent="0.3">
      <c r="A83" s="9"/>
      <c r="B83" s="59" t="s">
        <v>56</v>
      </c>
      <c r="D83" s="18"/>
      <c r="E83" s="18"/>
      <c r="G83" s="18"/>
      <c r="H83" s="18"/>
      <c r="I83" s="18"/>
      <c r="J83" s="43"/>
      <c r="K83" s="18"/>
      <c r="L83" s="18"/>
      <c r="M83" s="18"/>
      <c r="P83" s="18"/>
      <c r="Q83" s="18"/>
      <c r="R83" s="43"/>
      <c r="S83" s="18"/>
      <c r="T83" s="18"/>
      <c r="U83" s="18"/>
      <c r="V83" s="43"/>
      <c r="W83" s="18"/>
      <c r="X83" s="18"/>
    </row>
    <row r="84" spans="1:24" x14ac:dyDescent="0.3">
      <c r="A84" s="9"/>
      <c r="B84" s="55"/>
      <c r="D84" s="18"/>
      <c r="E84" s="18"/>
      <c r="G84" s="18"/>
      <c r="H84" s="18"/>
      <c r="I84" s="18"/>
      <c r="J84" s="43"/>
      <c r="K84" s="18"/>
      <c r="L84" s="18"/>
      <c r="M84" s="18"/>
      <c r="P84" s="18"/>
      <c r="Q84" s="18"/>
      <c r="R84" s="43"/>
      <c r="S84" s="18"/>
      <c r="T84" s="18"/>
      <c r="U84" s="18"/>
      <c r="V84" s="43"/>
      <c r="W84" s="18"/>
      <c r="X84" s="18"/>
    </row>
    <row r="85" spans="1:24" x14ac:dyDescent="0.3">
      <c r="D85" s="18"/>
      <c r="E85" s="18"/>
      <c r="G85" s="18"/>
      <c r="H85" s="18"/>
      <c r="I85" s="18"/>
      <c r="J85" s="43"/>
      <c r="K85" s="18"/>
      <c r="L85" s="18"/>
      <c r="M85" s="18"/>
      <c r="P85" s="18"/>
      <c r="Q85" s="18"/>
      <c r="R85" s="43"/>
      <c r="S85" s="18"/>
      <c r="T85" s="18"/>
      <c r="U85" s="18"/>
      <c r="V85" s="43"/>
      <c r="W85" s="18"/>
      <c r="X85" s="18"/>
    </row>
  </sheetData>
  <pageMargins left="0.25" right="0.25" top="0.75" bottom="0.75" header="0.3" footer="0.3"/>
  <pageSetup scale="55" fitToWidth="2" orientation="landscape"/>
  <drawing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>
    <tabColor rgb="FF92D050"/>
    <outlinePr summaryBelow="0" summaryRight="0"/>
  </sheetPr>
  <dimension ref="A2:Z94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50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7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50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7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7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7" customWidth="1" outlineLevel="1"/>
  </cols>
  <sheetData>
    <row r="2" spans="1:26" x14ac:dyDescent="0.3">
      <c r="D2" s="57" t="s">
        <v>23</v>
      </c>
    </row>
    <row r="3" spans="1:26" x14ac:dyDescent="0.3">
      <c r="D3" s="57" t="s">
        <v>237</v>
      </c>
      <c r="E3" s="17"/>
      <c r="F3" s="51"/>
      <c r="G3" s="17"/>
      <c r="H3" s="17"/>
      <c r="I3" s="17"/>
      <c r="J3" s="39"/>
      <c r="K3" s="17"/>
      <c r="L3" s="17"/>
      <c r="M3" s="17"/>
      <c r="N3" s="51"/>
      <c r="O3" s="61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3">
      <c r="D4" s="57" t="str">
        <f>CONCATENATE("Period ",RIGHT(202201,2),", ",2022)</f>
        <v>Period 01, 2022</v>
      </c>
      <c r="E4" s="17"/>
      <c r="F4" s="51"/>
      <c r="G4" s="17"/>
      <c r="H4" s="17"/>
      <c r="I4" s="17"/>
      <c r="J4" s="39"/>
      <c r="K4" s="17"/>
      <c r="L4" s="17"/>
      <c r="M4" s="17"/>
      <c r="N4" s="51"/>
      <c r="O4" s="61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3">
      <c r="A5" s="23"/>
      <c r="D5" s="64">
        <v>44408</v>
      </c>
      <c r="E5" s="17"/>
      <c r="F5" s="51"/>
      <c r="G5" s="17"/>
      <c r="H5" s="17"/>
      <c r="I5" s="17"/>
      <c r="J5" s="39"/>
      <c r="K5" s="17"/>
      <c r="L5" s="17"/>
      <c r="M5" s="17"/>
      <c r="N5" s="51"/>
      <c r="O5" s="61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3">
      <c r="A6" s="23"/>
      <c r="B6" s="47"/>
      <c r="C6" s="47"/>
      <c r="D6" s="23" t="str">
        <f>CONCATENATE("Department ","444", " - ", "Parkside Dining Hall")</f>
        <v>Department 444 - Parkside Dining Hall</v>
      </c>
      <c r="E6" s="17"/>
      <c r="F6" s="51"/>
      <c r="G6" s="17"/>
      <c r="H6" s="17"/>
      <c r="I6" s="17"/>
      <c r="J6" s="39"/>
      <c r="K6" s="17"/>
      <c r="L6" s="17"/>
      <c r="M6" s="17"/>
      <c r="N6" s="51"/>
      <c r="O6" s="60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3">
      <c r="B7" s="63"/>
    </row>
    <row r="8" spans="1:26" x14ac:dyDescent="0.3">
      <c r="B8" s="63"/>
    </row>
    <row r="9" spans="1:26" x14ac:dyDescent="0.3">
      <c r="B9" s="9"/>
      <c r="C9" s="9"/>
      <c r="D9" s="15" t="s">
        <v>292</v>
      </c>
      <c r="E9" s="15"/>
      <c r="F9" s="38"/>
      <c r="G9" s="15"/>
      <c r="H9" s="15"/>
      <c r="I9" s="15"/>
      <c r="J9" s="49"/>
      <c r="K9" s="15"/>
      <c r="L9" s="15"/>
      <c r="M9" s="15"/>
      <c r="N9" s="38"/>
      <c r="P9" s="15" t="s">
        <v>39</v>
      </c>
      <c r="Q9" s="15"/>
      <c r="R9" s="38"/>
      <c r="S9" s="15"/>
      <c r="T9" s="15"/>
      <c r="U9" s="15"/>
      <c r="V9" s="49"/>
      <c r="W9" s="15"/>
      <c r="X9" s="15"/>
      <c r="Y9" s="15"/>
      <c r="Z9" s="38"/>
    </row>
    <row r="10" spans="1:26" x14ac:dyDescent="0.3">
      <c r="A10" s="10"/>
      <c r="B10" s="53"/>
      <c r="C10" s="10"/>
      <c r="D10" s="42" t="s">
        <v>57</v>
      </c>
      <c r="E10" s="34"/>
      <c r="F10" s="40" t="s">
        <v>40</v>
      </c>
      <c r="G10" s="34"/>
      <c r="H10" s="45" t="s">
        <v>238</v>
      </c>
      <c r="I10" s="34"/>
      <c r="J10" s="48" t="s">
        <v>58</v>
      </c>
      <c r="K10" s="10"/>
      <c r="L10" s="42" t="s">
        <v>127</v>
      </c>
      <c r="M10" s="10"/>
      <c r="N10" s="40" t="s">
        <v>258</v>
      </c>
      <c r="O10" s="10"/>
      <c r="P10" s="56" t="s">
        <v>57</v>
      </c>
      <c r="Q10" s="34"/>
      <c r="R10" s="40" t="s">
        <v>40</v>
      </c>
      <c r="S10" s="34"/>
      <c r="T10" s="45" t="s">
        <v>238</v>
      </c>
      <c r="U10" s="34"/>
      <c r="V10" s="48" t="s">
        <v>58</v>
      </c>
      <c r="W10" s="10"/>
      <c r="X10" s="42" t="s">
        <v>127</v>
      </c>
      <c r="Y10" s="10"/>
      <c r="Z10" s="40" t="s">
        <v>258</v>
      </c>
    </row>
    <row r="11" spans="1:26" ht="15.6" x14ac:dyDescent="0.3">
      <c r="A11" s="9"/>
      <c r="B11" s="58"/>
      <c r="C11" s="9"/>
      <c r="D11" s="9"/>
      <c r="E11" s="9"/>
      <c r="F11" s="6"/>
      <c r="G11" s="9"/>
      <c r="H11" s="9"/>
      <c r="I11" s="9"/>
      <c r="J11" s="46"/>
      <c r="K11" s="9"/>
      <c r="L11" s="9"/>
      <c r="M11" s="9"/>
      <c r="N11" s="6"/>
      <c r="P11" s="9"/>
      <c r="Q11" s="9"/>
      <c r="R11" s="6"/>
      <c r="S11" s="9"/>
      <c r="T11" s="9"/>
      <c r="U11" s="9"/>
      <c r="V11" s="46"/>
      <c r="W11" s="9"/>
      <c r="X11" s="9"/>
      <c r="Y11" s="9"/>
      <c r="Z11" s="6"/>
    </row>
    <row r="12" spans="1:26" s="23" customFormat="1" collapsed="1" x14ac:dyDescent="0.3">
      <c r="A12" s="10"/>
      <c r="B12" s="25" t="s">
        <v>140</v>
      </c>
      <c r="C12" s="10"/>
      <c r="D12" s="4">
        <f>SUM(OSRRefD13x_0)</f>
        <v>22987.35</v>
      </c>
      <c r="E12" s="4"/>
      <c r="F12" s="12"/>
      <c r="G12" s="4"/>
      <c r="H12" s="4">
        <f>SUM(OSRRefH13x_0)</f>
        <v>0</v>
      </c>
      <c r="I12" s="4"/>
      <c r="J12" s="12"/>
      <c r="K12" s="4"/>
      <c r="L12" s="4">
        <f t="shared" ref="L12:L15" si="0">+D12-H12</f>
        <v>22987.35</v>
      </c>
      <c r="M12" s="4"/>
      <c r="N12" s="12">
        <f t="shared" ref="N12:N15" si="1">IF(H12=0,0,L12/H12)</f>
        <v>0</v>
      </c>
      <c r="O12" s="10"/>
      <c r="P12" s="4">
        <f>SUM(OSRRefP13x_0)</f>
        <v>22987.35</v>
      </c>
      <c r="Q12" s="4"/>
      <c r="R12" s="12"/>
      <c r="S12" s="4"/>
      <c r="T12" s="4">
        <f>SUM(OSRRefT13x_0)</f>
        <v>0</v>
      </c>
      <c r="U12" s="4"/>
      <c r="V12" s="12"/>
      <c r="W12" s="4"/>
      <c r="X12" s="4">
        <f t="shared" ref="X12:X15" si="2">+P12-T12</f>
        <v>22987.35</v>
      </c>
      <c r="Y12" s="4"/>
      <c r="Z12" s="12">
        <f t="shared" ref="Z12:Z15" si="3">IF(T12=0,0,X12/T12)</f>
        <v>0</v>
      </c>
    </row>
    <row r="13" spans="1:26" s="24" customFormat="1" hidden="1" outlineLevel="1" x14ac:dyDescent="0.3">
      <c r="A13" s="44"/>
      <c r="B13" s="11" t="str">
        <f>CONCATENATE("          ", "4053", " - ", "TAXABLE SALES-FOOD")</f>
        <v xml:space="preserve">          4053 - TAXABLE SALES-FOOD</v>
      </c>
      <c r="C13" s="11"/>
      <c r="D13" s="3">
        <f>--106.64</f>
        <v>106.64</v>
      </c>
      <c r="E13" s="3"/>
      <c r="F13" s="19"/>
      <c r="G13" s="3"/>
      <c r="H13" s="3"/>
      <c r="I13" s="3"/>
      <c r="J13" s="19"/>
      <c r="K13" s="3"/>
      <c r="L13" s="3">
        <f t="shared" si="0"/>
        <v>106.64</v>
      </c>
      <c r="M13" s="3"/>
      <c r="N13" s="19">
        <f t="shared" si="1"/>
        <v>0</v>
      </c>
      <c r="O13" s="11"/>
      <c r="P13" s="3">
        <f>--106.64</f>
        <v>106.64</v>
      </c>
      <c r="Q13" s="3"/>
      <c r="R13" s="19"/>
      <c r="S13" s="3"/>
      <c r="T13" s="3"/>
      <c r="U13" s="3"/>
      <c r="V13" s="19"/>
      <c r="W13" s="3"/>
      <c r="X13" s="3">
        <f t="shared" si="2"/>
        <v>106.64</v>
      </c>
      <c r="Y13" s="3"/>
      <c r="Z13" s="19">
        <f t="shared" si="3"/>
        <v>0</v>
      </c>
    </row>
    <row r="14" spans="1:26" s="24" customFormat="1" hidden="1" outlineLevel="1" x14ac:dyDescent="0.3">
      <c r="A14" s="44"/>
      <c r="B14" s="11" t="str">
        <f>CONCATENATE("          ", "4151", " - ", "NON-TAXABLE SALES-FOOD")</f>
        <v xml:space="preserve">          4151 - NON-TAXABLE SALES-FOOD</v>
      </c>
      <c r="C14" s="11"/>
      <c r="D14" s="3">
        <f>--19600</f>
        <v>19600</v>
      </c>
      <c r="E14" s="3"/>
      <c r="F14" s="19"/>
      <c r="G14" s="3"/>
      <c r="H14" s="3"/>
      <c r="I14" s="3"/>
      <c r="J14" s="19"/>
      <c r="K14" s="3"/>
      <c r="L14" s="3">
        <f t="shared" si="0"/>
        <v>19600</v>
      </c>
      <c r="M14" s="3"/>
      <c r="N14" s="19">
        <f t="shared" si="1"/>
        <v>0</v>
      </c>
      <c r="O14" s="11"/>
      <c r="P14" s="3">
        <f>--19600</f>
        <v>19600</v>
      </c>
      <c r="Q14" s="3"/>
      <c r="R14" s="19"/>
      <c r="S14" s="3"/>
      <c r="T14" s="3"/>
      <c r="U14" s="3"/>
      <c r="V14" s="19"/>
      <c r="W14" s="3"/>
      <c r="X14" s="3">
        <f t="shared" si="2"/>
        <v>19600</v>
      </c>
      <c r="Y14" s="3"/>
      <c r="Z14" s="19">
        <f t="shared" si="3"/>
        <v>0</v>
      </c>
    </row>
    <row r="15" spans="1:26" s="24" customFormat="1" hidden="1" outlineLevel="1" x14ac:dyDescent="0.3">
      <c r="A15" s="44"/>
      <c r="B15" s="11" t="str">
        <f>CONCATENATE("          ", "4153", " - ", "NON-TAXABLE SALES-FOOD")</f>
        <v xml:space="preserve">          4153 - NON-TAXABLE SALES-FOOD</v>
      </c>
      <c r="C15" s="11"/>
      <c r="D15" s="3">
        <f>--3280.71</f>
        <v>3280.71</v>
      </c>
      <c r="E15" s="3"/>
      <c r="F15" s="19"/>
      <c r="G15" s="3"/>
      <c r="H15" s="3"/>
      <c r="I15" s="3"/>
      <c r="J15" s="19"/>
      <c r="K15" s="3"/>
      <c r="L15" s="3">
        <f t="shared" si="0"/>
        <v>3280.71</v>
      </c>
      <c r="M15" s="3"/>
      <c r="N15" s="19">
        <f t="shared" si="1"/>
        <v>0</v>
      </c>
      <c r="O15" s="11"/>
      <c r="P15" s="3">
        <f>--3280.71</f>
        <v>3280.71</v>
      </c>
      <c r="Q15" s="3"/>
      <c r="R15" s="19"/>
      <c r="S15" s="3"/>
      <c r="T15" s="3"/>
      <c r="U15" s="3"/>
      <c r="V15" s="19"/>
      <c r="W15" s="3"/>
      <c r="X15" s="3">
        <f t="shared" si="2"/>
        <v>3280.71</v>
      </c>
      <c r="Y15" s="3"/>
      <c r="Z15" s="19">
        <f t="shared" si="3"/>
        <v>0</v>
      </c>
    </row>
    <row r="16" spans="1:26" x14ac:dyDescent="0.3">
      <c r="A16" s="9"/>
      <c r="B16" s="10"/>
      <c r="C16" s="9"/>
      <c r="D16" s="2"/>
      <c r="E16" s="2"/>
      <c r="F16" s="6"/>
      <c r="G16" s="2"/>
      <c r="H16" s="2"/>
      <c r="I16" s="2"/>
      <c r="J16" s="6"/>
      <c r="K16" s="2"/>
      <c r="L16" s="2"/>
      <c r="M16" s="2"/>
      <c r="N16" s="6"/>
      <c r="P16" s="2"/>
      <c r="Q16" s="2"/>
      <c r="R16" s="6"/>
      <c r="S16" s="2"/>
      <c r="T16" s="2"/>
      <c r="U16" s="2"/>
      <c r="V16" s="6"/>
      <c r="W16" s="2"/>
      <c r="X16" s="2"/>
      <c r="Y16" s="2"/>
      <c r="Z16" s="6"/>
    </row>
    <row r="17" spans="1:26" s="23" customFormat="1" collapsed="1" x14ac:dyDescent="0.3">
      <c r="A17" s="10"/>
      <c r="B17" s="25" t="s">
        <v>257</v>
      </c>
      <c r="C17" s="10"/>
      <c r="D17" s="4">
        <f>SUM(OSRRefD16x_0)</f>
        <v>17128.84</v>
      </c>
      <c r="E17" s="4"/>
      <c r="F17" s="12">
        <f t="shared" ref="F17:F19" si="4">IF(D$12=0,0,D17/D$12)</f>
        <v>0.74514200201415126</v>
      </c>
      <c r="G17" s="4"/>
      <c r="H17" s="4">
        <f>SUM(OSRRefH16x_0)</f>
        <v>0</v>
      </c>
      <c r="I17" s="4"/>
      <c r="J17" s="12">
        <f t="shared" ref="J17:J19" si="5">IF(H$12=0,0,H17/H$12)</f>
        <v>0</v>
      </c>
      <c r="K17" s="4"/>
      <c r="L17" s="4">
        <f t="shared" ref="L17:L19" si="6">+D17-H17</f>
        <v>17128.84</v>
      </c>
      <c r="M17" s="4"/>
      <c r="N17" s="12">
        <f t="shared" ref="N17:N19" si="7">IF(H17=0,0,L17/H17)</f>
        <v>0</v>
      </c>
      <c r="O17" s="10"/>
      <c r="P17" s="4">
        <f>SUM(OSRRefP16x_0)</f>
        <v>17128.84</v>
      </c>
      <c r="Q17" s="4"/>
      <c r="R17" s="12">
        <f t="shared" ref="R17:R19" si="8">IF(P$12=0,0,P17/P$12)</f>
        <v>0.74514200201415126</v>
      </c>
      <c r="S17" s="4"/>
      <c r="T17" s="4">
        <f>SUM(OSRRefT16x_0)</f>
        <v>0</v>
      </c>
      <c r="U17" s="4"/>
      <c r="V17" s="12">
        <f t="shared" ref="V17:V19" si="9">IF(T$12=0,0,T17/T$12)</f>
        <v>0</v>
      </c>
      <c r="W17" s="4"/>
      <c r="X17" s="4">
        <f t="shared" ref="X17:X19" si="10">+P17-T17</f>
        <v>17128.84</v>
      </c>
      <c r="Y17" s="4"/>
      <c r="Z17" s="12">
        <f t="shared" ref="Z17:Z19" si="11">IF(T17=0,0,X17/T17)</f>
        <v>0</v>
      </c>
    </row>
    <row r="18" spans="1:26" s="24" customFormat="1" hidden="1" outlineLevel="1" x14ac:dyDescent="0.3">
      <c r="A18" s="44"/>
      <c r="B18" s="11" t="str">
        <f>CONCATENATE("          ", "5053", " - ", "PURCHASES @ COST-FOOD")</f>
        <v xml:space="preserve">          5053 - PURCHASES @ COST-FOOD</v>
      </c>
      <c r="C18" s="11"/>
      <c r="D18" s="3">
        <v>17968.84</v>
      </c>
      <c r="E18" s="3"/>
      <c r="F18" s="19">
        <f t="shared" si="4"/>
        <v>0.7816838391550136</v>
      </c>
      <c r="G18" s="3"/>
      <c r="H18" s="3"/>
      <c r="I18" s="3"/>
      <c r="J18" s="19">
        <f t="shared" si="5"/>
        <v>0</v>
      </c>
      <c r="K18" s="3"/>
      <c r="L18" s="3">
        <f t="shared" si="6"/>
        <v>17968.84</v>
      </c>
      <c r="M18" s="3"/>
      <c r="N18" s="19">
        <f t="shared" si="7"/>
        <v>0</v>
      </c>
      <c r="O18" s="11"/>
      <c r="P18" s="3">
        <v>17968.84</v>
      </c>
      <c r="Q18" s="3"/>
      <c r="R18" s="19">
        <f t="shared" si="8"/>
        <v>0.7816838391550136</v>
      </c>
      <c r="S18" s="3"/>
      <c r="T18" s="3"/>
      <c r="U18" s="3"/>
      <c r="V18" s="19">
        <f t="shared" si="9"/>
        <v>0</v>
      </c>
      <c r="W18" s="3"/>
      <c r="X18" s="3">
        <f t="shared" si="10"/>
        <v>17968.84</v>
      </c>
      <c r="Y18" s="3"/>
      <c r="Z18" s="19">
        <f t="shared" si="11"/>
        <v>0</v>
      </c>
    </row>
    <row r="19" spans="1:26" s="24" customFormat="1" hidden="1" outlineLevel="1" x14ac:dyDescent="0.3">
      <c r="A19" s="44"/>
      <c r="B19" s="11" t="str">
        <f>CONCATENATE("          ", "5059", " - ", "PURCHASES @ COST-FOOD")</f>
        <v xml:space="preserve">          5059 - PURCHASES @ COST-FOOD</v>
      </c>
      <c r="C19" s="11"/>
      <c r="D19" s="3">
        <v>-840</v>
      </c>
      <c r="E19" s="3"/>
      <c r="F19" s="19">
        <f t="shared" si="4"/>
        <v>-3.654183714086226E-2</v>
      </c>
      <c r="G19" s="3"/>
      <c r="H19" s="3"/>
      <c r="I19" s="3"/>
      <c r="J19" s="19">
        <f t="shared" si="5"/>
        <v>0</v>
      </c>
      <c r="K19" s="3"/>
      <c r="L19" s="3">
        <f t="shared" si="6"/>
        <v>-840</v>
      </c>
      <c r="M19" s="3"/>
      <c r="N19" s="19">
        <f t="shared" si="7"/>
        <v>0</v>
      </c>
      <c r="O19" s="11"/>
      <c r="P19" s="3">
        <v>-840</v>
      </c>
      <c r="Q19" s="3"/>
      <c r="R19" s="19">
        <f t="shared" si="8"/>
        <v>-3.654183714086226E-2</v>
      </c>
      <c r="S19" s="3"/>
      <c r="T19" s="3"/>
      <c r="U19" s="3"/>
      <c r="V19" s="19">
        <f t="shared" si="9"/>
        <v>0</v>
      </c>
      <c r="W19" s="3"/>
      <c r="X19" s="3">
        <f t="shared" si="10"/>
        <v>-840</v>
      </c>
      <c r="Y19" s="3"/>
      <c r="Z19" s="19">
        <f t="shared" si="11"/>
        <v>0</v>
      </c>
    </row>
    <row r="20" spans="1:26" x14ac:dyDescent="0.3">
      <c r="A20" s="9"/>
      <c r="B20" s="10"/>
      <c r="C20" s="10"/>
      <c r="D20" s="2"/>
      <c r="E20" s="2"/>
      <c r="F20" s="6"/>
      <c r="G20" s="2"/>
      <c r="H20" s="2"/>
      <c r="I20" s="2"/>
      <c r="J20" s="6"/>
      <c r="K20" s="2"/>
      <c r="L20" s="2"/>
      <c r="M20" s="2"/>
      <c r="N20" s="6"/>
      <c r="O20" s="10"/>
      <c r="P20" s="2"/>
      <c r="Q20" s="2"/>
      <c r="R20" s="6"/>
      <c r="S20" s="2"/>
      <c r="T20" s="2"/>
      <c r="U20" s="2"/>
      <c r="V20" s="6"/>
      <c r="W20" s="2"/>
      <c r="X20" s="2"/>
      <c r="Y20" s="2"/>
      <c r="Z20" s="6"/>
    </row>
    <row r="21" spans="1:26" s="23" customFormat="1" x14ac:dyDescent="0.3">
      <c r="A21" s="10"/>
      <c r="B21" s="26" t="s">
        <v>108</v>
      </c>
      <c r="C21" s="26"/>
      <c r="D21" s="21">
        <f>D12-D17</f>
        <v>5858.5099999999984</v>
      </c>
      <c r="E21" s="13"/>
      <c r="F21" s="22">
        <f>IF(D$12=0,0,D21/D$12)</f>
        <v>0.25485799798584868</v>
      </c>
      <c r="G21" s="13"/>
      <c r="H21" s="21">
        <f>H12-H17</f>
        <v>0</v>
      </c>
      <c r="I21" s="13"/>
      <c r="J21" s="22">
        <f>IF(H$12=0,0,H21/H$12)</f>
        <v>0</v>
      </c>
      <c r="K21" s="16"/>
      <c r="L21" s="21">
        <f>+D21-H21</f>
        <v>5858.5099999999984</v>
      </c>
      <c r="M21" s="16"/>
      <c r="N21" s="22">
        <f>IF(H21=0,0,L21/H21)</f>
        <v>0</v>
      </c>
      <c r="O21" s="25"/>
      <c r="P21" s="21">
        <f>P12-P17</f>
        <v>5858.5099999999984</v>
      </c>
      <c r="Q21" s="13"/>
      <c r="R21" s="22">
        <f>IF(P$12=0,0,P21/P$12)</f>
        <v>0.25485799798584868</v>
      </c>
      <c r="S21" s="13"/>
      <c r="T21" s="21">
        <f>T12-T17</f>
        <v>0</v>
      </c>
      <c r="U21" s="13"/>
      <c r="V21" s="22">
        <f>IF(T$12=0,0,T21/T$12)</f>
        <v>0</v>
      </c>
      <c r="W21" s="16"/>
      <c r="X21" s="21">
        <f>+P21-T21</f>
        <v>5858.5099999999984</v>
      </c>
      <c r="Y21" s="16"/>
      <c r="Z21" s="22">
        <f>IF(T21=0,0,X21/T21)</f>
        <v>0</v>
      </c>
    </row>
    <row r="22" spans="1:26" x14ac:dyDescent="0.3">
      <c r="A22" s="9"/>
      <c r="B22" s="10"/>
      <c r="C22" s="9"/>
      <c r="D22" s="1"/>
      <c r="E22" s="1"/>
      <c r="F22" s="5"/>
      <c r="G22" s="1"/>
      <c r="H22" s="1"/>
      <c r="I22" s="1"/>
      <c r="J22" s="5"/>
      <c r="K22" s="1"/>
      <c r="L22" s="1"/>
      <c r="M22" s="1"/>
      <c r="N22" s="5"/>
      <c r="O22" s="36"/>
      <c r="P22" s="1"/>
      <c r="Q22" s="1"/>
      <c r="R22" s="5"/>
      <c r="S22" s="1"/>
      <c r="T22" s="1"/>
      <c r="U22" s="1"/>
      <c r="V22" s="5"/>
      <c r="W22" s="1"/>
      <c r="X22" s="1"/>
      <c r="Y22" s="1"/>
      <c r="Z22" s="5"/>
    </row>
    <row r="23" spans="1:26" s="23" customFormat="1" x14ac:dyDescent="0.3">
      <c r="A23" s="10"/>
      <c r="B23" s="25" t="s">
        <v>295</v>
      </c>
      <c r="C23" s="10"/>
      <c r="D23" s="20">
        <f>SUM(OSRRefD22x_0)</f>
        <v>91690.75</v>
      </c>
      <c r="E23" s="20"/>
      <c r="F23" s="32">
        <f t="shared" ref="F23:F34" si="12">IF(D$12=0,0,D23/D$12)</f>
        <v>3.98874815931371</v>
      </c>
      <c r="G23" s="20"/>
      <c r="H23" s="20">
        <f>SUM(OSRRefH22x_0)</f>
        <v>116834.47461402493</v>
      </c>
      <c r="I23" s="20"/>
      <c r="J23" s="32">
        <f t="shared" ref="J23:J34" si="13">IF(H$12=0,0,H23/H$12)</f>
        <v>0</v>
      </c>
      <c r="K23" s="4"/>
      <c r="L23" s="20">
        <f t="shared" ref="L23:L34" si="14">+D23-H23</f>
        <v>-25143.724614024934</v>
      </c>
      <c r="M23" s="4"/>
      <c r="N23" s="32">
        <f t="shared" ref="N23:N34" si="15">IF(H23=0,0,L23/H23)</f>
        <v>-0.21520809416133288</v>
      </c>
      <c r="O23" s="10"/>
      <c r="P23" s="20">
        <f>SUM(OSRRefP22x_0)</f>
        <v>91690.75</v>
      </c>
      <c r="Q23" s="20"/>
      <c r="R23" s="32">
        <f t="shared" ref="R23:R34" si="16">IF(P$12=0,0,P23/P$12)</f>
        <v>3.98874815931371</v>
      </c>
      <c r="S23" s="20"/>
      <c r="T23" s="20">
        <f>SUM(OSRRefT22x_0)</f>
        <v>116834.47461402493</v>
      </c>
      <c r="U23" s="20"/>
      <c r="V23" s="32">
        <f t="shared" ref="V23:V34" si="17">IF(T$12=0,0,T23/T$12)</f>
        <v>0</v>
      </c>
      <c r="W23" s="4"/>
      <c r="X23" s="20">
        <f t="shared" ref="X23:X34" si="18">+P23-T23</f>
        <v>-25143.724614024934</v>
      </c>
      <c r="Y23" s="4"/>
      <c r="Z23" s="32">
        <f t="shared" ref="Z23:Z34" si="19">IF(T23=0,0,X23/T23)</f>
        <v>-0.21520809416133288</v>
      </c>
    </row>
    <row r="24" spans="1:26" s="27" customFormat="1" outlineLevel="1" collapsed="1" x14ac:dyDescent="0.3">
      <c r="A24" s="28"/>
      <c r="B24" s="14" t="str">
        <f>CONCATENATE("     ","*Benefits                                         ")</f>
        <v xml:space="preserve">     *Benefits                                         </v>
      </c>
      <c r="C24" s="14"/>
      <c r="D24" s="1">
        <f>SUM(OSRRefD22_0x_0)</f>
        <v>26752.260000000002</v>
      </c>
      <c r="E24" s="1"/>
      <c r="F24" s="5">
        <f t="shared" si="12"/>
        <v>1.163781819130957</v>
      </c>
      <c r="G24" s="1"/>
      <c r="H24" s="1">
        <f>SUM(OSRRefH22_0x_0)</f>
        <v>40951.59332556343</v>
      </c>
      <c r="I24" s="1"/>
      <c r="J24" s="5">
        <f t="shared" si="13"/>
        <v>0</v>
      </c>
      <c r="K24" s="1"/>
      <c r="L24" s="1">
        <f t="shared" si="14"/>
        <v>-14199.333325563428</v>
      </c>
      <c r="M24" s="1"/>
      <c r="N24" s="5">
        <f t="shared" si="15"/>
        <v>-0.3467345754456812</v>
      </c>
      <c r="O24" s="14"/>
      <c r="P24" s="1">
        <f>SUM(OSRRefP22_0x_0)</f>
        <v>26752.260000000002</v>
      </c>
      <c r="Q24" s="1"/>
      <c r="R24" s="5">
        <f t="shared" si="16"/>
        <v>1.163781819130957</v>
      </c>
      <c r="S24" s="1"/>
      <c r="T24" s="1">
        <f>SUM(OSRRefT22_0x_0)</f>
        <v>40951.59332556343</v>
      </c>
      <c r="U24" s="1"/>
      <c r="V24" s="5">
        <f t="shared" si="17"/>
        <v>0</v>
      </c>
      <c r="W24" s="1"/>
      <c r="X24" s="1">
        <f t="shared" si="18"/>
        <v>-14199.333325563428</v>
      </c>
      <c r="Y24" s="1"/>
      <c r="Z24" s="5">
        <f t="shared" si="19"/>
        <v>-0.3467345754456812</v>
      </c>
    </row>
    <row r="25" spans="1:26" s="24" customFormat="1" hidden="1" outlineLevel="2" x14ac:dyDescent="0.3">
      <c r="A25" s="29"/>
      <c r="B25" s="11" t="str">
        <f>CONCATENATE("          ", "6111", " - ", "F.I.C.A.")</f>
        <v xml:space="preserve">          6111 - F.I.C.A.</v>
      </c>
      <c r="C25" s="11"/>
      <c r="D25" s="8">
        <v>3197.69</v>
      </c>
      <c r="E25" s="3"/>
      <c r="F25" s="7">
        <f t="shared" si="12"/>
        <v>0.13910650857971885</v>
      </c>
      <c r="G25" s="3"/>
      <c r="H25" s="8">
        <v>4391.0983236403799</v>
      </c>
      <c r="I25" s="3"/>
      <c r="J25" s="7">
        <f t="shared" si="13"/>
        <v>0</v>
      </c>
      <c r="K25" s="3"/>
      <c r="L25" s="8">
        <f t="shared" si="14"/>
        <v>-1193.4083236403799</v>
      </c>
      <c r="M25" s="3"/>
      <c r="N25" s="7">
        <f t="shared" si="15"/>
        <v>-0.27177900281016731</v>
      </c>
      <c r="O25" s="11"/>
      <c r="P25" s="8">
        <v>3197.69</v>
      </c>
      <c r="Q25" s="3"/>
      <c r="R25" s="7">
        <f t="shared" si="16"/>
        <v>0.13910650857971885</v>
      </c>
      <c r="S25" s="3"/>
      <c r="T25" s="8">
        <v>4391.0983236403799</v>
      </c>
      <c r="U25" s="3"/>
      <c r="V25" s="7">
        <f t="shared" si="17"/>
        <v>0</v>
      </c>
      <c r="W25" s="3"/>
      <c r="X25" s="8">
        <f t="shared" si="18"/>
        <v>-1193.4083236403799</v>
      </c>
      <c r="Y25" s="3"/>
      <c r="Z25" s="7">
        <f t="shared" si="19"/>
        <v>-0.27177900281016731</v>
      </c>
    </row>
    <row r="26" spans="1:26" s="24" customFormat="1" hidden="1" outlineLevel="2" x14ac:dyDescent="0.3">
      <c r="A26" s="29"/>
      <c r="B26" s="11" t="str">
        <f>CONCATENATE("          ", "6112", " - ", "COMPENSATION INSURANCE")</f>
        <v xml:space="preserve">          6112 - COMPENSATION INSURANCE</v>
      </c>
      <c r="C26" s="11"/>
      <c r="D26" s="8">
        <v>1499.97</v>
      </c>
      <c r="E26" s="3"/>
      <c r="F26" s="7">
        <f t="shared" si="12"/>
        <v>6.525197554307044E-2</v>
      </c>
      <c r="G26" s="3"/>
      <c r="H26" s="8">
        <v>2174.6063826730801</v>
      </c>
      <c r="I26" s="3"/>
      <c r="J26" s="7">
        <f t="shared" si="13"/>
        <v>0</v>
      </c>
      <c r="K26" s="3"/>
      <c r="L26" s="8">
        <f t="shared" si="14"/>
        <v>-674.63638267308011</v>
      </c>
      <c r="M26" s="3"/>
      <c r="N26" s="7">
        <f t="shared" si="15"/>
        <v>-0.31023379129596795</v>
      </c>
      <c r="O26" s="11"/>
      <c r="P26" s="8">
        <v>1499.97</v>
      </c>
      <c r="Q26" s="3"/>
      <c r="R26" s="7">
        <f t="shared" si="16"/>
        <v>6.525197554307044E-2</v>
      </c>
      <c r="S26" s="3"/>
      <c r="T26" s="8">
        <v>2174.6063826730801</v>
      </c>
      <c r="U26" s="3"/>
      <c r="V26" s="7">
        <f t="shared" si="17"/>
        <v>0</v>
      </c>
      <c r="W26" s="3"/>
      <c r="X26" s="8">
        <f t="shared" si="18"/>
        <v>-674.63638267308011</v>
      </c>
      <c r="Y26" s="3"/>
      <c r="Z26" s="7">
        <f t="shared" si="19"/>
        <v>-0.31023379129596795</v>
      </c>
    </row>
    <row r="27" spans="1:26" s="24" customFormat="1" hidden="1" outlineLevel="2" x14ac:dyDescent="0.3">
      <c r="A27" s="29"/>
      <c r="B27" s="11" t="str">
        <f>CONCATENATE("          ", "6113", " - ", "GROUP INSURANCE")</f>
        <v xml:space="preserve">          6113 - GROUP INSURANCE</v>
      </c>
      <c r="C27" s="11"/>
      <c r="D27" s="8">
        <v>15037.24</v>
      </c>
      <c r="E27" s="3"/>
      <c r="F27" s="7">
        <f t="shared" si="12"/>
        <v>0.65415282753340431</v>
      </c>
      <c r="G27" s="3"/>
      <c r="H27" s="8">
        <v>25460.461538461499</v>
      </c>
      <c r="I27" s="3"/>
      <c r="J27" s="7">
        <f t="shared" si="13"/>
        <v>0</v>
      </c>
      <c r="K27" s="3"/>
      <c r="L27" s="8">
        <f t="shared" si="14"/>
        <v>-10423.221538461499</v>
      </c>
      <c r="M27" s="3"/>
      <c r="N27" s="7">
        <f t="shared" si="15"/>
        <v>-0.4093885541986661</v>
      </c>
      <c r="O27" s="11"/>
      <c r="P27" s="8">
        <v>15037.24</v>
      </c>
      <c r="Q27" s="3"/>
      <c r="R27" s="7">
        <f t="shared" si="16"/>
        <v>0.65415282753340431</v>
      </c>
      <c r="S27" s="3"/>
      <c r="T27" s="8">
        <v>25460.461538461499</v>
      </c>
      <c r="U27" s="3"/>
      <c r="V27" s="7">
        <f t="shared" si="17"/>
        <v>0</v>
      </c>
      <c r="W27" s="3"/>
      <c r="X27" s="8">
        <f t="shared" si="18"/>
        <v>-10423.221538461499</v>
      </c>
      <c r="Y27" s="3"/>
      <c r="Z27" s="7">
        <f t="shared" si="19"/>
        <v>-0.4093885541986661</v>
      </c>
    </row>
    <row r="28" spans="1:26" s="24" customFormat="1" hidden="1" outlineLevel="2" x14ac:dyDescent="0.3">
      <c r="A28" s="29"/>
      <c r="B28" s="11" t="str">
        <f>CONCATENATE("          ", "6114", " - ", "STATE UNEMPLOYMENT INSURANCE")</f>
        <v xml:space="preserve">          6114 - STATE UNEMPLOYMENT INSURANCE</v>
      </c>
      <c r="C28" s="11"/>
      <c r="D28" s="8">
        <v>108.33</v>
      </c>
      <c r="E28" s="3"/>
      <c r="F28" s="7">
        <f t="shared" si="12"/>
        <v>4.7125919255590577E-3</v>
      </c>
      <c r="G28" s="3"/>
      <c r="H28" s="8">
        <v>120.492701942308</v>
      </c>
      <c r="I28" s="3"/>
      <c r="J28" s="7">
        <f t="shared" si="13"/>
        <v>0</v>
      </c>
      <c r="K28" s="3"/>
      <c r="L28" s="8">
        <f t="shared" si="14"/>
        <v>-12.162701942308004</v>
      </c>
      <c r="M28" s="3"/>
      <c r="N28" s="7">
        <f t="shared" si="15"/>
        <v>-0.10094139932335085</v>
      </c>
      <c r="O28" s="11"/>
      <c r="P28" s="8">
        <v>108.33</v>
      </c>
      <c r="Q28" s="3"/>
      <c r="R28" s="7">
        <f t="shared" si="16"/>
        <v>4.7125919255590577E-3</v>
      </c>
      <c r="S28" s="3"/>
      <c r="T28" s="8">
        <v>120.492701942308</v>
      </c>
      <c r="U28" s="3"/>
      <c r="V28" s="7">
        <f t="shared" si="17"/>
        <v>0</v>
      </c>
      <c r="W28" s="3"/>
      <c r="X28" s="8">
        <f t="shared" si="18"/>
        <v>-12.162701942308004</v>
      </c>
      <c r="Y28" s="3"/>
      <c r="Z28" s="7">
        <f t="shared" si="19"/>
        <v>-0.10094139932335085</v>
      </c>
    </row>
    <row r="29" spans="1:26" s="24" customFormat="1" hidden="1" outlineLevel="2" x14ac:dyDescent="0.3">
      <c r="A29" s="29"/>
      <c r="B29" s="11" t="str">
        <f>CONCATENATE("          ", "6115", " - ", "P.E.R.S.")</f>
        <v xml:space="preserve">          6115 - P.E.R.S.</v>
      </c>
      <c r="C29" s="11"/>
      <c r="D29" s="8">
        <v>1434.5</v>
      </c>
      <c r="E29" s="3"/>
      <c r="F29" s="7">
        <f t="shared" si="12"/>
        <v>6.2403887355436796E-2</v>
      </c>
      <c r="G29" s="3"/>
      <c r="H29" s="8">
        <v>1758.3385519230801</v>
      </c>
      <c r="I29" s="3"/>
      <c r="J29" s="7">
        <f t="shared" si="13"/>
        <v>0</v>
      </c>
      <c r="K29" s="3"/>
      <c r="L29" s="8">
        <f t="shared" si="14"/>
        <v>-323.8385519230801</v>
      </c>
      <c r="M29" s="3"/>
      <c r="N29" s="7">
        <f t="shared" si="15"/>
        <v>-0.18417303742154809</v>
      </c>
      <c r="O29" s="11"/>
      <c r="P29" s="8">
        <v>1434.5</v>
      </c>
      <c r="Q29" s="3"/>
      <c r="R29" s="7">
        <f t="shared" si="16"/>
        <v>6.2403887355436796E-2</v>
      </c>
      <c r="S29" s="3"/>
      <c r="T29" s="8">
        <v>1758.3385519230801</v>
      </c>
      <c r="U29" s="3"/>
      <c r="V29" s="7">
        <f t="shared" si="17"/>
        <v>0</v>
      </c>
      <c r="W29" s="3"/>
      <c r="X29" s="8">
        <f t="shared" si="18"/>
        <v>-323.8385519230801</v>
      </c>
      <c r="Y29" s="3"/>
      <c r="Z29" s="7">
        <f t="shared" si="19"/>
        <v>-0.18417303742154809</v>
      </c>
    </row>
    <row r="30" spans="1:26" s="24" customFormat="1" hidden="1" outlineLevel="2" x14ac:dyDescent="0.3">
      <c r="A30" s="29"/>
      <c r="B30" s="11" t="str">
        <f>CONCATENATE("          ", "6116", " - ", "EDUCATIONAL BENEFITS")</f>
        <v xml:space="preserve">          6116 - EDUCATIONAL BENEFITS</v>
      </c>
      <c r="C30" s="11"/>
      <c r="D30" s="8"/>
      <c r="E30" s="3"/>
      <c r="F30" s="7">
        <f t="shared" si="12"/>
        <v>0</v>
      </c>
      <c r="G30" s="3"/>
      <c r="H30" s="8">
        <v>0</v>
      </c>
      <c r="I30" s="3"/>
      <c r="J30" s="7">
        <f t="shared" si="13"/>
        <v>0</v>
      </c>
      <c r="K30" s="3"/>
      <c r="L30" s="8">
        <f t="shared" si="14"/>
        <v>0</v>
      </c>
      <c r="M30" s="3"/>
      <c r="N30" s="7">
        <f t="shared" si="15"/>
        <v>0</v>
      </c>
      <c r="O30" s="11"/>
      <c r="P30" s="8"/>
      <c r="Q30" s="3"/>
      <c r="R30" s="7">
        <f t="shared" si="16"/>
        <v>0</v>
      </c>
      <c r="S30" s="3"/>
      <c r="T30" s="8">
        <v>0</v>
      </c>
      <c r="U30" s="3"/>
      <c r="V30" s="7">
        <f t="shared" si="17"/>
        <v>0</v>
      </c>
      <c r="W30" s="3"/>
      <c r="X30" s="8">
        <f t="shared" si="18"/>
        <v>0</v>
      </c>
      <c r="Y30" s="3"/>
      <c r="Z30" s="7">
        <f t="shared" si="19"/>
        <v>0</v>
      </c>
    </row>
    <row r="31" spans="1:26" s="24" customFormat="1" hidden="1" outlineLevel="2" x14ac:dyDescent="0.3">
      <c r="A31" s="29"/>
      <c r="B31" s="11" t="str">
        <f>CONCATENATE("          ", "6117", " - ", "RETIREMENT STAFF HOURLY")</f>
        <v xml:space="preserve">          6117 - RETIREMENT STAFF HOURLY</v>
      </c>
      <c r="C31" s="11"/>
      <c r="D31" s="8">
        <v>423.03</v>
      </c>
      <c r="E31" s="3"/>
      <c r="F31" s="7">
        <f t="shared" si="12"/>
        <v>1.8402730197260669E-2</v>
      </c>
      <c r="G31" s="3"/>
      <c r="H31" s="8"/>
      <c r="I31" s="3"/>
      <c r="J31" s="7">
        <f t="shared" si="13"/>
        <v>0</v>
      </c>
      <c r="K31" s="3"/>
      <c r="L31" s="8">
        <f t="shared" si="14"/>
        <v>423.03</v>
      </c>
      <c r="M31" s="3"/>
      <c r="N31" s="7">
        <f t="shared" si="15"/>
        <v>0</v>
      </c>
      <c r="O31" s="11"/>
      <c r="P31" s="8">
        <v>423.03</v>
      </c>
      <c r="Q31" s="3"/>
      <c r="R31" s="7">
        <f t="shared" si="16"/>
        <v>1.8402730197260669E-2</v>
      </c>
      <c r="S31" s="3"/>
      <c r="T31" s="8"/>
      <c r="U31" s="3"/>
      <c r="V31" s="7">
        <f t="shared" si="17"/>
        <v>0</v>
      </c>
      <c r="W31" s="3"/>
      <c r="X31" s="8">
        <f t="shared" si="18"/>
        <v>423.03</v>
      </c>
      <c r="Y31" s="3"/>
      <c r="Z31" s="7">
        <f t="shared" si="19"/>
        <v>0</v>
      </c>
    </row>
    <row r="32" spans="1:26" s="24" customFormat="1" hidden="1" outlineLevel="2" x14ac:dyDescent="0.3">
      <c r="A32" s="29"/>
      <c r="B32" s="11" t="str">
        <f>CONCATENATE("          ", "6118", " - ", "VACATION")</f>
        <v xml:space="preserve">          6118 - VACATION</v>
      </c>
      <c r="C32" s="11"/>
      <c r="D32" s="8">
        <v>2494.04</v>
      </c>
      <c r="E32" s="3"/>
      <c r="F32" s="7">
        <f t="shared" si="12"/>
        <v>0.10849619464618585</v>
      </c>
      <c r="G32" s="3"/>
      <c r="H32" s="8">
        <v>2459.9579134615401</v>
      </c>
      <c r="I32" s="3"/>
      <c r="J32" s="7">
        <f t="shared" si="13"/>
        <v>0</v>
      </c>
      <c r="K32" s="3"/>
      <c r="L32" s="8">
        <f t="shared" si="14"/>
        <v>34.082086538459862</v>
      </c>
      <c r="M32" s="3"/>
      <c r="N32" s="7">
        <f t="shared" si="15"/>
        <v>1.3854743754742174E-2</v>
      </c>
      <c r="O32" s="11"/>
      <c r="P32" s="8">
        <v>2494.04</v>
      </c>
      <c r="Q32" s="3"/>
      <c r="R32" s="7">
        <f t="shared" si="16"/>
        <v>0.10849619464618585</v>
      </c>
      <c r="S32" s="3"/>
      <c r="T32" s="8">
        <v>2459.9579134615401</v>
      </c>
      <c r="U32" s="3"/>
      <c r="V32" s="7">
        <f t="shared" si="17"/>
        <v>0</v>
      </c>
      <c r="W32" s="3"/>
      <c r="X32" s="8">
        <f t="shared" si="18"/>
        <v>34.082086538459862</v>
      </c>
      <c r="Y32" s="3"/>
      <c r="Z32" s="7">
        <f t="shared" si="19"/>
        <v>1.3854743754742174E-2</v>
      </c>
    </row>
    <row r="33" spans="1:26" s="24" customFormat="1" hidden="1" outlineLevel="2" x14ac:dyDescent="0.3">
      <c r="A33" s="29"/>
      <c r="B33" s="11" t="str">
        <f>CONCATENATE("          ", "6119", " - ", "SICK LEAVE")</f>
        <v xml:space="preserve">          6119 - SICK LEAVE</v>
      </c>
      <c r="C33" s="11"/>
      <c r="D33" s="8">
        <v>1724</v>
      </c>
      <c r="E33" s="3"/>
      <c r="F33" s="7">
        <f t="shared" si="12"/>
        <v>7.4997770512912537E-2</v>
      </c>
      <c r="G33" s="3"/>
      <c r="H33" s="8">
        <v>2311.6379134615399</v>
      </c>
      <c r="I33" s="3"/>
      <c r="J33" s="7">
        <f t="shared" si="13"/>
        <v>0</v>
      </c>
      <c r="K33" s="3"/>
      <c r="L33" s="8">
        <f t="shared" si="14"/>
        <v>-587.63791346153994</v>
      </c>
      <c r="M33" s="3"/>
      <c r="N33" s="7">
        <f t="shared" si="15"/>
        <v>-0.25420845974168471</v>
      </c>
      <c r="O33" s="11"/>
      <c r="P33" s="8">
        <v>1724</v>
      </c>
      <c r="Q33" s="3"/>
      <c r="R33" s="7">
        <f t="shared" si="16"/>
        <v>7.4997770512912537E-2</v>
      </c>
      <c r="S33" s="3"/>
      <c r="T33" s="8">
        <v>2311.6379134615399</v>
      </c>
      <c r="U33" s="3"/>
      <c r="V33" s="7">
        <f t="shared" si="17"/>
        <v>0</v>
      </c>
      <c r="W33" s="3"/>
      <c r="X33" s="8">
        <f t="shared" si="18"/>
        <v>-587.63791346153994</v>
      </c>
      <c r="Y33" s="3"/>
      <c r="Z33" s="7">
        <f t="shared" si="19"/>
        <v>-0.25420845974168471</v>
      </c>
    </row>
    <row r="34" spans="1:26" s="24" customFormat="1" hidden="1" outlineLevel="2" x14ac:dyDescent="0.3">
      <c r="A34" s="29"/>
      <c r="B34" s="11" t="str">
        <f>CONCATENATE("          ", "6156", " - ", "EMPLOYEE MEALS")</f>
        <v xml:space="preserve">          6156 - EMPLOYEE MEALS</v>
      </c>
      <c r="C34" s="11"/>
      <c r="D34" s="8">
        <v>833.46</v>
      </c>
      <c r="E34" s="3"/>
      <c r="F34" s="7">
        <f t="shared" si="12"/>
        <v>3.6257332837408403E-2</v>
      </c>
      <c r="G34" s="3"/>
      <c r="H34" s="8">
        <v>2275</v>
      </c>
      <c r="I34" s="3"/>
      <c r="J34" s="7">
        <f t="shared" si="13"/>
        <v>0</v>
      </c>
      <c r="K34" s="3"/>
      <c r="L34" s="8">
        <f t="shared" si="14"/>
        <v>-1441.54</v>
      </c>
      <c r="M34" s="3"/>
      <c r="N34" s="7">
        <f t="shared" si="15"/>
        <v>-0.63364395604395607</v>
      </c>
      <c r="O34" s="11"/>
      <c r="P34" s="8">
        <v>833.46</v>
      </c>
      <c r="Q34" s="3"/>
      <c r="R34" s="7">
        <f t="shared" si="16"/>
        <v>3.6257332837408403E-2</v>
      </c>
      <c r="S34" s="3"/>
      <c r="T34" s="8">
        <v>2275</v>
      </c>
      <c r="U34" s="3"/>
      <c r="V34" s="7">
        <f t="shared" si="17"/>
        <v>0</v>
      </c>
      <c r="W34" s="3"/>
      <c r="X34" s="8">
        <f t="shared" si="18"/>
        <v>-1441.54</v>
      </c>
      <c r="Y34" s="3"/>
      <c r="Z34" s="7">
        <f t="shared" si="19"/>
        <v>-0.63364395604395607</v>
      </c>
    </row>
    <row r="35" spans="1:26" s="27" customFormat="1" outlineLevel="1" collapsed="1" x14ac:dyDescent="0.3">
      <c r="A35" s="28"/>
      <c r="B35" s="14" t="str">
        <f>CONCATENATE("     ","*Payroll                                          ")</f>
        <v xml:space="preserve">     *Payroll                                          </v>
      </c>
      <c r="C35" s="14"/>
      <c r="D35" s="1">
        <f>SUM(OSRRefD22_1x_0)</f>
        <v>50603.56</v>
      </c>
      <c r="E35" s="1"/>
      <c r="F35" s="5">
        <f t="shared" ref="F35:F45" si="20">IF(D$12=0,0,D35/D$12)</f>
        <v>2.2013655336522042</v>
      </c>
      <c r="G35" s="1"/>
      <c r="H35" s="1">
        <f>SUM(OSRRefH22_1x_0)</f>
        <v>52605.881288461504</v>
      </c>
      <c r="I35" s="1"/>
      <c r="J35" s="5">
        <f t="shared" ref="J35:J45" si="21">IF(H$12=0,0,H35/H$12)</f>
        <v>0</v>
      </c>
      <c r="K35" s="1"/>
      <c r="L35" s="1">
        <f t="shared" ref="L35:L45" si="22">+D35-H35</f>
        <v>-2002.3212884615059</v>
      </c>
      <c r="M35" s="1"/>
      <c r="N35" s="5">
        <f t="shared" ref="N35:N45" si="23">IF(H35=0,0,L35/H35)</f>
        <v>-3.8062688798651344E-2</v>
      </c>
      <c r="O35" s="14"/>
      <c r="P35" s="1">
        <f>SUM(OSRRefP22_1x_0)</f>
        <v>50603.56</v>
      </c>
      <c r="Q35" s="1"/>
      <c r="R35" s="5">
        <f t="shared" ref="R35:R45" si="24">IF(P$12=0,0,P35/P$12)</f>
        <v>2.2013655336522042</v>
      </c>
      <c r="S35" s="1"/>
      <c r="T35" s="1">
        <f>SUM(OSRRefT22_1x_0)</f>
        <v>52605.881288461504</v>
      </c>
      <c r="U35" s="1"/>
      <c r="V35" s="5">
        <f t="shared" ref="V35:V45" si="25">IF(T$12=0,0,T35/T$12)</f>
        <v>0</v>
      </c>
      <c r="W35" s="1"/>
      <c r="X35" s="1">
        <f t="shared" ref="X35:X45" si="26">+P35-T35</f>
        <v>-2002.3212884615059</v>
      </c>
      <c r="Y35" s="1"/>
      <c r="Z35" s="5">
        <f t="shared" ref="Z35:Z45" si="27">IF(T35=0,0,X35/T35)</f>
        <v>-3.8062688798651344E-2</v>
      </c>
    </row>
    <row r="36" spans="1:26" s="24" customFormat="1" hidden="1" outlineLevel="2" x14ac:dyDescent="0.3">
      <c r="A36" s="29"/>
      <c r="B36" s="11" t="str">
        <f>CONCATENATE("          ", "6001", " - ", "ADMINISTRATIVE SALARIES")</f>
        <v xml:space="preserve">          6001 - ADMINISTRATIVE SALARIES</v>
      </c>
      <c r="C36" s="11"/>
      <c r="D36" s="8"/>
      <c r="E36" s="3"/>
      <c r="F36" s="7">
        <f t="shared" si="20"/>
        <v>0</v>
      </c>
      <c r="G36" s="3"/>
      <c r="H36" s="8">
        <v>0</v>
      </c>
      <c r="I36" s="3"/>
      <c r="J36" s="7">
        <f t="shared" si="21"/>
        <v>0</v>
      </c>
      <c r="K36" s="3"/>
      <c r="L36" s="8">
        <f t="shared" si="22"/>
        <v>0</v>
      </c>
      <c r="M36" s="3"/>
      <c r="N36" s="7">
        <f t="shared" si="23"/>
        <v>0</v>
      </c>
      <c r="O36" s="11"/>
      <c r="P36" s="8"/>
      <c r="Q36" s="3"/>
      <c r="R36" s="7">
        <f t="shared" si="24"/>
        <v>0</v>
      </c>
      <c r="S36" s="3"/>
      <c r="T36" s="8">
        <v>0</v>
      </c>
      <c r="U36" s="3"/>
      <c r="V36" s="7">
        <f t="shared" si="25"/>
        <v>0</v>
      </c>
      <c r="W36" s="3"/>
      <c r="X36" s="8">
        <f t="shared" si="26"/>
        <v>0</v>
      </c>
      <c r="Y36" s="3"/>
      <c r="Z36" s="7">
        <f t="shared" si="27"/>
        <v>0</v>
      </c>
    </row>
    <row r="37" spans="1:26" s="24" customFormat="1" hidden="1" outlineLevel="2" x14ac:dyDescent="0.3">
      <c r="A37" s="29"/>
      <c r="B37" s="11" t="str">
        <f>CONCATENATE("          ", "6002", " - ", "STAFF SALARIES")</f>
        <v xml:space="preserve">          6002 - STAFF SALARIES</v>
      </c>
      <c r="C37" s="11"/>
      <c r="D37" s="8">
        <v>19293.919999999998</v>
      </c>
      <c r="E37" s="3"/>
      <c r="F37" s="7">
        <f t="shared" si="20"/>
        <v>0.8393277172009822</v>
      </c>
      <c r="G37" s="3"/>
      <c r="H37" s="8">
        <v>19219.049288461501</v>
      </c>
      <c r="I37" s="3"/>
      <c r="J37" s="7">
        <f t="shared" si="21"/>
        <v>0</v>
      </c>
      <c r="K37" s="3"/>
      <c r="L37" s="8">
        <f t="shared" si="22"/>
        <v>74.870711538496835</v>
      </c>
      <c r="M37" s="3"/>
      <c r="N37" s="7">
        <f t="shared" si="23"/>
        <v>3.8956511539541554E-3</v>
      </c>
      <c r="O37" s="11"/>
      <c r="P37" s="8">
        <v>19293.919999999998</v>
      </c>
      <c r="Q37" s="3"/>
      <c r="R37" s="7">
        <f t="shared" si="24"/>
        <v>0.8393277172009822</v>
      </c>
      <c r="S37" s="3"/>
      <c r="T37" s="8">
        <v>19219.049288461501</v>
      </c>
      <c r="U37" s="3"/>
      <c r="V37" s="7">
        <f t="shared" si="25"/>
        <v>0</v>
      </c>
      <c r="W37" s="3"/>
      <c r="X37" s="8">
        <f t="shared" si="26"/>
        <v>74.870711538496835</v>
      </c>
      <c r="Y37" s="3"/>
      <c r="Z37" s="7">
        <f t="shared" si="27"/>
        <v>3.8956511539541554E-3</v>
      </c>
    </row>
    <row r="38" spans="1:26" s="24" customFormat="1" hidden="1" outlineLevel="2" x14ac:dyDescent="0.3">
      <c r="A38" s="29"/>
      <c r="B38" s="11" t="str">
        <f>CONCATENATE("          ", "6003", " - ", "STAFF HOURLY-9 MONTH")</f>
        <v xml:space="preserve">          6003 - STAFF HOURLY-9 MONTH</v>
      </c>
      <c r="C38" s="11"/>
      <c r="D38" s="8"/>
      <c r="E38" s="3"/>
      <c r="F38" s="7">
        <f t="shared" si="20"/>
        <v>0</v>
      </c>
      <c r="G38" s="3"/>
      <c r="H38" s="8">
        <v>0</v>
      </c>
      <c r="I38" s="3"/>
      <c r="J38" s="7">
        <f t="shared" si="21"/>
        <v>0</v>
      </c>
      <c r="K38" s="3"/>
      <c r="L38" s="8">
        <f t="shared" si="22"/>
        <v>0</v>
      </c>
      <c r="M38" s="3"/>
      <c r="N38" s="7">
        <f t="shared" si="23"/>
        <v>0</v>
      </c>
      <c r="O38" s="11"/>
      <c r="P38" s="8"/>
      <c r="Q38" s="3"/>
      <c r="R38" s="7">
        <f t="shared" si="24"/>
        <v>0</v>
      </c>
      <c r="S38" s="3"/>
      <c r="T38" s="8">
        <v>0</v>
      </c>
      <c r="U38" s="3"/>
      <c r="V38" s="7">
        <f t="shared" si="25"/>
        <v>0</v>
      </c>
      <c r="W38" s="3"/>
      <c r="X38" s="8">
        <f t="shared" si="26"/>
        <v>0</v>
      </c>
      <c r="Y38" s="3"/>
      <c r="Z38" s="7">
        <f t="shared" si="27"/>
        <v>0</v>
      </c>
    </row>
    <row r="39" spans="1:26" s="24" customFormat="1" hidden="1" outlineLevel="2" x14ac:dyDescent="0.3">
      <c r="A39" s="29"/>
      <c r="B39" s="11" t="str">
        <f>CONCATENATE("          ", "6004", " - ", "STAFF HOURLY")</f>
        <v xml:space="preserve">          6004 - STAFF HOURLY</v>
      </c>
      <c r="C39" s="11"/>
      <c r="D39" s="8">
        <v>19405.97</v>
      </c>
      <c r="E39" s="3"/>
      <c r="F39" s="7">
        <f t="shared" si="20"/>
        <v>0.84420213726245097</v>
      </c>
      <c r="G39" s="3"/>
      <c r="H39" s="8">
        <v>33386.832000000002</v>
      </c>
      <c r="I39" s="3"/>
      <c r="J39" s="7">
        <f t="shared" si="21"/>
        <v>0</v>
      </c>
      <c r="K39" s="3"/>
      <c r="L39" s="8">
        <f t="shared" si="22"/>
        <v>-13980.862000000001</v>
      </c>
      <c r="M39" s="3"/>
      <c r="N39" s="7">
        <f t="shared" si="23"/>
        <v>-0.41875377693816535</v>
      </c>
      <c r="O39" s="11"/>
      <c r="P39" s="8">
        <v>19405.97</v>
      </c>
      <c r="Q39" s="3"/>
      <c r="R39" s="7">
        <f t="shared" si="24"/>
        <v>0.84420213726245097</v>
      </c>
      <c r="S39" s="3"/>
      <c r="T39" s="8">
        <v>33386.832000000002</v>
      </c>
      <c r="U39" s="3"/>
      <c r="V39" s="7">
        <f t="shared" si="25"/>
        <v>0</v>
      </c>
      <c r="W39" s="3"/>
      <c r="X39" s="8">
        <f t="shared" si="26"/>
        <v>-13980.862000000001</v>
      </c>
      <c r="Y39" s="3"/>
      <c r="Z39" s="7">
        <f t="shared" si="27"/>
        <v>-0.41875377693816535</v>
      </c>
    </row>
    <row r="40" spans="1:26" s="24" customFormat="1" hidden="1" outlineLevel="2" x14ac:dyDescent="0.3">
      <c r="A40" s="29"/>
      <c r="B40" s="11" t="str">
        <f>CONCATENATE("          ", "6005", " - ", "TEMPORARY WAGES-HOURLY")</f>
        <v xml:space="preserve">          6005 - TEMPORARY WAGES-HOURLY</v>
      </c>
      <c r="C40" s="11"/>
      <c r="D40" s="8">
        <v>4625.88</v>
      </c>
      <c r="E40" s="3"/>
      <c r="F40" s="7">
        <f t="shared" si="20"/>
        <v>0.20123589713472848</v>
      </c>
      <c r="G40" s="3"/>
      <c r="H40" s="8">
        <v>0</v>
      </c>
      <c r="I40" s="3"/>
      <c r="J40" s="7">
        <f t="shared" si="21"/>
        <v>0</v>
      </c>
      <c r="K40" s="3"/>
      <c r="L40" s="8">
        <f t="shared" si="22"/>
        <v>4625.88</v>
      </c>
      <c r="M40" s="3"/>
      <c r="N40" s="7">
        <f t="shared" si="23"/>
        <v>0</v>
      </c>
      <c r="O40" s="11"/>
      <c r="P40" s="8">
        <v>4625.88</v>
      </c>
      <c r="Q40" s="3"/>
      <c r="R40" s="7">
        <f t="shared" si="24"/>
        <v>0.20123589713472848</v>
      </c>
      <c r="S40" s="3"/>
      <c r="T40" s="8">
        <v>0</v>
      </c>
      <c r="U40" s="3"/>
      <c r="V40" s="7">
        <f t="shared" si="25"/>
        <v>0</v>
      </c>
      <c r="W40" s="3"/>
      <c r="X40" s="8">
        <f t="shared" si="26"/>
        <v>4625.88</v>
      </c>
      <c r="Y40" s="3"/>
      <c r="Z40" s="7">
        <f t="shared" si="27"/>
        <v>0</v>
      </c>
    </row>
    <row r="41" spans="1:26" s="24" customFormat="1" hidden="1" outlineLevel="2" x14ac:dyDescent="0.3">
      <c r="A41" s="29"/>
      <c r="B41" s="11" t="str">
        <f>CONCATENATE("          ", "6006", " - ", "TEMPORARY PART TIME")</f>
        <v xml:space="preserve">          6006 - TEMPORARY PART TIME</v>
      </c>
      <c r="C41" s="11"/>
      <c r="D41" s="8"/>
      <c r="E41" s="3"/>
      <c r="F41" s="7">
        <f t="shared" si="20"/>
        <v>0</v>
      </c>
      <c r="G41" s="3"/>
      <c r="H41" s="8">
        <v>0</v>
      </c>
      <c r="I41" s="3"/>
      <c r="J41" s="7">
        <f t="shared" si="21"/>
        <v>0</v>
      </c>
      <c r="K41" s="3"/>
      <c r="L41" s="8">
        <f t="shared" si="22"/>
        <v>0</v>
      </c>
      <c r="M41" s="3"/>
      <c r="N41" s="7">
        <f t="shared" si="23"/>
        <v>0</v>
      </c>
      <c r="O41" s="11"/>
      <c r="P41" s="8"/>
      <c r="Q41" s="3"/>
      <c r="R41" s="7">
        <f t="shared" si="24"/>
        <v>0</v>
      </c>
      <c r="S41" s="3"/>
      <c r="T41" s="8">
        <v>0</v>
      </c>
      <c r="U41" s="3"/>
      <c r="V41" s="7">
        <f t="shared" si="25"/>
        <v>0</v>
      </c>
      <c r="W41" s="3"/>
      <c r="X41" s="8">
        <f t="shared" si="26"/>
        <v>0</v>
      </c>
      <c r="Y41" s="3"/>
      <c r="Z41" s="7">
        <f t="shared" si="27"/>
        <v>0</v>
      </c>
    </row>
    <row r="42" spans="1:26" s="24" customFormat="1" hidden="1" outlineLevel="2" x14ac:dyDescent="0.3">
      <c r="A42" s="29"/>
      <c r="B42" s="11" t="str">
        <f>CONCATENATE("          ", "6007", " - ", "STUDENT HOURLY")</f>
        <v xml:space="preserve">          6007 - STUDENT HOURLY</v>
      </c>
      <c r="C42" s="11"/>
      <c r="D42" s="8">
        <v>7277.79</v>
      </c>
      <c r="E42" s="3"/>
      <c r="F42" s="7">
        <f t="shared" si="20"/>
        <v>0.31659978205404277</v>
      </c>
      <c r="G42" s="3"/>
      <c r="H42" s="8">
        <v>0</v>
      </c>
      <c r="I42" s="3"/>
      <c r="J42" s="7">
        <f t="shared" si="21"/>
        <v>0</v>
      </c>
      <c r="K42" s="3"/>
      <c r="L42" s="8">
        <f t="shared" si="22"/>
        <v>7277.79</v>
      </c>
      <c r="M42" s="3"/>
      <c r="N42" s="7">
        <f t="shared" si="23"/>
        <v>0</v>
      </c>
      <c r="O42" s="11"/>
      <c r="P42" s="8">
        <v>7277.79</v>
      </c>
      <c r="Q42" s="3"/>
      <c r="R42" s="7">
        <f t="shared" si="24"/>
        <v>0.31659978205404277</v>
      </c>
      <c r="S42" s="3"/>
      <c r="T42" s="8">
        <v>0</v>
      </c>
      <c r="U42" s="3"/>
      <c r="V42" s="7">
        <f t="shared" si="25"/>
        <v>0</v>
      </c>
      <c r="W42" s="3"/>
      <c r="X42" s="8">
        <f t="shared" si="26"/>
        <v>7277.79</v>
      </c>
      <c r="Y42" s="3"/>
      <c r="Z42" s="7">
        <f t="shared" si="27"/>
        <v>0</v>
      </c>
    </row>
    <row r="43" spans="1:26" s="24" customFormat="1" hidden="1" outlineLevel="2" x14ac:dyDescent="0.3">
      <c r="A43" s="29"/>
      <c r="B43" s="11" t="str">
        <f>CONCATENATE("          ", "6008", " - ", "STUDENT HOURLY-FICA EXEMPT")</f>
        <v xml:space="preserve">          6008 - STUDENT HOURLY-FICA EXEMPT</v>
      </c>
      <c r="C43" s="11"/>
      <c r="D43" s="8"/>
      <c r="E43" s="3"/>
      <c r="F43" s="7">
        <f t="shared" si="20"/>
        <v>0</v>
      </c>
      <c r="G43" s="3"/>
      <c r="H43" s="8">
        <v>0</v>
      </c>
      <c r="I43" s="3"/>
      <c r="J43" s="7">
        <f t="shared" si="21"/>
        <v>0</v>
      </c>
      <c r="K43" s="3"/>
      <c r="L43" s="8">
        <f t="shared" si="22"/>
        <v>0</v>
      </c>
      <c r="M43" s="3"/>
      <c r="N43" s="7">
        <f t="shared" si="23"/>
        <v>0</v>
      </c>
      <c r="O43" s="11"/>
      <c r="P43" s="8"/>
      <c r="Q43" s="3"/>
      <c r="R43" s="7">
        <f t="shared" si="24"/>
        <v>0</v>
      </c>
      <c r="S43" s="3"/>
      <c r="T43" s="8">
        <v>0</v>
      </c>
      <c r="U43" s="3"/>
      <c r="V43" s="7">
        <f t="shared" si="25"/>
        <v>0</v>
      </c>
      <c r="W43" s="3"/>
      <c r="X43" s="8">
        <f t="shared" si="26"/>
        <v>0</v>
      </c>
      <c r="Y43" s="3"/>
      <c r="Z43" s="7">
        <f t="shared" si="27"/>
        <v>0</v>
      </c>
    </row>
    <row r="44" spans="1:26" s="24" customFormat="1" hidden="1" outlineLevel="2" x14ac:dyDescent="0.3">
      <c r="A44" s="29"/>
      <c r="B44" s="11" t="str">
        <f>CONCATENATE("          ", "6009", " - ", "TEMPORARY-SEASONAL")</f>
        <v xml:space="preserve">          6009 - TEMPORARY-SEASONAL</v>
      </c>
      <c r="C44" s="11"/>
      <c r="D44" s="8"/>
      <c r="E44" s="3"/>
      <c r="F44" s="7">
        <f t="shared" si="20"/>
        <v>0</v>
      </c>
      <c r="G44" s="3"/>
      <c r="H44" s="8">
        <v>0</v>
      </c>
      <c r="I44" s="3"/>
      <c r="J44" s="7">
        <f t="shared" si="21"/>
        <v>0</v>
      </c>
      <c r="K44" s="3"/>
      <c r="L44" s="8">
        <f t="shared" si="22"/>
        <v>0</v>
      </c>
      <c r="M44" s="3"/>
      <c r="N44" s="7">
        <f t="shared" si="23"/>
        <v>0</v>
      </c>
      <c r="O44" s="11"/>
      <c r="P44" s="8"/>
      <c r="Q44" s="3"/>
      <c r="R44" s="7">
        <f t="shared" si="24"/>
        <v>0</v>
      </c>
      <c r="S44" s="3"/>
      <c r="T44" s="8">
        <v>0</v>
      </c>
      <c r="U44" s="3"/>
      <c r="V44" s="7">
        <f t="shared" si="25"/>
        <v>0</v>
      </c>
      <c r="W44" s="3"/>
      <c r="X44" s="8">
        <f t="shared" si="26"/>
        <v>0</v>
      </c>
      <c r="Y44" s="3"/>
      <c r="Z44" s="7">
        <f t="shared" si="27"/>
        <v>0</v>
      </c>
    </row>
    <row r="45" spans="1:26" s="24" customFormat="1" hidden="1" outlineLevel="2" x14ac:dyDescent="0.3">
      <c r="A45" s="29"/>
      <c r="B45" s="11" t="str">
        <f>CONCATENATE("          ", "6010", " - ", "GRATUITY")</f>
        <v xml:space="preserve">          6010 - GRATUITY</v>
      </c>
      <c r="C45" s="11"/>
      <c r="D45" s="8"/>
      <c r="E45" s="3"/>
      <c r="F45" s="7">
        <f t="shared" si="20"/>
        <v>0</v>
      </c>
      <c r="G45" s="3"/>
      <c r="H45" s="8">
        <v>0</v>
      </c>
      <c r="I45" s="3"/>
      <c r="J45" s="7">
        <f t="shared" si="21"/>
        <v>0</v>
      </c>
      <c r="K45" s="3"/>
      <c r="L45" s="8">
        <f t="shared" si="22"/>
        <v>0</v>
      </c>
      <c r="M45" s="3"/>
      <c r="N45" s="7">
        <f t="shared" si="23"/>
        <v>0</v>
      </c>
      <c r="O45" s="11"/>
      <c r="P45" s="8"/>
      <c r="Q45" s="3"/>
      <c r="R45" s="7">
        <f t="shared" si="24"/>
        <v>0</v>
      </c>
      <c r="S45" s="3"/>
      <c r="T45" s="8">
        <v>0</v>
      </c>
      <c r="U45" s="3"/>
      <c r="V45" s="7">
        <f t="shared" si="25"/>
        <v>0</v>
      </c>
      <c r="W45" s="3"/>
      <c r="X45" s="8">
        <f t="shared" si="26"/>
        <v>0</v>
      </c>
      <c r="Y45" s="3"/>
      <c r="Z45" s="7">
        <f t="shared" si="27"/>
        <v>0</v>
      </c>
    </row>
    <row r="46" spans="1:26" s="27" customFormat="1" outlineLevel="1" collapsed="1" x14ac:dyDescent="0.3">
      <c r="A46" s="28"/>
      <c r="B46" s="14" t="str">
        <f>CONCATENATE("     ","Advertising/Promo                                 ")</f>
        <v xml:space="preserve">     Advertising/Promo                                 </v>
      </c>
      <c r="C46" s="14"/>
      <c r="D46" s="1">
        <f>SUM(OSRRefD22_2x_0)</f>
        <v>40.31</v>
      </c>
      <c r="E46" s="1"/>
      <c r="F46" s="5">
        <f t="shared" ref="F46:F62" si="28">IF(D$12=0,0,D46/D$12)</f>
        <v>1.7535731608906639E-3</v>
      </c>
      <c r="G46" s="1"/>
      <c r="H46" s="1">
        <f>SUM(OSRRefH22_2x_0)</f>
        <v>0</v>
      </c>
      <c r="I46" s="1"/>
      <c r="J46" s="5">
        <f t="shared" ref="J46:J62" si="29">IF(H$12=0,0,H46/H$12)</f>
        <v>0</v>
      </c>
      <c r="K46" s="1"/>
      <c r="L46" s="1">
        <f t="shared" ref="L46:L62" si="30">+D46-H46</f>
        <v>40.31</v>
      </c>
      <c r="M46" s="1"/>
      <c r="N46" s="5">
        <f t="shared" ref="N46:N62" si="31">IF(H46=0,0,L46/H46)</f>
        <v>0</v>
      </c>
      <c r="O46" s="14"/>
      <c r="P46" s="1">
        <f>SUM(OSRRefP22_2x_0)</f>
        <v>40.31</v>
      </c>
      <c r="Q46" s="1"/>
      <c r="R46" s="5">
        <f t="shared" ref="R46:R62" si="32">IF(P$12=0,0,P46/P$12)</f>
        <v>1.7535731608906639E-3</v>
      </c>
      <c r="S46" s="1"/>
      <c r="T46" s="1">
        <f>SUM(OSRRefT22_2x_0)</f>
        <v>0</v>
      </c>
      <c r="U46" s="1"/>
      <c r="V46" s="5">
        <f t="shared" ref="V46:V62" si="33">IF(T$12=0,0,T46/T$12)</f>
        <v>0</v>
      </c>
      <c r="W46" s="1"/>
      <c r="X46" s="1">
        <f t="shared" ref="X46:X62" si="34">+P46-T46</f>
        <v>40.31</v>
      </c>
      <c r="Y46" s="1"/>
      <c r="Z46" s="5">
        <f t="shared" ref="Z46:Z62" si="35">IF(T46=0,0,X46/T46)</f>
        <v>0</v>
      </c>
    </row>
    <row r="47" spans="1:26" s="24" customFormat="1" hidden="1" outlineLevel="2" x14ac:dyDescent="0.3">
      <c r="A47" s="29"/>
      <c r="B47" s="11" t="str">
        <f>CONCATENATE("          ", "6362", " - ", "ADVERTISING EXPENSE")</f>
        <v xml:space="preserve">          6362 - ADVERTISING EXPENSE</v>
      </c>
      <c r="C47" s="11"/>
      <c r="D47" s="8">
        <v>40.31</v>
      </c>
      <c r="E47" s="3"/>
      <c r="F47" s="7">
        <f t="shared" si="28"/>
        <v>1.7535731608906639E-3</v>
      </c>
      <c r="G47" s="3"/>
      <c r="H47" s="8"/>
      <c r="I47" s="3"/>
      <c r="J47" s="7">
        <f t="shared" si="29"/>
        <v>0</v>
      </c>
      <c r="K47" s="3"/>
      <c r="L47" s="8">
        <f t="shared" si="30"/>
        <v>40.31</v>
      </c>
      <c r="M47" s="3"/>
      <c r="N47" s="7">
        <f t="shared" si="31"/>
        <v>0</v>
      </c>
      <c r="O47" s="11"/>
      <c r="P47" s="8">
        <v>40.31</v>
      </c>
      <c r="Q47" s="3"/>
      <c r="R47" s="7">
        <f t="shared" si="32"/>
        <v>1.7535731608906639E-3</v>
      </c>
      <c r="S47" s="3"/>
      <c r="T47" s="8"/>
      <c r="U47" s="3"/>
      <c r="V47" s="7">
        <f t="shared" si="33"/>
        <v>0</v>
      </c>
      <c r="W47" s="3"/>
      <c r="X47" s="8">
        <f t="shared" si="34"/>
        <v>40.31</v>
      </c>
      <c r="Y47" s="3"/>
      <c r="Z47" s="7">
        <f t="shared" si="35"/>
        <v>0</v>
      </c>
    </row>
    <row r="48" spans="1:26" s="27" customFormat="1" outlineLevel="1" collapsed="1" x14ac:dyDescent="0.3">
      <c r="A48" s="28"/>
      <c r="B48" s="14" t="str">
        <f>CONCATENATE("     ","Bank/card Fees                                    ")</f>
        <v xml:space="preserve">     Bank/card Fees                                    </v>
      </c>
      <c r="C48" s="14"/>
      <c r="D48" s="1">
        <f>SUM(OSRRefD22_3x_0)</f>
        <v>77.05</v>
      </c>
      <c r="E48" s="1"/>
      <c r="F48" s="5">
        <f t="shared" si="28"/>
        <v>3.3518435139326631E-3</v>
      </c>
      <c r="G48" s="1"/>
      <c r="H48" s="1">
        <f>SUM(OSRRefH22_3x_0)</f>
        <v>0</v>
      </c>
      <c r="I48" s="1"/>
      <c r="J48" s="5">
        <f t="shared" si="29"/>
        <v>0</v>
      </c>
      <c r="K48" s="1"/>
      <c r="L48" s="1">
        <f t="shared" si="30"/>
        <v>77.05</v>
      </c>
      <c r="M48" s="1"/>
      <c r="N48" s="5">
        <f t="shared" si="31"/>
        <v>0</v>
      </c>
      <c r="O48" s="14"/>
      <c r="P48" s="1">
        <f>SUM(OSRRefP22_3x_0)</f>
        <v>77.05</v>
      </c>
      <c r="Q48" s="1"/>
      <c r="R48" s="5">
        <f t="shared" si="32"/>
        <v>3.3518435139326631E-3</v>
      </c>
      <c r="S48" s="1"/>
      <c r="T48" s="1">
        <f>SUM(OSRRefT22_3x_0)</f>
        <v>0</v>
      </c>
      <c r="U48" s="1"/>
      <c r="V48" s="5">
        <f t="shared" si="33"/>
        <v>0</v>
      </c>
      <c r="W48" s="1"/>
      <c r="X48" s="1">
        <f t="shared" si="34"/>
        <v>77.05</v>
      </c>
      <c r="Y48" s="1"/>
      <c r="Z48" s="5">
        <f t="shared" si="35"/>
        <v>0</v>
      </c>
    </row>
    <row r="49" spans="1:26" s="24" customFormat="1" hidden="1" outlineLevel="2" x14ac:dyDescent="0.3">
      <c r="A49" s="29"/>
      <c r="B49" s="11" t="str">
        <f>CONCATENATE("          ", "6381", " - ", "BANK/CREDIT CARD FEES")</f>
        <v xml:space="preserve">          6381 - BANK/CREDIT CARD FEES</v>
      </c>
      <c r="C49" s="11"/>
      <c r="D49" s="8">
        <v>77.05</v>
      </c>
      <c r="E49" s="3"/>
      <c r="F49" s="7">
        <f t="shared" si="28"/>
        <v>3.3518435139326631E-3</v>
      </c>
      <c r="G49" s="3"/>
      <c r="H49" s="8"/>
      <c r="I49" s="3"/>
      <c r="J49" s="7">
        <f t="shared" si="29"/>
        <v>0</v>
      </c>
      <c r="K49" s="3"/>
      <c r="L49" s="8">
        <f t="shared" si="30"/>
        <v>77.05</v>
      </c>
      <c r="M49" s="3"/>
      <c r="N49" s="7">
        <f t="shared" si="31"/>
        <v>0</v>
      </c>
      <c r="O49" s="11"/>
      <c r="P49" s="8">
        <v>77.05</v>
      </c>
      <c r="Q49" s="3"/>
      <c r="R49" s="7">
        <f t="shared" si="32"/>
        <v>3.3518435139326631E-3</v>
      </c>
      <c r="S49" s="3"/>
      <c r="T49" s="8"/>
      <c r="U49" s="3"/>
      <c r="V49" s="7">
        <f t="shared" si="33"/>
        <v>0</v>
      </c>
      <c r="W49" s="3"/>
      <c r="X49" s="8">
        <f t="shared" si="34"/>
        <v>77.05</v>
      </c>
      <c r="Y49" s="3"/>
      <c r="Z49" s="7">
        <f t="shared" si="35"/>
        <v>0</v>
      </c>
    </row>
    <row r="50" spans="1:26" s="27" customFormat="1" outlineLevel="1" collapsed="1" x14ac:dyDescent="0.3">
      <c r="A50" s="28"/>
      <c r="B50" s="14" t="str">
        <f>CONCATENATE("     ","Depreciation                                      ")</f>
        <v xml:space="preserve">     Depreciation                                      </v>
      </c>
      <c r="C50" s="14"/>
      <c r="D50" s="1">
        <f>SUM(OSRRefD22_4x_0)</f>
        <v>273.51</v>
      </c>
      <c r="E50" s="1"/>
      <c r="F50" s="5">
        <f t="shared" si="28"/>
        <v>1.1898283186187186E-2</v>
      </c>
      <c r="G50" s="1"/>
      <c r="H50" s="1">
        <f>SUM(OSRRefH22_4x_0)</f>
        <v>273</v>
      </c>
      <c r="I50" s="1"/>
      <c r="J50" s="5">
        <f t="shared" si="29"/>
        <v>0</v>
      </c>
      <c r="K50" s="1"/>
      <c r="L50" s="1">
        <f t="shared" si="30"/>
        <v>0.50999999999999091</v>
      </c>
      <c r="M50" s="1"/>
      <c r="N50" s="5">
        <f t="shared" si="31"/>
        <v>1.8681318681318347E-3</v>
      </c>
      <c r="O50" s="14"/>
      <c r="P50" s="1">
        <f>SUM(OSRRefP22_4x_0)</f>
        <v>273.51</v>
      </c>
      <c r="Q50" s="1"/>
      <c r="R50" s="5">
        <f t="shared" si="32"/>
        <v>1.1898283186187186E-2</v>
      </c>
      <c r="S50" s="1"/>
      <c r="T50" s="1">
        <f>SUM(OSRRefT22_4x_0)</f>
        <v>273</v>
      </c>
      <c r="U50" s="1"/>
      <c r="V50" s="5">
        <f t="shared" si="33"/>
        <v>0</v>
      </c>
      <c r="W50" s="1"/>
      <c r="X50" s="1">
        <f t="shared" si="34"/>
        <v>0.50999999999999091</v>
      </c>
      <c r="Y50" s="1"/>
      <c r="Z50" s="5">
        <f t="shared" si="35"/>
        <v>1.8681318681318347E-3</v>
      </c>
    </row>
    <row r="51" spans="1:26" s="24" customFormat="1" hidden="1" outlineLevel="2" x14ac:dyDescent="0.3">
      <c r="A51" s="29"/>
      <c r="B51" s="11" t="str">
        <f>CONCATENATE("          ", "6322", " - ", "EQUIPMENT DEPRECIATION EXPENSE")</f>
        <v xml:space="preserve">          6322 - EQUIPMENT DEPRECIATION EXPENSE</v>
      </c>
      <c r="C51" s="11"/>
      <c r="D51" s="8">
        <v>273.51</v>
      </c>
      <c r="E51" s="3"/>
      <c r="F51" s="7">
        <f t="shared" si="28"/>
        <v>1.1898283186187186E-2</v>
      </c>
      <c r="G51" s="3"/>
      <c r="H51" s="8">
        <v>273</v>
      </c>
      <c r="I51" s="3"/>
      <c r="J51" s="7">
        <f t="shared" si="29"/>
        <v>0</v>
      </c>
      <c r="K51" s="3"/>
      <c r="L51" s="8">
        <f t="shared" si="30"/>
        <v>0.50999999999999091</v>
      </c>
      <c r="M51" s="3"/>
      <c r="N51" s="7">
        <f t="shared" si="31"/>
        <v>1.8681318681318347E-3</v>
      </c>
      <c r="O51" s="11"/>
      <c r="P51" s="8">
        <v>273.51</v>
      </c>
      <c r="Q51" s="3"/>
      <c r="R51" s="7">
        <f t="shared" si="32"/>
        <v>1.1898283186187186E-2</v>
      </c>
      <c r="S51" s="3"/>
      <c r="T51" s="8">
        <v>273</v>
      </c>
      <c r="U51" s="3"/>
      <c r="V51" s="7">
        <f t="shared" si="33"/>
        <v>0</v>
      </c>
      <c r="W51" s="3"/>
      <c r="X51" s="8">
        <f t="shared" si="34"/>
        <v>0.50999999999999091</v>
      </c>
      <c r="Y51" s="3"/>
      <c r="Z51" s="7">
        <f t="shared" si="35"/>
        <v>1.8681318681318347E-3</v>
      </c>
    </row>
    <row r="52" spans="1:26" s="27" customFormat="1" outlineLevel="1" collapsed="1" x14ac:dyDescent="0.3">
      <c r="A52" s="28"/>
      <c r="B52" s="14" t="str">
        <f>CONCATENATE("     ","Employees' Appreciation                           ")</f>
        <v xml:space="preserve">     Employees' Appreciation                           </v>
      </c>
      <c r="C52" s="14"/>
      <c r="D52" s="1">
        <f>SUM(OSRRefD22_5x_0)</f>
        <v>0</v>
      </c>
      <c r="E52" s="1"/>
      <c r="F52" s="5">
        <f t="shared" si="28"/>
        <v>0</v>
      </c>
      <c r="G52" s="1"/>
      <c r="H52" s="1">
        <f>SUM(OSRRefH22_5x_0)</f>
        <v>150</v>
      </c>
      <c r="I52" s="1"/>
      <c r="J52" s="5">
        <f t="shared" si="29"/>
        <v>0</v>
      </c>
      <c r="K52" s="1"/>
      <c r="L52" s="1">
        <f t="shared" si="30"/>
        <v>-150</v>
      </c>
      <c r="M52" s="1"/>
      <c r="N52" s="5">
        <f t="shared" si="31"/>
        <v>-1</v>
      </c>
      <c r="O52" s="14"/>
      <c r="P52" s="1">
        <f>SUM(OSRRefP22_5x_0)</f>
        <v>0</v>
      </c>
      <c r="Q52" s="1"/>
      <c r="R52" s="5">
        <f t="shared" si="32"/>
        <v>0</v>
      </c>
      <c r="S52" s="1"/>
      <c r="T52" s="1">
        <f>SUM(OSRRefT22_5x_0)</f>
        <v>150</v>
      </c>
      <c r="U52" s="1"/>
      <c r="V52" s="5">
        <f t="shared" si="33"/>
        <v>0</v>
      </c>
      <c r="W52" s="1"/>
      <c r="X52" s="1">
        <f t="shared" si="34"/>
        <v>-150</v>
      </c>
      <c r="Y52" s="1"/>
      <c r="Z52" s="5">
        <f t="shared" si="35"/>
        <v>-1</v>
      </c>
    </row>
    <row r="53" spans="1:26" s="24" customFormat="1" hidden="1" outlineLevel="2" x14ac:dyDescent="0.3">
      <c r="A53" s="29"/>
      <c r="B53" s="11" t="str">
        <f>CONCATENATE("          ", "6277", " - ", "EMPLOYEE APPRECIATION")</f>
        <v xml:space="preserve">          6277 - EMPLOYEE APPRECIATION</v>
      </c>
      <c r="C53" s="11"/>
      <c r="D53" s="8"/>
      <c r="E53" s="3"/>
      <c r="F53" s="7">
        <f t="shared" si="28"/>
        <v>0</v>
      </c>
      <c r="G53" s="3"/>
      <c r="H53" s="8">
        <v>150</v>
      </c>
      <c r="I53" s="3"/>
      <c r="J53" s="7">
        <f t="shared" si="29"/>
        <v>0</v>
      </c>
      <c r="K53" s="3"/>
      <c r="L53" s="8">
        <f t="shared" si="30"/>
        <v>-150</v>
      </c>
      <c r="M53" s="3"/>
      <c r="N53" s="7">
        <f t="shared" si="31"/>
        <v>-1</v>
      </c>
      <c r="O53" s="11"/>
      <c r="P53" s="8"/>
      <c r="Q53" s="3"/>
      <c r="R53" s="7">
        <f t="shared" si="32"/>
        <v>0</v>
      </c>
      <c r="S53" s="3"/>
      <c r="T53" s="8">
        <v>150</v>
      </c>
      <c r="U53" s="3"/>
      <c r="V53" s="7">
        <f t="shared" si="33"/>
        <v>0</v>
      </c>
      <c r="W53" s="3"/>
      <c r="X53" s="8">
        <f t="shared" si="34"/>
        <v>-150</v>
      </c>
      <c r="Y53" s="3"/>
      <c r="Z53" s="7">
        <f t="shared" si="35"/>
        <v>-1</v>
      </c>
    </row>
    <row r="54" spans="1:26" s="27" customFormat="1" outlineLevel="1" collapsed="1" x14ac:dyDescent="0.3">
      <c r="A54" s="28"/>
      <c r="B54" s="14" t="str">
        <f>CONCATENATE("     ","Equipment Rental                                  ")</f>
        <v xml:space="preserve">     Equipment Rental                                  </v>
      </c>
      <c r="C54" s="14"/>
      <c r="D54" s="1">
        <f>SUM(OSRRefD22_6x_0)</f>
        <v>427.1</v>
      </c>
      <c r="E54" s="1"/>
      <c r="F54" s="5">
        <f t="shared" si="28"/>
        <v>1.8579784098645562E-2</v>
      </c>
      <c r="G54" s="1"/>
      <c r="H54" s="1">
        <f>SUM(OSRRefH22_6x_0)</f>
        <v>295</v>
      </c>
      <c r="I54" s="1"/>
      <c r="J54" s="5">
        <f t="shared" si="29"/>
        <v>0</v>
      </c>
      <c r="K54" s="1"/>
      <c r="L54" s="1">
        <f t="shared" si="30"/>
        <v>132.10000000000002</v>
      </c>
      <c r="M54" s="1"/>
      <c r="N54" s="5">
        <f t="shared" si="31"/>
        <v>0.44779661016949163</v>
      </c>
      <c r="O54" s="14"/>
      <c r="P54" s="1">
        <f>SUM(OSRRefP22_6x_0)</f>
        <v>427.1</v>
      </c>
      <c r="Q54" s="1"/>
      <c r="R54" s="5">
        <f t="shared" si="32"/>
        <v>1.8579784098645562E-2</v>
      </c>
      <c r="S54" s="1"/>
      <c r="T54" s="1">
        <f>SUM(OSRRefT22_6x_0)</f>
        <v>295</v>
      </c>
      <c r="U54" s="1"/>
      <c r="V54" s="5">
        <f t="shared" si="33"/>
        <v>0</v>
      </c>
      <c r="W54" s="1"/>
      <c r="X54" s="1">
        <f t="shared" si="34"/>
        <v>132.10000000000002</v>
      </c>
      <c r="Y54" s="1"/>
      <c r="Z54" s="5">
        <f t="shared" si="35"/>
        <v>0.44779661016949163</v>
      </c>
    </row>
    <row r="55" spans="1:26" s="24" customFormat="1" hidden="1" outlineLevel="2" x14ac:dyDescent="0.3">
      <c r="A55" s="29"/>
      <c r="B55" s="11" t="str">
        <f>CONCATENATE("          ", "6351", " - ", "EQUIPMENT RENTAL")</f>
        <v xml:space="preserve">          6351 - EQUIPMENT RENTAL</v>
      </c>
      <c r="C55" s="11"/>
      <c r="D55" s="8">
        <v>427.1</v>
      </c>
      <c r="E55" s="3"/>
      <c r="F55" s="7">
        <f t="shared" si="28"/>
        <v>1.8579784098645562E-2</v>
      </c>
      <c r="G55" s="3"/>
      <c r="H55" s="8">
        <v>295</v>
      </c>
      <c r="I55" s="3"/>
      <c r="J55" s="7">
        <f t="shared" si="29"/>
        <v>0</v>
      </c>
      <c r="K55" s="3"/>
      <c r="L55" s="8">
        <f t="shared" si="30"/>
        <v>132.10000000000002</v>
      </c>
      <c r="M55" s="3"/>
      <c r="N55" s="7">
        <f t="shared" si="31"/>
        <v>0.44779661016949163</v>
      </c>
      <c r="O55" s="11"/>
      <c r="P55" s="8">
        <v>427.1</v>
      </c>
      <c r="Q55" s="3"/>
      <c r="R55" s="7">
        <f t="shared" si="32"/>
        <v>1.8579784098645562E-2</v>
      </c>
      <c r="S55" s="3"/>
      <c r="T55" s="8">
        <v>295</v>
      </c>
      <c r="U55" s="3"/>
      <c r="V55" s="7">
        <f t="shared" si="33"/>
        <v>0</v>
      </c>
      <c r="W55" s="3"/>
      <c r="X55" s="8">
        <f t="shared" si="34"/>
        <v>132.10000000000002</v>
      </c>
      <c r="Y55" s="3"/>
      <c r="Z55" s="7">
        <f t="shared" si="35"/>
        <v>0.44779661016949163</v>
      </c>
    </row>
    <row r="56" spans="1:26" s="27" customFormat="1" outlineLevel="1" collapsed="1" x14ac:dyDescent="0.3">
      <c r="A56" s="28"/>
      <c r="B56" s="14" t="str">
        <f>CONCATENATE("     ","General                                           ")</f>
        <v xml:space="preserve">     General                                           </v>
      </c>
      <c r="C56" s="14"/>
      <c r="D56" s="1">
        <f>SUM(OSRRefD22_7x_0)</f>
        <v>88.38</v>
      </c>
      <c r="E56" s="1"/>
      <c r="F56" s="5">
        <f t="shared" si="28"/>
        <v>3.8447232934635789E-3</v>
      </c>
      <c r="G56" s="1"/>
      <c r="H56" s="1">
        <f>SUM(OSRRefH22_7x_0)</f>
        <v>1750</v>
      </c>
      <c r="I56" s="1"/>
      <c r="J56" s="5">
        <f t="shared" si="29"/>
        <v>0</v>
      </c>
      <c r="K56" s="1"/>
      <c r="L56" s="1">
        <f t="shared" si="30"/>
        <v>-1661.62</v>
      </c>
      <c r="M56" s="1"/>
      <c r="N56" s="5">
        <f t="shared" si="31"/>
        <v>-0.94949714285714282</v>
      </c>
      <c r="O56" s="14"/>
      <c r="P56" s="1">
        <f>SUM(OSRRefP22_7x_0)</f>
        <v>88.38</v>
      </c>
      <c r="Q56" s="1"/>
      <c r="R56" s="5">
        <f t="shared" si="32"/>
        <v>3.8447232934635789E-3</v>
      </c>
      <c r="S56" s="1"/>
      <c r="T56" s="1">
        <f>SUM(OSRRefT22_7x_0)</f>
        <v>1750</v>
      </c>
      <c r="U56" s="1"/>
      <c r="V56" s="5">
        <f t="shared" si="33"/>
        <v>0</v>
      </c>
      <c r="W56" s="1"/>
      <c r="X56" s="1">
        <f t="shared" si="34"/>
        <v>-1661.62</v>
      </c>
      <c r="Y56" s="1"/>
      <c r="Z56" s="5">
        <f t="shared" si="35"/>
        <v>-0.94949714285714282</v>
      </c>
    </row>
    <row r="57" spans="1:26" s="24" customFormat="1" hidden="1" outlineLevel="2" x14ac:dyDescent="0.3">
      <c r="A57" s="29"/>
      <c r="B57" s="11" t="str">
        <f>CONCATENATE("          ", "6279", " - ", "GENERAL EXPENSE")</f>
        <v xml:space="preserve">          6279 - GENERAL EXPENSE</v>
      </c>
      <c r="C57" s="11"/>
      <c r="D57" s="8">
        <v>88.38</v>
      </c>
      <c r="E57" s="3"/>
      <c r="F57" s="7">
        <f t="shared" si="28"/>
        <v>3.8447232934635789E-3</v>
      </c>
      <c r="G57" s="3"/>
      <c r="H57" s="8">
        <v>1750</v>
      </c>
      <c r="I57" s="3"/>
      <c r="J57" s="7">
        <f t="shared" si="29"/>
        <v>0</v>
      </c>
      <c r="K57" s="3"/>
      <c r="L57" s="8">
        <f t="shared" si="30"/>
        <v>-1661.62</v>
      </c>
      <c r="M57" s="3"/>
      <c r="N57" s="7">
        <f t="shared" si="31"/>
        <v>-0.94949714285714282</v>
      </c>
      <c r="O57" s="11"/>
      <c r="P57" s="8">
        <v>88.38</v>
      </c>
      <c r="Q57" s="3"/>
      <c r="R57" s="7">
        <f t="shared" si="32"/>
        <v>3.8447232934635789E-3</v>
      </c>
      <c r="S57" s="3"/>
      <c r="T57" s="8">
        <v>1750</v>
      </c>
      <c r="U57" s="3"/>
      <c r="V57" s="7">
        <f t="shared" si="33"/>
        <v>0</v>
      </c>
      <c r="W57" s="3"/>
      <c r="X57" s="8">
        <f t="shared" si="34"/>
        <v>-1661.62</v>
      </c>
      <c r="Y57" s="3"/>
      <c r="Z57" s="7">
        <f t="shared" si="35"/>
        <v>-0.94949714285714282</v>
      </c>
    </row>
    <row r="58" spans="1:26" s="27" customFormat="1" outlineLevel="1" collapsed="1" x14ac:dyDescent="0.3">
      <c r="A58" s="28"/>
      <c r="B58" s="14" t="str">
        <f>CONCATENATE("     ","R/H Commissions                                   ")</f>
        <v xml:space="preserve">     R/H Commissions                                   </v>
      </c>
      <c r="C58" s="14"/>
      <c r="D58" s="1">
        <f>SUM(OSRRefD22_8x_0)</f>
        <v>1568</v>
      </c>
      <c r="E58" s="1"/>
      <c r="F58" s="5">
        <f t="shared" si="28"/>
        <v>6.8211429329609552E-2</v>
      </c>
      <c r="G58" s="1"/>
      <c r="H58" s="1">
        <f>SUM(OSRRefH22_8x_0)</f>
        <v>0</v>
      </c>
      <c r="I58" s="1"/>
      <c r="J58" s="5">
        <f t="shared" si="29"/>
        <v>0</v>
      </c>
      <c r="K58" s="1"/>
      <c r="L58" s="1">
        <f t="shared" si="30"/>
        <v>1568</v>
      </c>
      <c r="M58" s="1"/>
      <c r="N58" s="5">
        <f t="shared" si="31"/>
        <v>0</v>
      </c>
      <c r="O58" s="14"/>
      <c r="P58" s="1">
        <f>SUM(OSRRefP22_8x_0)</f>
        <v>1568</v>
      </c>
      <c r="Q58" s="1"/>
      <c r="R58" s="5">
        <f t="shared" si="32"/>
        <v>6.8211429329609552E-2</v>
      </c>
      <c r="S58" s="1"/>
      <c r="T58" s="1">
        <f>SUM(OSRRefT22_8x_0)</f>
        <v>0</v>
      </c>
      <c r="U58" s="1"/>
      <c r="V58" s="5">
        <f t="shared" si="33"/>
        <v>0</v>
      </c>
      <c r="W58" s="1"/>
      <c r="X58" s="1">
        <f t="shared" si="34"/>
        <v>1568</v>
      </c>
      <c r="Y58" s="1"/>
      <c r="Z58" s="5">
        <f t="shared" si="35"/>
        <v>0</v>
      </c>
    </row>
    <row r="59" spans="1:26" s="24" customFormat="1" hidden="1" outlineLevel="2" x14ac:dyDescent="0.3">
      <c r="A59" s="29"/>
      <c r="B59" s="11" t="str">
        <f>CONCATENATE("          ", "6387", " - ", "COMMISSION DUE HOUSING")</f>
        <v xml:space="preserve">          6387 - COMMISSION DUE HOUSING</v>
      </c>
      <c r="C59" s="11"/>
      <c r="D59" s="8">
        <v>1568</v>
      </c>
      <c r="E59" s="3"/>
      <c r="F59" s="7">
        <f t="shared" si="28"/>
        <v>6.8211429329609552E-2</v>
      </c>
      <c r="G59" s="3"/>
      <c r="H59" s="8"/>
      <c r="I59" s="3"/>
      <c r="J59" s="7">
        <f t="shared" si="29"/>
        <v>0</v>
      </c>
      <c r="K59" s="3"/>
      <c r="L59" s="8">
        <f t="shared" si="30"/>
        <v>1568</v>
      </c>
      <c r="M59" s="3"/>
      <c r="N59" s="7">
        <f t="shared" si="31"/>
        <v>0</v>
      </c>
      <c r="O59" s="11"/>
      <c r="P59" s="8">
        <v>1568</v>
      </c>
      <c r="Q59" s="3"/>
      <c r="R59" s="7">
        <f t="shared" si="32"/>
        <v>6.8211429329609552E-2</v>
      </c>
      <c r="S59" s="3"/>
      <c r="T59" s="8"/>
      <c r="U59" s="3"/>
      <c r="V59" s="7">
        <f t="shared" si="33"/>
        <v>0</v>
      </c>
      <c r="W59" s="3"/>
      <c r="X59" s="8">
        <f t="shared" si="34"/>
        <v>1568</v>
      </c>
      <c r="Y59" s="3"/>
      <c r="Z59" s="7">
        <f t="shared" si="35"/>
        <v>0</v>
      </c>
    </row>
    <row r="60" spans="1:26" s="27" customFormat="1" outlineLevel="1" collapsed="1" x14ac:dyDescent="0.3">
      <c r="A60" s="28"/>
      <c r="B60" s="14" t="str">
        <f>CONCATENATE("     ","Repair and Maintenance                            ")</f>
        <v xml:space="preserve">     Repair and Maintenance                            </v>
      </c>
      <c r="C60" s="14"/>
      <c r="D60" s="1">
        <f>SUM(OSRRefD22_9x_0)</f>
        <v>629</v>
      </c>
      <c r="E60" s="1"/>
      <c r="F60" s="5">
        <f t="shared" si="28"/>
        <v>2.7362875668574239E-2</v>
      </c>
      <c r="G60" s="1"/>
      <c r="H60" s="1">
        <f>SUM(OSRRefH22_9x_0)</f>
        <v>200</v>
      </c>
      <c r="I60" s="1"/>
      <c r="J60" s="5">
        <f t="shared" si="29"/>
        <v>0</v>
      </c>
      <c r="K60" s="1"/>
      <c r="L60" s="1">
        <f t="shared" si="30"/>
        <v>429</v>
      </c>
      <c r="M60" s="1"/>
      <c r="N60" s="5">
        <f t="shared" si="31"/>
        <v>2.145</v>
      </c>
      <c r="O60" s="14"/>
      <c r="P60" s="1">
        <f>SUM(OSRRefP22_9x_0)</f>
        <v>629</v>
      </c>
      <c r="Q60" s="1"/>
      <c r="R60" s="5">
        <f t="shared" si="32"/>
        <v>2.7362875668574239E-2</v>
      </c>
      <c r="S60" s="1"/>
      <c r="T60" s="1">
        <f>SUM(OSRRefT22_9x_0)</f>
        <v>200</v>
      </c>
      <c r="U60" s="1"/>
      <c r="V60" s="5">
        <f t="shared" si="33"/>
        <v>0</v>
      </c>
      <c r="W60" s="1"/>
      <c r="X60" s="1">
        <f t="shared" si="34"/>
        <v>429</v>
      </c>
      <c r="Y60" s="1"/>
      <c r="Z60" s="5">
        <f t="shared" si="35"/>
        <v>2.145</v>
      </c>
    </row>
    <row r="61" spans="1:26" s="24" customFormat="1" hidden="1" outlineLevel="2" x14ac:dyDescent="0.3">
      <c r="A61" s="29"/>
      <c r="B61" s="11" t="str">
        <f>CONCATENATE("          ", "6373", " - ", "MAINTENANCE CONTRACTS")</f>
        <v xml:space="preserve">          6373 - MAINTENANCE CONTRACTS</v>
      </c>
      <c r="C61" s="11"/>
      <c r="D61" s="8">
        <v>14</v>
      </c>
      <c r="E61" s="3"/>
      <c r="F61" s="7">
        <f t="shared" si="28"/>
        <v>6.09030619014371E-4</v>
      </c>
      <c r="G61" s="3"/>
      <c r="H61" s="8"/>
      <c r="I61" s="3"/>
      <c r="J61" s="7">
        <f t="shared" si="29"/>
        <v>0</v>
      </c>
      <c r="K61" s="3"/>
      <c r="L61" s="8">
        <f t="shared" si="30"/>
        <v>14</v>
      </c>
      <c r="M61" s="3"/>
      <c r="N61" s="7">
        <f t="shared" si="31"/>
        <v>0</v>
      </c>
      <c r="O61" s="11"/>
      <c r="P61" s="8">
        <v>14</v>
      </c>
      <c r="Q61" s="3"/>
      <c r="R61" s="7">
        <f t="shared" si="32"/>
        <v>6.09030619014371E-4</v>
      </c>
      <c r="S61" s="3"/>
      <c r="T61" s="8"/>
      <c r="U61" s="3"/>
      <c r="V61" s="7">
        <f t="shared" si="33"/>
        <v>0</v>
      </c>
      <c r="W61" s="3"/>
      <c r="X61" s="8">
        <f t="shared" si="34"/>
        <v>14</v>
      </c>
      <c r="Y61" s="3"/>
      <c r="Z61" s="7">
        <f t="shared" si="35"/>
        <v>0</v>
      </c>
    </row>
    <row r="62" spans="1:26" s="24" customFormat="1" hidden="1" outlineLevel="2" x14ac:dyDescent="0.3">
      <c r="A62" s="29"/>
      <c r="B62" s="11" t="str">
        <f>CONCATENATE("          ", "6375", " - ", "OUTSIDE REPAIRS &amp; MAINTENANCE")</f>
        <v xml:space="preserve">          6375 - OUTSIDE REPAIRS &amp; MAINTENANCE</v>
      </c>
      <c r="C62" s="11"/>
      <c r="D62" s="8">
        <v>615</v>
      </c>
      <c r="E62" s="3"/>
      <c r="F62" s="7">
        <f t="shared" si="28"/>
        <v>2.6753845049559868E-2</v>
      </c>
      <c r="G62" s="3"/>
      <c r="H62" s="8">
        <v>200</v>
      </c>
      <c r="I62" s="3"/>
      <c r="J62" s="7">
        <f t="shared" si="29"/>
        <v>0</v>
      </c>
      <c r="K62" s="3"/>
      <c r="L62" s="8">
        <f t="shared" si="30"/>
        <v>415</v>
      </c>
      <c r="M62" s="3"/>
      <c r="N62" s="7">
        <f t="shared" si="31"/>
        <v>2.0750000000000002</v>
      </c>
      <c r="O62" s="11"/>
      <c r="P62" s="8">
        <v>615</v>
      </c>
      <c r="Q62" s="3"/>
      <c r="R62" s="7">
        <f t="shared" si="32"/>
        <v>2.6753845049559868E-2</v>
      </c>
      <c r="S62" s="3"/>
      <c r="T62" s="8">
        <v>200</v>
      </c>
      <c r="U62" s="3"/>
      <c r="V62" s="7">
        <f t="shared" si="33"/>
        <v>0</v>
      </c>
      <c r="W62" s="3"/>
      <c r="X62" s="8">
        <f t="shared" si="34"/>
        <v>415</v>
      </c>
      <c r="Y62" s="3"/>
      <c r="Z62" s="7">
        <f t="shared" si="35"/>
        <v>2.0750000000000002</v>
      </c>
    </row>
    <row r="63" spans="1:26" s="27" customFormat="1" outlineLevel="1" collapsed="1" x14ac:dyDescent="0.3">
      <c r="A63" s="28"/>
      <c r="B63" s="14" t="str">
        <f>CONCATENATE("     ","Services                                          ")</f>
        <v xml:space="preserve">     Services                                          </v>
      </c>
      <c r="C63" s="14"/>
      <c r="D63" s="1">
        <f>SUM(OSRRefD22_10x_0)</f>
        <v>5812.9</v>
      </c>
      <c r="E63" s="1"/>
      <c r="F63" s="5">
        <f t="shared" ref="F63:F67" si="36">IF(D$12=0,0,D63/D$12)</f>
        <v>0.25287386323347405</v>
      </c>
      <c r="G63" s="1"/>
      <c r="H63" s="1">
        <f>SUM(OSRRefH22_10x_0)</f>
        <v>7150</v>
      </c>
      <c r="I63" s="1"/>
      <c r="J63" s="5">
        <f t="shared" ref="J63:J67" si="37">IF(H$12=0,0,H63/H$12)</f>
        <v>0</v>
      </c>
      <c r="K63" s="1"/>
      <c r="L63" s="1">
        <f t="shared" ref="L63:L67" si="38">+D63-H63</f>
        <v>-1337.1000000000004</v>
      </c>
      <c r="M63" s="1"/>
      <c r="N63" s="5">
        <f t="shared" ref="N63:N67" si="39">IF(H63=0,0,L63/H63)</f>
        <v>-0.18700699300699306</v>
      </c>
      <c r="O63" s="14"/>
      <c r="P63" s="1">
        <f>SUM(OSRRefP22_10x_0)</f>
        <v>5812.9</v>
      </c>
      <c r="Q63" s="1"/>
      <c r="R63" s="5">
        <f t="shared" ref="R63:R67" si="40">IF(P$12=0,0,P63/P$12)</f>
        <v>0.25287386323347405</v>
      </c>
      <c r="S63" s="1"/>
      <c r="T63" s="1">
        <f>SUM(OSRRefT22_10x_0)</f>
        <v>7150</v>
      </c>
      <c r="U63" s="1"/>
      <c r="V63" s="5">
        <f t="shared" ref="V63:V67" si="41">IF(T$12=0,0,T63/T$12)</f>
        <v>0</v>
      </c>
      <c r="W63" s="1"/>
      <c r="X63" s="1">
        <f t="shared" ref="X63:X67" si="42">+P63-T63</f>
        <v>-1337.1000000000004</v>
      </c>
      <c r="Y63" s="1"/>
      <c r="Z63" s="5">
        <f t="shared" ref="Z63:Z67" si="43">IF(T63=0,0,X63/T63)</f>
        <v>-0.18700699300699306</v>
      </c>
    </row>
    <row r="64" spans="1:26" s="24" customFormat="1" hidden="1" outlineLevel="2" x14ac:dyDescent="0.3">
      <c r="A64" s="29"/>
      <c r="B64" s="11" t="str">
        <f>CONCATENATE("          ", "6282", " - ", "JANITORIAL/EXTERMINATOR EXPENS")</f>
        <v xml:space="preserve">          6282 - JANITORIAL/EXTERMINATOR EXPENS</v>
      </c>
      <c r="C64" s="11"/>
      <c r="D64" s="8">
        <v>421.34</v>
      </c>
      <c r="E64" s="3"/>
      <c r="F64" s="7">
        <f t="shared" si="36"/>
        <v>1.8329211501108219E-2</v>
      </c>
      <c r="G64" s="3"/>
      <c r="H64" s="8">
        <v>450</v>
      </c>
      <c r="I64" s="3"/>
      <c r="J64" s="7">
        <f t="shared" si="37"/>
        <v>0</v>
      </c>
      <c r="K64" s="3"/>
      <c r="L64" s="8">
        <f t="shared" si="38"/>
        <v>-28.660000000000025</v>
      </c>
      <c r="M64" s="3"/>
      <c r="N64" s="7">
        <f t="shared" si="39"/>
        <v>-6.3688888888888948E-2</v>
      </c>
      <c r="O64" s="11"/>
      <c r="P64" s="8">
        <v>421.34</v>
      </c>
      <c r="Q64" s="3"/>
      <c r="R64" s="7">
        <f t="shared" si="40"/>
        <v>1.8329211501108219E-2</v>
      </c>
      <c r="S64" s="3"/>
      <c r="T64" s="8">
        <v>450</v>
      </c>
      <c r="U64" s="3"/>
      <c r="V64" s="7">
        <f t="shared" si="41"/>
        <v>0</v>
      </c>
      <c r="W64" s="3"/>
      <c r="X64" s="8">
        <f t="shared" si="42"/>
        <v>-28.660000000000025</v>
      </c>
      <c r="Y64" s="3"/>
      <c r="Z64" s="7">
        <f t="shared" si="43"/>
        <v>-6.3688888888888948E-2</v>
      </c>
    </row>
    <row r="65" spans="1:26" s="24" customFormat="1" hidden="1" outlineLevel="2" x14ac:dyDescent="0.3">
      <c r="A65" s="29"/>
      <c r="B65" s="11" t="str">
        <f>CONCATENATE("          ", "6284", " - ", "TRASH REMOVAL EXPENSE")</f>
        <v xml:space="preserve">          6284 - TRASH REMOVAL EXPENSE</v>
      </c>
      <c r="C65" s="11"/>
      <c r="D65" s="8"/>
      <c r="E65" s="3"/>
      <c r="F65" s="7">
        <f t="shared" si="36"/>
        <v>0</v>
      </c>
      <c r="G65" s="3"/>
      <c r="H65" s="8">
        <v>50</v>
      </c>
      <c r="I65" s="3"/>
      <c r="J65" s="7">
        <f t="shared" si="37"/>
        <v>0</v>
      </c>
      <c r="K65" s="3"/>
      <c r="L65" s="8">
        <f t="shared" si="38"/>
        <v>-50</v>
      </c>
      <c r="M65" s="3"/>
      <c r="N65" s="7">
        <f t="shared" si="39"/>
        <v>-1</v>
      </c>
      <c r="O65" s="11"/>
      <c r="P65" s="8"/>
      <c r="Q65" s="3"/>
      <c r="R65" s="7">
        <f t="shared" si="40"/>
        <v>0</v>
      </c>
      <c r="S65" s="3"/>
      <c r="T65" s="8">
        <v>50</v>
      </c>
      <c r="U65" s="3"/>
      <c r="V65" s="7">
        <f t="shared" si="41"/>
        <v>0</v>
      </c>
      <c r="W65" s="3"/>
      <c r="X65" s="8">
        <f t="shared" si="42"/>
        <v>-50</v>
      </c>
      <c r="Y65" s="3"/>
      <c r="Z65" s="7">
        <f t="shared" si="43"/>
        <v>-1</v>
      </c>
    </row>
    <row r="66" spans="1:26" s="24" customFormat="1" hidden="1" outlineLevel="2" x14ac:dyDescent="0.3">
      <c r="A66" s="29"/>
      <c r="B66" s="11" t="str">
        <f>CONCATENATE("          ", "6285", " - ", "JANITORIAL SERVICES")</f>
        <v xml:space="preserve">          6285 - JANITORIAL SERVICES</v>
      </c>
      <c r="C66" s="11"/>
      <c r="D66" s="8">
        <v>4468.33</v>
      </c>
      <c r="E66" s="3"/>
      <c r="F66" s="7">
        <f t="shared" si="36"/>
        <v>0.19438212756146317</v>
      </c>
      <c r="G66" s="3"/>
      <c r="H66" s="8">
        <v>4983</v>
      </c>
      <c r="I66" s="3"/>
      <c r="J66" s="7">
        <f t="shared" si="37"/>
        <v>0</v>
      </c>
      <c r="K66" s="3"/>
      <c r="L66" s="8">
        <f t="shared" si="38"/>
        <v>-514.67000000000007</v>
      </c>
      <c r="M66" s="3"/>
      <c r="N66" s="7">
        <f t="shared" si="39"/>
        <v>-0.10328516957656032</v>
      </c>
      <c r="O66" s="11"/>
      <c r="P66" s="8">
        <v>4468.33</v>
      </c>
      <c r="Q66" s="3"/>
      <c r="R66" s="7">
        <f t="shared" si="40"/>
        <v>0.19438212756146317</v>
      </c>
      <c r="S66" s="3"/>
      <c r="T66" s="8">
        <v>4983</v>
      </c>
      <c r="U66" s="3"/>
      <c r="V66" s="7">
        <f t="shared" si="41"/>
        <v>0</v>
      </c>
      <c r="W66" s="3"/>
      <c r="X66" s="8">
        <f t="shared" si="42"/>
        <v>-514.67000000000007</v>
      </c>
      <c r="Y66" s="3"/>
      <c r="Z66" s="7">
        <f t="shared" si="43"/>
        <v>-0.10328516957656032</v>
      </c>
    </row>
    <row r="67" spans="1:26" s="24" customFormat="1" hidden="1" outlineLevel="2" x14ac:dyDescent="0.3">
      <c r="A67" s="29"/>
      <c r="B67" s="11" t="str">
        <f>CONCATENATE("          ", "6286", " - ", "LAUNDRY EXPENSE")</f>
        <v xml:space="preserve">          6286 - LAUNDRY EXPENSE</v>
      </c>
      <c r="C67" s="11"/>
      <c r="D67" s="8">
        <v>923.23</v>
      </c>
      <c r="E67" s="3"/>
      <c r="F67" s="7">
        <f t="shared" si="36"/>
        <v>4.0162524170902693E-2</v>
      </c>
      <c r="G67" s="3"/>
      <c r="H67" s="8">
        <v>1667</v>
      </c>
      <c r="I67" s="3"/>
      <c r="J67" s="7">
        <f t="shared" si="37"/>
        <v>0</v>
      </c>
      <c r="K67" s="3"/>
      <c r="L67" s="8">
        <f t="shared" si="38"/>
        <v>-743.77</v>
      </c>
      <c r="M67" s="3"/>
      <c r="N67" s="7">
        <f t="shared" si="39"/>
        <v>-0.44617276544691059</v>
      </c>
      <c r="O67" s="11"/>
      <c r="P67" s="8">
        <v>923.23</v>
      </c>
      <c r="Q67" s="3"/>
      <c r="R67" s="7">
        <f t="shared" si="40"/>
        <v>4.0162524170902693E-2</v>
      </c>
      <c r="S67" s="3"/>
      <c r="T67" s="8">
        <v>1667</v>
      </c>
      <c r="U67" s="3"/>
      <c r="V67" s="7">
        <f t="shared" si="41"/>
        <v>0</v>
      </c>
      <c r="W67" s="3"/>
      <c r="X67" s="8">
        <f t="shared" si="42"/>
        <v>-743.77</v>
      </c>
      <c r="Y67" s="3"/>
      <c r="Z67" s="7">
        <f t="shared" si="43"/>
        <v>-0.44617276544691059</v>
      </c>
    </row>
    <row r="68" spans="1:26" s="27" customFormat="1" outlineLevel="1" collapsed="1" x14ac:dyDescent="0.3">
      <c r="A68" s="28"/>
      <c r="B68" s="14" t="str">
        <f>CONCATENATE("     ","Supplies                                          ")</f>
        <v xml:space="preserve">     Supplies                                          </v>
      </c>
      <c r="C68" s="14"/>
      <c r="D68" s="1">
        <f>SUM(OSRRefD22_11x_0)</f>
        <v>5201.6799999999994</v>
      </c>
      <c r="E68" s="1"/>
      <c r="F68" s="5">
        <f t="shared" ref="F68:F74" si="44">IF(D$12=0,0,D68/D$12)</f>
        <v>0.22628445645104805</v>
      </c>
      <c r="G68" s="1"/>
      <c r="H68" s="1">
        <f>SUM(OSRRefH22_11x_0)</f>
        <v>13066</v>
      </c>
      <c r="I68" s="1"/>
      <c r="J68" s="5">
        <f t="shared" ref="J68:J74" si="45">IF(H$12=0,0,H68/H$12)</f>
        <v>0</v>
      </c>
      <c r="K68" s="1"/>
      <c r="L68" s="1">
        <f t="shared" ref="L68:L74" si="46">+D68-H68</f>
        <v>-7864.3200000000006</v>
      </c>
      <c r="M68" s="1"/>
      <c r="N68" s="5">
        <f t="shared" ref="N68:N74" si="47">IF(H68=0,0,L68/H68)</f>
        <v>-0.60189193326190116</v>
      </c>
      <c r="O68" s="14"/>
      <c r="P68" s="1">
        <f>SUM(OSRRefP22_11x_0)</f>
        <v>5201.6799999999994</v>
      </c>
      <c r="Q68" s="1"/>
      <c r="R68" s="5">
        <f t="shared" ref="R68:R74" si="48">IF(P$12=0,0,P68/P$12)</f>
        <v>0.22628445645104805</v>
      </c>
      <c r="S68" s="1"/>
      <c r="T68" s="1">
        <f>SUM(OSRRefT22_11x_0)</f>
        <v>13066</v>
      </c>
      <c r="U68" s="1"/>
      <c r="V68" s="5">
        <f t="shared" ref="V68:V74" si="49">IF(T$12=0,0,T68/T$12)</f>
        <v>0</v>
      </c>
      <c r="W68" s="1"/>
      <c r="X68" s="1">
        <f t="shared" ref="X68:X74" si="50">+P68-T68</f>
        <v>-7864.3200000000006</v>
      </c>
      <c r="Y68" s="1"/>
      <c r="Z68" s="5">
        <f t="shared" ref="Z68:Z74" si="51">IF(T68=0,0,X68/T68)</f>
        <v>-0.60189193326190116</v>
      </c>
    </row>
    <row r="69" spans="1:26" s="24" customFormat="1" hidden="1" outlineLevel="2" x14ac:dyDescent="0.3">
      <c r="A69" s="29"/>
      <c r="B69" s="11" t="str">
        <f>CONCATENATE("          ", "6237", " - ", "JANITORIAL SUPPLIES")</f>
        <v xml:space="preserve">          6237 - JANITORIAL SUPPLIES</v>
      </c>
      <c r="C69" s="11"/>
      <c r="D69" s="8">
        <v>3701.95</v>
      </c>
      <c r="E69" s="3"/>
      <c r="F69" s="7">
        <f t="shared" si="44"/>
        <v>0.16104292143287505</v>
      </c>
      <c r="G69" s="3"/>
      <c r="H69" s="8">
        <v>3750</v>
      </c>
      <c r="I69" s="3"/>
      <c r="J69" s="7">
        <f t="shared" si="45"/>
        <v>0</v>
      </c>
      <c r="K69" s="3"/>
      <c r="L69" s="8">
        <f t="shared" si="46"/>
        <v>-48.050000000000182</v>
      </c>
      <c r="M69" s="3"/>
      <c r="N69" s="7">
        <f t="shared" si="47"/>
        <v>-1.2813333333333381E-2</v>
      </c>
      <c r="O69" s="11"/>
      <c r="P69" s="8">
        <v>3701.95</v>
      </c>
      <c r="Q69" s="3"/>
      <c r="R69" s="7">
        <f t="shared" si="48"/>
        <v>0.16104292143287505</v>
      </c>
      <c r="S69" s="3"/>
      <c r="T69" s="8">
        <v>3750</v>
      </c>
      <c r="U69" s="3"/>
      <c r="V69" s="7">
        <f t="shared" si="49"/>
        <v>0</v>
      </c>
      <c r="W69" s="3"/>
      <c r="X69" s="8">
        <f t="shared" si="50"/>
        <v>-48.050000000000182</v>
      </c>
      <c r="Y69" s="3"/>
      <c r="Z69" s="7">
        <f t="shared" si="51"/>
        <v>-1.2813333333333381E-2</v>
      </c>
    </row>
    <row r="70" spans="1:26" s="24" customFormat="1" hidden="1" outlineLevel="2" x14ac:dyDescent="0.3">
      <c r="A70" s="29"/>
      <c r="B70" s="11" t="str">
        <f>CONCATENATE("          ", "6239", " - ", "KITCHEN SUPPLIES")</f>
        <v xml:space="preserve">          6239 - KITCHEN SUPPLIES</v>
      </c>
      <c r="C70" s="11"/>
      <c r="D70" s="8"/>
      <c r="E70" s="3"/>
      <c r="F70" s="7">
        <f t="shared" si="44"/>
        <v>0</v>
      </c>
      <c r="G70" s="3"/>
      <c r="H70" s="8">
        <v>1800</v>
      </c>
      <c r="I70" s="3"/>
      <c r="J70" s="7">
        <f t="shared" si="45"/>
        <v>0</v>
      </c>
      <c r="K70" s="3"/>
      <c r="L70" s="8">
        <f t="shared" si="46"/>
        <v>-1800</v>
      </c>
      <c r="M70" s="3"/>
      <c r="N70" s="7">
        <f t="shared" si="47"/>
        <v>-1</v>
      </c>
      <c r="O70" s="11"/>
      <c r="P70" s="8"/>
      <c r="Q70" s="3"/>
      <c r="R70" s="7">
        <f t="shared" si="48"/>
        <v>0</v>
      </c>
      <c r="S70" s="3"/>
      <c r="T70" s="8">
        <v>1800</v>
      </c>
      <c r="U70" s="3"/>
      <c r="V70" s="7">
        <f t="shared" si="49"/>
        <v>0</v>
      </c>
      <c r="W70" s="3"/>
      <c r="X70" s="8">
        <f t="shared" si="50"/>
        <v>-1800</v>
      </c>
      <c r="Y70" s="3"/>
      <c r="Z70" s="7">
        <f t="shared" si="51"/>
        <v>-1</v>
      </c>
    </row>
    <row r="71" spans="1:26" s="24" customFormat="1" hidden="1" outlineLevel="2" x14ac:dyDescent="0.3">
      <c r="A71" s="29"/>
      <c r="B71" s="11" t="str">
        <f>CONCATENATE("          ", "6241", " - ", "OFFICE EXPENSE")</f>
        <v xml:space="preserve">          6241 - OFFICE EXPENSE</v>
      </c>
      <c r="C71" s="11"/>
      <c r="D71" s="8">
        <v>436.66</v>
      </c>
      <c r="E71" s="3"/>
      <c r="F71" s="7">
        <f t="shared" si="44"/>
        <v>1.8995665007058231E-2</v>
      </c>
      <c r="G71" s="3"/>
      <c r="H71" s="8">
        <v>820</v>
      </c>
      <c r="I71" s="3"/>
      <c r="J71" s="7">
        <f t="shared" si="45"/>
        <v>0</v>
      </c>
      <c r="K71" s="3"/>
      <c r="L71" s="8">
        <f t="shared" si="46"/>
        <v>-383.34</v>
      </c>
      <c r="M71" s="3"/>
      <c r="N71" s="7">
        <f t="shared" si="47"/>
        <v>-0.46748780487804875</v>
      </c>
      <c r="O71" s="11"/>
      <c r="P71" s="8">
        <v>436.66</v>
      </c>
      <c r="Q71" s="3"/>
      <c r="R71" s="7">
        <f t="shared" si="48"/>
        <v>1.8995665007058231E-2</v>
      </c>
      <c r="S71" s="3"/>
      <c r="T71" s="8">
        <v>820</v>
      </c>
      <c r="U71" s="3"/>
      <c r="V71" s="7">
        <f t="shared" si="49"/>
        <v>0</v>
      </c>
      <c r="W71" s="3"/>
      <c r="X71" s="8">
        <f t="shared" si="50"/>
        <v>-383.34</v>
      </c>
      <c r="Y71" s="3"/>
      <c r="Z71" s="7">
        <f t="shared" si="51"/>
        <v>-0.46748780487804875</v>
      </c>
    </row>
    <row r="72" spans="1:26" s="24" customFormat="1" hidden="1" outlineLevel="2" x14ac:dyDescent="0.3">
      <c r="A72" s="29"/>
      <c r="B72" s="11" t="str">
        <f>CONCATENATE("          ", "6243", " - ", "PAPER SUPPLIES")</f>
        <v xml:space="preserve">          6243 - PAPER SUPPLIES</v>
      </c>
      <c r="C72" s="11"/>
      <c r="D72" s="8">
        <v>1063.07</v>
      </c>
      <c r="E72" s="3"/>
      <c r="F72" s="7">
        <f t="shared" si="44"/>
        <v>4.6245870011114812E-2</v>
      </c>
      <c r="G72" s="3"/>
      <c r="H72" s="8">
        <v>6300</v>
      </c>
      <c r="I72" s="3"/>
      <c r="J72" s="7">
        <f t="shared" si="45"/>
        <v>0</v>
      </c>
      <c r="K72" s="3"/>
      <c r="L72" s="8">
        <f t="shared" si="46"/>
        <v>-5236.93</v>
      </c>
      <c r="M72" s="3"/>
      <c r="N72" s="7">
        <f t="shared" si="47"/>
        <v>-0.8312587301587302</v>
      </c>
      <c r="O72" s="11"/>
      <c r="P72" s="8">
        <v>1063.07</v>
      </c>
      <c r="Q72" s="3"/>
      <c r="R72" s="7">
        <f t="shared" si="48"/>
        <v>4.6245870011114812E-2</v>
      </c>
      <c r="S72" s="3"/>
      <c r="T72" s="8">
        <v>6300</v>
      </c>
      <c r="U72" s="3"/>
      <c r="V72" s="7">
        <f t="shared" si="49"/>
        <v>0</v>
      </c>
      <c r="W72" s="3"/>
      <c r="X72" s="8">
        <f t="shared" si="50"/>
        <v>-5236.93</v>
      </c>
      <c r="Y72" s="3"/>
      <c r="Z72" s="7">
        <f t="shared" si="51"/>
        <v>-0.8312587301587302</v>
      </c>
    </row>
    <row r="73" spans="1:26" s="24" customFormat="1" hidden="1" outlineLevel="2" x14ac:dyDescent="0.3">
      <c r="A73" s="29"/>
      <c r="B73" s="11" t="str">
        <f>CONCATENATE("          ", "6244", " - ", "SAFETY SUPPLY EXPENSE")</f>
        <v xml:space="preserve">          6244 - SAFETY SUPPLY EXPENSE</v>
      </c>
      <c r="C73" s="11"/>
      <c r="D73" s="8"/>
      <c r="E73" s="3"/>
      <c r="F73" s="7">
        <f t="shared" si="44"/>
        <v>0</v>
      </c>
      <c r="G73" s="3"/>
      <c r="H73" s="8">
        <v>200</v>
      </c>
      <c r="I73" s="3"/>
      <c r="J73" s="7">
        <f t="shared" si="45"/>
        <v>0</v>
      </c>
      <c r="K73" s="3"/>
      <c r="L73" s="8">
        <f t="shared" si="46"/>
        <v>-200</v>
      </c>
      <c r="M73" s="3"/>
      <c r="N73" s="7">
        <f t="shared" si="47"/>
        <v>-1</v>
      </c>
      <c r="O73" s="11"/>
      <c r="P73" s="8"/>
      <c r="Q73" s="3"/>
      <c r="R73" s="7">
        <f t="shared" si="48"/>
        <v>0</v>
      </c>
      <c r="S73" s="3"/>
      <c r="T73" s="8">
        <v>200</v>
      </c>
      <c r="U73" s="3"/>
      <c r="V73" s="7">
        <f t="shared" si="49"/>
        <v>0</v>
      </c>
      <c r="W73" s="3"/>
      <c r="X73" s="8">
        <f t="shared" si="50"/>
        <v>-200</v>
      </c>
      <c r="Y73" s="3"/>
      <c r="Z73" s="7">
        <f t="shared" si="51"/>
        <v>-1</v>
      </c>
    </row>
    <row r="74" spans="1:26" s="24" customFormat="1" hidden="1" outlineLevel="2" x14ac:dyDescent="0.3">
      <c r="A74" s="29"/>
      <c r="B74" s="11" t="str">
        <f>CONCATENATE("          ", "6248", " - ", "UNIFORMS")</f>
        <v xml:space="preserve">          6248 - UNIFORMS</v>
      </c>
      <c r="C74" s="11"/>
      <c r="D74" s="8"/>
      <c r="E74" s="3"/>
      <c r="F74" s="7">
        <f t="shared" si="44"/>
        <v>0</v>
      </c>
      <c r="G74" s="3"/>
      <c r="H74" s="8">
        <v>196</v>
      </c>
      <c r="I74" s="3"/>
      <c r="J74" s="7">
        <f t="shared" si="45"/>
        <v>0</v>
      </c>
      <c r="K74" s="3"/>
      <c r="L74" s="8">
        <f t="shared" si="46"/>
        <v>-196</v>
      </c>
      <c r="M74" s="3"/>
      <c r="N74" s="7">
        <f t="shared" si="47"/>
        <v>-1</v>
      </c>
      <c r="O74" s="11"/>
      <c r="P74" s="8"/>
      <c r="Q74" s="3"/>
      <c r="R74" s="7">
        <f t="shared" si="48"/>
        <v>0</v>
      </c>
      <c r="S74" s="3"/>
      <c r="T74" s="8">
        <v>196</v>
      </c>
      <c r="U74" s="3"/>
      <c r="V74" s="7">
        <f t="shared" si="49"/>
        <v>0</v>
      </c>
      <c r="W74" s="3"/>
      <c r="X74" s="8">
        <f t="shared" si="50"/>
        <v>-196</v>
      </c>
      <c r="Y74" s="3"/>
      <c r="Z74" s="7">
        <f t="shared" si="51"/>
        <v>-1</v>
      </c>
    </row>
    <row r="75" spans="1:26" s="27" customFormat="1" outlineLevel="1" collapsed="1" x14ac:dyDescent="0.3">
      <c r="A75" s="28"/>
      <c r="B75" s="14" t="str">
        <f>CONCATENATE("     ","Telephone/Data Lines                              ")</f>
        <v xml:space="preserve">     Telephone/Data Lines                              </v>
      </c>
      <c r="C75" s="14"/>
      <c r="D75" s="1">
        <f>SUM(OSRRefD22_12x_0)</f>
        <v>217</v>
      </c>
      <c r="E75" s="1"/>
      <c r="F75" s="5">
        <f t="shared" ref="F75:F78" si="52">IF(D$12=0,0,D75/D$12)</f>
        <v>9.4399745947227505E-3</v>
      </c>
      <c r="G75" s="1"/>
      <c r="H75" s="1">
        <f>SUM(OSRRefH22_12x_0)</f>
        <v>218</v>
      </c>
      <c r="I75" s="1"/>
      <c r="J75" s="5">
        <f t="shared" ref="J75:J78" si="53">IF(H$12=0,0,H75/H$12)</f>
        <v>0</v>
      </c>
      <c r="K75" s="1"/>
      <c r="L75" s="1">
        <f t="shared" ref="L75:L78" si="54">+D75-H75</f>
        <v>-1</v>
      </c>
      <c r="M75" s="1"/>
      <c r="N75" s="5">
        <f t="shared" ref="N75:N78" si="55">IF(H75=0,0,L75/H75)</f>
        <v>-4.5871559633027525E-3</v>
      </c>
      <c r="O75" s="14"/>
      <c r="P75" s="1">
        <f>SUM(OSRRefP22_12x_0)</f>
        <v>217</v>
      </c>
      <c r="Q75" s="1"/>
      <c r="R75" s="5">
        <f t="shared" ref="R75:R78" si="56">IF(P$12=0,0,P75/P$12)</f>
        <v>9.4399745947227505E-3</v>
      </c>
      <c r="S75" s="1"/>
      <c r="T75" s="1">
        <f>SUM(OSRRefT22_12x_0)</f>
        <v>218</v>
      </c>
      <c r="U75" s="1"/>
      <c r="V75" s="5">
        <f t="shared" ref="V75:V78" si="57">IF(T$12=0,0,T75/T$12)</f>
        <v>0</v>
      </c>
      <c r="W75" s="1"/>
      <c r="X75" s="1">
        <f t="shared" ref="X75:X78" si="58">+P75-T75</f>
        <v>-1</v>
      </c>
      <c r="Y75" s="1"/>
      <c r="Z75" s="5">
        <f t="shared" ref="Z75:Z78" si="59">IF(T75=0,0,X75/T75)</f>
        <v>-4.5871559633027525E-3</v>
      </c>
    </row>
    <row r="76" spans="1:26" s="24" customFormat="1" hidden="1" outlineLevel="2" x14ac:dyDescent="0.3">
      <c r="A76" s="29"/>
      <c r="B76" s="11" t="str">
        <f>CONCATENATE("          ", "6309", " - ", "TELEPHONE")</f>
        <v xml:space="preserve">          6309 - TELEPHONE</v>
      </c>
      <c r="C76" s="11"/>
      <c r="D76" s="8">
        <v>217</v>
      </c>
      <c r="E76" s="3"/>
      <c r="F76" s="7">
        <f t="shared" si="52"/>
        <v>9.4399745947227505E-3</v>
      </c>
      <c r="G76" s="3"/>
      <c r="H76" s="8">
        <v>218</v>
      </c>
      <c r="I76" s="3"/>
      <c r="J76" s="7">
        <f t="shared" si="53"/>
        <v>0</v>
      </c>
      <c r="K76" s="3"/>
      <c r="L76" s="8">
        <f t="shared" si="54"/>
        <v>-1</v>
      </c>
      <c r="M76" s="3"/>
      <c r="N76" s="7">
        <f t="shared" si="55"/>
        <v>-4.5871559633027525E-3</v>
      </c>
      <c r="O76" s="11"/>
      <c r="P76" s="8">
        <v>217</v>
      </c>
      <c r="Q76" s="3"/>
      <c r="R76" s="7">
        <f t="shared" si="56"/>
        <v>9.4399745947227505E-3</v>
      </c>
      <c r="S76" s="3"/>
      <c r="T76" s="8">
        <v>218</v>
      </c>
      <c r="U76" s="3"/>
      <c r="V76" s="7">
        <f t="shared" si="57"/>
        <v>0</v>
      </c>
      <c r="W76" s="3"/>
      <c r="X76" s="8">
        <f t="shared" si="58"/>
        <v>-1</v>
      </c>
      <c r="Y76" s="3"/>
      <c r="Z76" s="7">
        <f t="shared" si="59"/>
        <v>-4.5871559633027525E-3</v>
      </c>
    </row>
    <row r="77" spans="1:26" s="27" customFormat="1" outlineLevel="1" collapsed="1" x14ac:dyDescent="0.3">
      <c r="A77" s="28"/>
      <c r="B77" s="14" t="str">
        <f>CONCATENATE("     ","Training                                          ")</f>
        <v xml:space="preserve">     Training                                          </v>
      </c>
      <c r="C77" s="14"/>
      <c r="D77" s="1">
        <f>SUM(OSRRefD22_13x_0)</f>
        <v>0</v>
      </c>
      <c r="E77" s="1"/>
      <c r="F77" s="5">
        <f t="shared" si="52"/>
        <v>0</v>
      </c>
      <c r="G77" s="1"/>
      <c r="H77" s="1">
        <f>SUM(OSRRefH22_13x_0)</f>
        <v>175</v>
      </c>
      <c r="I77" s="1"/>
      <c r="J77" s="5">
        <f t="shared" si="53"/>
        <v>0</v>
      </c>
      <c r="K77" s="1"/>
      <c r="L77" s="1">
        <f t="shared" si="54"/>
        <v>-175</v>
      </c>
      <c r="M77" s="1"/>
      <c r="N77" s="5">
        <f t="shared" si="55"/>
        <v>-1</v>
      </c>
      <c r="O77" s="14"/>
      <c r="P77" s="1">
        <f>SUM(OSRRefP22_13x_0)</f>
        <v>0</v>
      </c>
      <c r="Q77" s="1"/>
      <c r="R77" s="5">
        <f t="shared" si="56"/>
        <v>0</v>
      </c>
      <c r="S77" s="1"/>
      <c r="T77" s="1">
        <f>SUM(OSRRefT22_13x_0)</f>
        <v>175</v>
      </c>
      <c r="U77" s="1"/>
      <c r="V77" s="5">
        <f t="shared" si="57"/>
        <v>0</v>
      </c>
      <c r="W77" s="1"/>
      <c r="X77" s="1">
        <f t="shared" si="58"/>
        <v>-175</v>
      </c>
      <c r="Y77" s="1"/>
      <c r="Z77" s="5">
        <f t="shared" si="59"/>
        <v>-1</v>
      </c>
    </row>
    <row r="78" spans="1:26" s="24" customFormat="1" hidden="1" outlineLevel="2" x14ac:dyDescent="0.3">
      <c r="A78" s="29"/>
      <c r="B78" s="11" t="str">
        <f>CONCATENATE("          ", "6376", " - ", "TRAINING")</f>
        <v xml:space="preserve">          6376 - TRAINING</v>
      </c>
      <c r="C78" s="11"/>
      <c r="D78" s="8"/>
      <c r="E78" s="3"/>
      <c r="F78" s="7">
        <f t="shared" si="52"/>
        <v>0</v>
      </c>
      <c r="G78" s="3"/>
      <c r="H78" s="8">
        <v>175</v>
      </c>
      <c r="I78" s="3"/>
      <c r="J78" s="7">
        <f t="shared" si="53"/>
        <v>0</v>
      </c>
      <c r="K78" s="3"/>
      <c r="L78" s="8">
        <f t="shared" si="54"/>
        <v>-175</v>
      </c>
      <c r="M78" s="3"/>
      <c r="N78" s="7">
        <f t="shared" si="55"/>
        <v>-1</v>
      </c>
      <c r="O78" s="11"/>
      <c r="P78" s="8"/>
      <c r="Q78" s="3"/>
      <c r="R78" s="7">
        <f t="shared" si="56"/>
        <v>0</v>
      </c>
      <c r="S78" s="3"/>
      <c r="T78" s="8">
        <v>175</v>
      </c>
      <c r="U78" s="3"/>
      <c r="V78" s="7">
        <f t="shared" si="57"/>
        <v>0</v>
      </c>
      <c r="W78" s="3"/>
      <c r="X78" s="8">
        <f t="shared" si="58"/>
        <v>-175</v>
      </c>
      <c r="Y78" s="3"/>
      <c r="Z78" s="7">
        <f t="shared" si="59"/>
        <v>-1</v>
      </c>
    </row>
    <row r="79" spans="1:26" s="62" customFormat="1" x14ac:dyDescent="0.3">
      <c r="A79" s="36"/>
      <c r="B79" s="36"/>
      <c r="C79" s="36"/>
      <c r="D79" s="1"/>
      <c r="E79" s="1"/>
      <c r="F79" s="5"/>
      <c r="G79" s="1"/>
      <c r="H79" s="1"/>
      <c r="I79" s="1"/>
      <c r="J79" s="5"/>
      <c r="K79" s="1"/>
      <c r="L79" s="1"/>
      <c r="M79" s="1"/>
      <c r="N79" s="5"/>
      <c r="O79" s="36"/>
      <c r="P79" s="1"/>
      <c r="Q79" s="1"/>
      <c r="R79" s="5"/>
      <c r="S79" s="1"/>
      <c r="T79" s="1"/>
      <c r="U79" s="1"/>
      <c r="V79" s="5"/>
      <c r="W79" s="1"/>
      <c r="X79" s="1"/>
      <c r="Y79" s="1"/>
      <c r="Z79" s="5"/>
    </row>
    <row r="80" spans="1:26" s="23" customFormat="1" x14ac:dyDescent="0.3">
      <c r="A80" s="10"/>
      <c r="B80" s="25" t="s">
        <v>293</v>
      </c>
      <c r="C80" s="10"/>
      <c r="D80" s="4">
        <f>SUM(0)</f>
        <v>0</v>
      </c>
      <c r="E80" s="4"/>
      <c r="F80" s="12">
        <f>IF(D$12=0,0,D80/D$12)</f>
        <v>0</v>
      </c>
      <c r="G80" s="4"/>
      <c r="H80" s="4">
        <f>SUM(0)</f>
        <v>0</v>
      </c>
      <c r="I80" s="4"/>
      <c r="J80" s="12">
        <f>IF(H$12=0,0,H80/H$12)</f>
        <v>0</v>
      </c>
      <c r="K80" s="4"/>
      <c r="L80" s="4">
        <f>+D80-H80</f>
        <v>0</v>
      </c>
      <c r="M80" s="4"/>
      <c r="N80" s="12">
        <f>IF(H80=0,0,L80/H80)</f>
        <v>0</v>
      </c>
      <c r="O80" s="10"/>
      <c r="P80" s="4">
        <f>SUM(0)</f>
        <v>0</v>
      </c>
      <c r="Q80" s="4"/>
      <c r="R80" s="12">
        <f>IF(P$12=0,0,P80/P$12)</f>
        <v>0</v>
      </c>
      <c r="S80" s="4"/>
      <c r="T80" s="4">
        <f>SUM(0)</f>
        <v>0</v>
      </c>
      <c r="U80" s="4"/>
      <c r="V80" s="12">
        <f>IF(T$12=0,0,T80/T$12)</f>
        <v>0</v>
      </c>
      <c r="W80" s="4"/>
      <c r="X80" s="4">
        <f>+P80-T80</f>
        <v>0</v>
      </c>
      <c r="Y80" s="4"/>
      <c r="Z80" s="12">
        <f>IF(T80=0,0,X80/T80)</f>
        <v>0</v>
      </c>
    </row>
    <row r="81" spans="1:26" x14ac:dyDescent="0.3">
      <c r="A81" s="9"/>
      <c r="B81" s="10"/>
      <c r="C81" s="10"/>
      <c r="D81" s="2"/>
      <c r="E81" s="2"/>
      <c r="F81" s="6"/>
      <c r="G81" s="2"/>
      <c r="H81" s="2"/>
      <c r="I81" s="2"/>
      <c r="J81" s="6"/>
      <c r="K81" s="2"/>
      <c r="L81" s="2"/>
      <c r="M81" s="2"/>
      <c r="N81" s="6"/>
      <c r="O81" s="10"/>
      <c r="P81" s="2"/>
      <c r="Q81" s="2"/>
      <c r="R81" s="6"/>
      <c r="S81" s="2"/>
      <c r="T81" s="2"/>
      <c r="U81" s="2"/>
      <c r="V81" s="6"/>
      <c r="W81" s="2"/>
      <c r="X81" s="2"/>
      <c r="Y81" s="2"/>
      <c r="Z81" s="6"/>
    </row>
    <row r="82" spans="1:26" s="23" customFormat="1" x14ac:dyDescent="0.3">
      <c r="A82" s="10"/>
      <c r="B82" s="26" t="s">
        <v>277</v>
      </c>
      <c r="C82" s="26"/>
      <c r="D82" s="21">
        <f>+D21-D23+D80</f>
        <v>-85832.24</v>
      </c>
      <c r="E82" s="13"/>
      <c r="F82" s="22">
        <f>IF(D$12=0,0,D82/D$12)</f>
        <v>-3.733890161327861</v>
      </c>
      <c r="G82" s="13"/>
      <c r="H82" s="21">
        <f>+H21-H23+H80</f>
        <v>-116834.47461402493</v>
      </c>
      <c r="I82" s="13"/>
      <c r="J82" s="22">
        <f>IF(H$12=0,0,H82/H$12)</f>
        <v>0</v>
      </c>
      <c r="K82" s="16"/>
      <c r="L82" s="21">
        <f>+D82-H82</f>
        <v>31002.234614024928</v>
      </c>
      <c r="M82" s="16"/>
      <c r="N82" s="22">
        <f>IF(H82=0,0,L82/H82)</f>
        <v>-0.26535176981318309</v>
      </c>
      <c r="O82" s="25"/>
      <c r="P82" s="21">
        <f>+P21-P23+P80</f>
        <v>-85832.24</v>
      </c>
      <c r="Q82" s="13"/>
      <c r="R82" s="22">
        <f>IF(P$12=0,0,P82/P$12)</f>
        <v>-3.733890161327861</v>
      </c>
      <c r="S82" s="13"/>
      <c r="T82" s="21">
        <f>+T21-T23+T80</f>
        <v>-116834.47461402493</v>
      </c>
      <c r="U82" s="13"/>
      <c r="V82" s="22">
        <f>IF(T$12=0,0,T82/T$12)</f>
        <v>0</v>
      </c>
      <c r="W82" s="16"/>
      <c r="X82" s="21">
        <f>+P82-T82</f>
        <v>31002.234614024928</v>
      </c>
      <c r="Y82" s="16"/>
      <c r="Z82" s="22">
        <f>IF(T82=0,0,X82/T82)</f>
        <v>-0.26535176981318309</v>
      </c>
    </row>
    <row r="83" spans="1:26" x14ac:dyDescent="0.3">
      <c r="A83" s="9"/>
      <c r="B83" s="10"/>
      <c r="C83" s="9"/>
      <c r="D83" s="2"/>
      <c r="E83" s="2"/>
      <c r="F83" s="6"/>
      <c r="G83" s="2"/>
      <c r="H83" s="2"/>
      <c r="I83" s="2"/>
      <c r="J83" s="6"/>
      <c r="K83" s="2"/>
      <c r="L83" s="2"/>
      <c r="M83" s="2"/>
      <c r="N83" s="6"/>
      <c r="P83" s="2"/>
      <c r="Q83" s="2"/>
      <c r="R83" s="6"/>
      <c r="S83" s="2"/>
      <c r="T83" s="2"/>
      <c r="U83" s="2"/>
      <c r="V83" s="6"/>
      <c r="W83" s="2"/>
      <c r="X83" s="2"/>
      <c r="Y83" s="2"/>
      <c r="Z83" s="6"/>
    </row>
    <row r="84" spans="1:26" s="23" customFormat="1" x14ac:dyDescent="0.3">
      <c r="A84" s="52"/>
      <c r="B84" s="10" t="s">
        <v>128</v>
      </c>
      <c r="C84" s="10"/>
      <c r="D84" s="4">
        <v>10620.07</v>
      </c>
      <c r="E84" s="4"/>
      <c r="F84" s="12">
        <f>IF(D$12=0,0,D84/D$12)</f>
        <v>0.46199627186256792</v>
      </c>
      <c r="G84" s="4"/>
      <c r="H84" s="4">
        <v>0</v>
      </c>
      <c r="I84" s="4"/>
      <c r="J84" s="12">
        <f>IF(H$12=0,0,H84/H$12)</f>
        <v>0</v>
      </c>
      <c r="K84" s="4"/>
      <c r="L84" s="4">
        <f>+D84-H84</f>
        <v>10620.07</v>
      </c>
      <c r="M84" s="4"/>
      <c r="N84" s="12">
        <f>IF(H84=0,0,L84/H84)</f>
        <v>0</v>
      </c>
      <c r="O84" s="10"/>
      <c r="P84" s="4">
        <v>10620.07</v>
      </c>
      <c r="Q84" s="4"/>
      <c r="R84" s="12">
        <f>IF(P$12=0,0,P84/P$12)</f>
        <v>0.46199627186256792</v>
      </c>
      <c r="S84" s="4"/>
      <c r="T84" s="4">
        <v>0</v>
      </c>
      <c r="U84" s="4"/>
      <c r="V84" s="12">
        <f>IF(T$12=0,0,T84/T$12)</f>
        <v>0</v>
      </c>
      <c r="W84" s="4"/>
      <c r="X84" s="4">
        <f>+P84-T84</f>
        <v>10620.07</v>
      </c>
      <c r="Y84" s="4"/>
      <c r="Z84" s="12">
        <f>IF(T84=0,0,X84/T84)</f>
        <v>0</v>
      </c>
    </row>
    <row r="85" spans="1:26" x14ac:dyDescent="0.3">
      <c r="A85" s="9"/>
      <c r="B85" s="10"/>
      <c r="C85" s="10"/>
      <c r="D85" s="2"/>
      <c r="E85" s="2"/>
      <c r="F85" s="6"/>
      <c r="G85" s="2"/>
      <c r="H85" s="2"/>
      <c r="I85" s="2"/>
      <c r="J85" s="6"/>
      <c r="K85" s="2"/>
      <c r="L85" s="2"/>
      <c r="M85" s="2"/>
      <c r="N85" s="6"/>
      <c r="O85" s="10"/>
      <c r="P85" s="2"/>
      <c r="Q85" s="2"/>
      <c r="R85" s="6"/>
      <c r="S85" s="2"/>
      <c r="T85" s="2"/>
      <c r="U85" s="2"/>
      <c r="V85" s="6"/>
      <c r="W85" s="2"/>
      <c r="X85" s="2"/>
      <c r="Y85" s="2"/>
      <c r="Z85" s="6"/>
    </row>
    <row r="86" spans="1:26" s="23" customFormat="1" ht="15" thickBot="1" x14ac:dyDescent="0.35">
      <c r="A86" s="10"/>
      <c r="B86" s="26" t="s">
        <v>126</v>
      </c>
      <c r="C86" s="26"/>
      <c r="D86" s="35">
        <f>+D82-D84</f>
        <v>-96452.31</v>
      </c>
      <c r="E86" s="13"/>
      <c r="F86" s="30">
        <f>IF(D$12=0,0,D86/D$12)</f>
        <v>-4.1958864331904291</v>
      </c>
      <c r="G86" s="13"/>
      <c r="H86" s="35">
        <f>+H82-H84</f>
        <v>-116834.47461402493</v>
      </c>
      <c r="I86" s="13"/>
      <c r="J86" s="30">
        <f>IF(H$12=0,0,H86/H$12)</f>
        <v>0</v>
      </c>
      <c r="K86" s="16"/>
      <c r="L86" s="35">
        <f>D86-H86</f>
        <v>20382.164614024936</v>
      </c>
      <c r="M86" s="16"/>
      <c r="N86" s="30">
        <f>IF(H86=0,0,L86/H86)</f>
        <v>-0.17445334248610761</v>
      </c>
      <c r="O86" s="25"/>
      <c r="P86" s="35">
        <f>+P82-P84</f>
        <v>-96452.31</v>
      </c>
      <c r="Q86" s="13"/>
      <c r="R86" s="30">
        <f>IF(P$12=0,0,P86/P$12)</f>
        <v>-4.1958864331904291</v>
      </c>
      <c r="S86" s="13"/>
      <c r="T86" s="35">
        <f>+T82-T84</f>
        <v>-116834.47461402493</v>
      </c>
      <c r="U86" s="13"/>
      <c r="V86" s="30">
        <f>IF(T$12=0,0,T86/T$12)</f>
        <v>0</v>
      </c>
      <c r="W86" s="16"/>
      <c r="X86" s="35">
        <f>P86-T86</f>
        <v>20382.164614024936</v>
      </c>
      <c r="Y86" s="16"/>
      <c r="Z86" s="30">
        <f>IF(T86=0,0,X86/T86)</f>
        <v>-0.17445334248610761</v>
      </c>
    </row>
    <row r="87" spans="1:26" ht="15" thickTop="1" x14ac:dyDescent="0.3">
      <c r="A87" s="9"/>
      <c r="B87" s="9"/>
      <c r="C87" s="9"/>
      <c r="D87" s="2"/>
      <c r="E87" s="2"/>
      <c r="F87" s="6"/>
      <c r="G87" s="2"/>
      <c r="H87" s="2"/>
      <c r="I87" s="2"/>
      <c r="J87" s="6"/>
      <c r="K87" s="2"/>
      <c r="L87" s="2"/>
      <c r="M87" s="2"/>
      <c r="N87" s="6"/>
      <c r="P87" s="2"/>
      <c r="Q87" s="2"/>
      <c r="R87" s="6"/>
      <c r="S87" s="2"/>
      <c r="T87" s="2"/>
      <c r="U87" s="2"/>
      <c r="V87" s="6"/>
      <c r="W87" s="2"/>
      <c r="X87" s="2"/>
      <c r="Y87" s="2"/>
      <c r="Z87" s="6"/>
    </row>
    <row r="88" spans="1:26" x14ac:dyDescent="0.3">
      <c r="A88" s="9"/>
      <c r="B88" s="9"/>
      <c r="C88" s="9"/>
      <c r="D88" s="2"/>
      <c r="E88" s="2"/>
      <c r="F88" s="6"/>
      <c r="G88" s="2"/>
      <c r="H88" s="2"/>
      <c r="I88" s="2"/>
      <c r="J88" s="6"/>
      <c r="K88" s="2"/>
      <c r="L88" s="2"/>
      <c r="M88" s="2"/>
      <c r="N88" s="6"/>
      <c r="P88" s="2"/>
      <c r="Q88" s="2"/>
      <c r="R88" s="6"/>
      <c r="S88" s="2"/>
      <c r="T88" s="2"/>
      <c r="U88" s="2"/>
      <c r="V88" s="6"/>
      <c r="W88" s="2"/>
      <c r="X88" s="2"/>
      <c r="Y88" s="2"/>
      <c r="Z88" s="6"/>
    </row>
    <row r="89" spans="1:26" s="23" customFormat="1" ht="15" thickBot="1" x14ac:dyDescent="0.35">
      <c r="A89" s="10"/>
      <c r="B89" s="26" t="s">
        <v>294</v>
      </c>
      <c r="C89" s="26"/>
      <c r="D89" s="33">
        <f>SUM(D86:D88)</f>
        <v>-96452.31</v>
      </c>
      <c r="E89" s="13"/>
      <c r="F89" s="31">
        <f>IF(D$12=0,0,D89/D$12)</f>
        <v>-4.1958864331904291</v>
      </c>
      <c r="G89" s="13"/>
      <c r="H89" s="33">
        <f>SUM(H86:H88)</f>
        <v>-116834.47461402493</v>
      </c>
      <c r="I89" s="13"/>
      <c r="J89" s="31">
        <f>IF(H$12=0,0,H89/H$12)</f>
        <v>0</v>
      </c>
      <c r="K89" s="16"/>
      <c r="L89" s="33">
        <f>+D89-H89</f>
        <v>20382.164614024936</v>
      </c>
      <c r="M89" s="16"/>
      <c r="N89" s="31">
        <f>IF(H89=0,0,L89/H89)</f>
        <v>-0.17445334248610761</v>
      </c>
      <c r="O89" s="25"/>
      <c r="P89" s="33">
        <f>SUM(P86:P88)</f>
        <v>-96452.31</v>
      </c>
      <c r="Q89" s="13"/>
      <c r="R89" s="31">
        <f>IF(P$12=0,0,P89/P$12)</f>
        <v>-4.1958864331904291</v>
      </c>
      <c r="S89" s="13"/>
      <c r="T89" s="33">
        <f>SUM(T86:T88)</f>
        <v>-116834.47461402493</v>
      </c>
      <c r="U89" s="13"/>
      <c r="V89" s="31">
        <f>IF(T$12=0,0,T89/T$12)</f>
        <v>0</v>
      </c>
      <c r="W89" s="16"/>
      <c r="X89" s="33">
        <f>+P89-T89</f>
        <v>20382.164614024936</v>
      </c>
      <c r="Y89" s="16"/>
      <c r="Z89" s="31">
        <f>IF(T89=0,0,X89/T89)</f>
        <v>-0.17445334248610761</v>
      </c>
    </row>
    <row r="90" spans="1:26" ht="15" thickTop="1" x14ac:dyDescent="0.3">
      <c r="A90" s="9"/>
      <c r="C90" s="9"/>
      <c r="D90" s="18"/>
      <c r="E90" s="18"/>
      <c r="G90" s="18"/>
      <c r="H90" s="18"/>
      <c r="I90" s="18"/>
      <c r="J90" s="43"/>
      <c r="K90" s="18"/>
      <c r="L90" s="18"/>
      <c r="M90" s="18"/>
      <c r="P90" s="18"/>
      <c r="Q90" s="18"/>
      <c r="R90" s="43"/>
      <c r="S90" s="18"/>
      <c r="T90" s="18"/>
      <c r="U90" s="18"/>
      <c r="V90" s="43"/>
      <c r="W90" s="18"/>
      <c r="X90" s="18"/>
    </row>
    <row r="91" spans="1:26" x14ac:dyDescent="0.3">
      <c r="A91" s="9"/>
      <c r="B91" s="54">
        <v>44462.64548684028</v>
      </c>
      <c r="D91" s="18"/>
      <c r="E91" s="18"/>
      <c r="G91" s="18"/>
      <c r="H91" s="18"/>
      <c r="I91" s="18"/>
      <c r="J91" s="43"/>
      <c r="K91" s="18"/>
      <c r="L91" s="18"/>
      <c r="M91" s="18"/>
      <c r="P91" s="18"/>
      <c r="Q91" s="18"/>
      <c r="R91" s="43"/>
      <c r="S91" s="18"/>
      <c r="T91" s="18"/>
      <c r="U91" s="18"/>
      <c r="V91" s="43"/>
      <c r="W91" s="18"/>
      <c r="X91" s="18"/>
    </row>
    <row r="92" spans="1:26" x14ac:dyDescent="0.3">
      <c r="A92" s="9"/>
      <c r="B92" s="59" t="s">
        <v>56</v>
      </c>
      <c r="D92" s="18"/>
      <c r="E92" s="18"/>
      <c r="G92" s="18"/>
      <c r="H92" s="18"/>
      <c r="I92" s="18"/>
      <c r="J92" s="43"/>
      <c r="K92" s="18"/>
      <c r="L92" s="18"/>
      <c r="M92" s="18"/>
      <c r="P92" s="18"/>
      <c r="Q92" s="18"/>
      <c r="R92" s="43"/>
      <c r="S92" s="18"/>
      <c r="T92" s="18"/>
      <c r="U92" s="18"/>
      <c r="V92" s="43"/>
      <c r="W92" s="18"/>
      <c r="X92" s="18"/>
    </row>
    <row r="93" spans="1:26" x14ac:dyDescent="0.3">
      <c r="A93" s="9"/>
      <c r="B93" s="55"/>
      <c r="D93" s="18"/>
      <c r="E93" s="18"/>
      <c r="G93" s="18"/>
      <c r="H93" s="18"/>
      <c r="I93" s="18"/>
      <c r="J93" s="43"/>
      <c r="K93" s="18"/>
      <c r="L93" s="18"/>
      <c r="M93" s="18"/>
      <c r="P93" s="18"/>
      <c r="Q93" s="18"/>
      <c r="R93" s="43"/>
      <c r="S93" s="18"/>
      <c r="T93" s="18"/>
      <c r="U93" s="18"/>
      <c r="V93" s="43"/>
      <c r="W93" s="18"/>
      <c r="X93" s="18"/>
    </row>
    <row r="94" spans="1:26" x14ac:dyDescent="0.3">
      <c r="D94" s="18"/>
      <c r="E94" s="18"/>
      <c r="G94" s="18"/>
      <c r="H94" s="18"/>
      <c r="I94" s="18"/>
      <c r="J94" s="43"/>
      <c r="K94" s="18"/>
      <c r="L94" s="18"/>
      <c r="M94" s="18"/>
      <c r="P94" s="18"/>
      <c r="Q94" s="18"/>
      <c r="R94" s="43"/>
      <c r="S94" s="18"/>
      <c r="T94" s="18"/>
      <c r="U94" s="18"/>
      <c r="V94" s="43"/>
      <c r="W94" s="18"/>
      <c r="X94" s="18"/>
    </row>
  </sheetData>
  <pageMargins left="0.25" right="0.25" top="0.75" bottom="0.75" header="0.3" footer="0.3"/>
  <pageSetup scale="55" fitToWidth="2" orientation="landscape"/>
  <drawing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>
    <tabColor rgb="FF92D050"/>
    <outlinePr summaryBelow="0" summaryRight="0"/>
  </sheetPr>
  <dimension ref="A2:Z84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50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7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50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7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7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7" customWidth="1" outlineLevel="1"/>
  </cols>
  <sheetData>
    <row r="2" spans="1:26" x14ac:dyDescent="0.3">
      <c r="D2" s="57" t="s">
        <v>23</v>
      </c>
    </row>
    <row r="3" spans="1:26" x14ac:dyDescent="0.3">
      <c r="D3" s="57" t="s">
        <v>237</v>
      </c>
      <c r="E3" s="17"/>
      <c r="F3" s="51"/>
      <c r="G3" s="17"/>
      <c r="H3" s="17"/>
      <c r="I3" s="17"/>
      <c r="J3" s="39"/>
      <c r="K3" s="17"/>
      <c r="L3" s="17"/>
      <c r="M3" s="17"/>
      <c r="N3" s="51"/>
      <c r="O3" s="61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3">
      <c r="D4" s="57" t="str">
        <f>CONCATENATE("Period ",RIGHT(202201,2),", ",2022)</f>
        <v>Period 01, 2022</v>
      </c>
      <c r="E4" s="17"/>
      <c r="F4" s="51"/>
      <c r="G4" s="17"/>
      <c r="H4" s="17"/>
      <c r="I4" s="17"/>
      <c r="J4" s="39"/>
      <c r="K4" s="17"/>
      <c r="L4" s="17"/>
      <c r="M4" s="17"/>
      <c r="N4" s="51"/>
      <c r="O4" s="61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3">
      <c r="A5" s="23"/>
      <c r="D5" s="64">
        <v>44408</v>
      </c>
      <c r="E5" s="17"/>
      <c r="F5" s="51"/>
      <c r="G5" s="17"/>
      <c r="H5" s="17"/>
      <c r="I5" s="17"/>
      <c r="J5" s="39"/>
      <c r="K5" s="17"/>
      <c r="L5" s="17"/>
      <c r="M5" s="17"/>
      <c r="N5" s="51"/>
      <c r="O5" s="61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3">
      <c r="A6" s="23"/>
      <c r="B6" s="47"/>
      <c r="C6" s="47"/>
      <c r="D6" s="23" t="str">
        <f>CONCATENATE("Department ","450", " - ", "Beachside Dining Hall")</f>
        <v>Department 450 - Beachside Dining Hall</v>
      </c>
      <c r="E6" s="17"/>
      <c r="F6" s="51"/>
      <c r="G6" s="17"/>
      <c r="H6" s="17"/>
      <c r="I6" s="17"/>
      <c r="J6" s="39"/>
      <c r="K6" s="17"/>
      <c r="L6" s="17"/>
      <c r="M6" s="17"/>
      <c r="N6" s="51"/>
      <c r="O6" s="60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3">
      <c r="B7" s="63"/>
    </row>
    <row r="8" spans="1:26" x14ac:dyDescent="0.3">
      <c r="B8" s="63"/>
    </row>
    <row r="9" spans="1:26" x14ac:dyDescent="0.3">
      <c r="B9" s="9"/>
      <c r="C9" s="9"/>
      <c r="D9" s="15" t="s">
        <v>292</v>
      </c>
      <c r="E9" s="15"/>
      <c r="F9" s="38"/>
      <c r="G9" s="15"/>
      <c r="H9" s="15"/>
      <c r="I9" s="15"/>
      <c r="J9" s="49"/>
      <c r="K9" s="15"/>
      <c r="L9" s="15"/>
      <c r="M9" s="15"/>
      <c r="N9" s="38"/>
      <c r="P9" s="15" t="s">
        <v>39</v>
      </c>
      <c r="Q9" s="15"/>
      <c r="R9" s="38"/>
      <c r="S9" s="15"/>
      <c r="T9" s="15"/>
      <c r="U9" s="15"/>
      <c r="V9" s="49"/>
      <c r="W9" s="15"/>
      <c r="X9" s="15"/>
      <c r="Y9" s="15"/>
      <c r="Z9" s="38"/>
    </row>
    <row r="10" spans="1:26" x14ac:dyDescent="0.3">
      <c r="A10" s="10"/>
      <c r="B10" s="53"/>
      <c r="C10" s="10"/>
      <c r="D10" s="42" t="s">
        <v>57</v>
      </c>
      <c r="E10" s="34"/>
      <c r="F10" s="40" t="s">
        <v>40</v>
      </c>
      <c r="G10" s="34"/>
      <c r="H10" s="45" t="s">
        <v>238</v>
      </c>
      <c r="I10" s="34"/>
      <c r="J10" s="48" t="s">
        <v>58</v>
      </c>
      <c r="K10" s="10"/>
      <c r="L10" s="42" t="s">
        <v>127</v>
      </c>
      <c r="M10" s="10"/>
      <c r="N10" s="40" t="s">
        <v>258</v>
      </c>
      <c r="O10" s="10"/>
      <c r="P10" s="56" t="s">
        <v>57</v>
      </c>
      <c r="Q10" s="34"/>
      <c r="R10" s="40" t="s">
        <v>40</v>
      </c>
      <c r="S10" s="34"/>
      <c r="T10" s="45" t="s">
        <v>238</v>
      </c>
      <c r="U10" s="34"/>
      <c r="V10" s="48" t="s">
        <v>58</v>
      </c>
      <c r="W10" s="10"/>
      <c r="X10" s="42" t="s">
        <v>127</v>
      </c>
      <c r="Y10" s="10"/>
      <c r="Z10" s="40" t="s">
        <v>258</v>
      </c>
    </row>
    <row r="11" spans="1:26" ht="15.6" x14ac:dyDescent="0.3">
      <c r="A11" s="9"/>
      <c r="B11" s="58"/>
      <c r="C11" s="9"/>
      <c r="D11" s="9"/>
      <c r="E11" s="9"/>
      <c r="F11" s="6"/>
      <c r="G11" s="9"/>
      <c r="H11" s="9"/>
      <c r="I11" s="9"/>
      <c r="J11" s="46"/>
      <c r="K11" s="9"/>
      <c r="L11" s="9"/>
      <c r="M11" s="9"/>
      <c r="N11" s="6"/>
      <c r="P11" s="9"/>
      <c r="Q11" s="9"/>
      <c r="R11" s="6"/>
      <c r="S11" s="9"/>
      <c r="T11" s="9"/>
      <c r="U11" s="9"/>
      <c r="V11" s="46"/>
      <c r="W11" s="9"/>
      <c r="X11" s="9"/>
      <c r="Y11" s="9"/>
      <c r="Z11" s="6"/>
    </row>
    <row r="12" spans="1:26" s="23" customFormat="1" x14ac:dyDescent="0.3">
      <c r="A12" s="10"/>
      <c r="B12" s="25" t="s">
        <v>140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3">
      <c r="A13" s="9"/>
      <c r="B13" s="10"/>
      <c r="C13" s="9"/>
      <c r="D13" s="2"/>
      <c r="E13" s="2"/>
      <c r="F13" s="6"/>
      <c r="G13" s="2"/>
      <c r="H13" s="2"/>
      <c r="I13" s="2"/>
      <c r="J13" s="6"/>
      <c r="K13" s="2"/>
      <c r="L13" s="2"/>
      <c r="M13" s="2"/>
      <c r="N13" s="6"/>
      <c r="P13" s="2"/>
      <c r="Q13" s="2"/>
      <c r="R13" s="6"/>
      <c r="S13" s="2"/>
      <c r="T13" s="2"/>
      <c r="U13" s="2"/>
      <c r="V13" s="6"/>
      <c r="W13" s="2"/>
      <c r="X13" s="2"/>
      <c r="Y13" s="2"/>
      <c r="Z13" s="6"/>
    </row>
    <row r="14" spans="1:26" s="23" customFormat="1" x14ac:dyDescent="0.3">
      <c r="A14" s="10"/>
      <c r="B14" s="25" t="s">
        <v>257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3">
      <c r="A15" s="9"/>
      <c r="B15" s="10"/>
      <c r="C15" s="10"/>
      <c r="D15" s="2"/>
      <c r="E15" s="2"/>
      <c r="F15" s="6"/>
      <c r="G15" s="2"/>
      <c r="H15" s="2"/>
      <c r="I15" s="2"/>
      <c r="J15" s="6"/>
      <c r="K15" s="2"/>
      <c r="L15" s="2"/>
      <c r="M15" s="2"/>
      <c r="N15" s="6"/>
      <c r="O15" s="10"/>
      <c r="P15" s="2"/>
      <c r="Q15" s="2"/>
      <c r="R15" s="6"/>
      <c r="S15" s="2"/>
      <c r="T15" s="2"/>
      <c r="U15" s="2"/>
      <c r="V15" s="6"/>
      <c r="W15" s="2"/>
      <c r="X15" s="2"/>
      <c r="Y15" s="2"/>
      <c r="Z15" s="6"/>
    </row>
    <row r="16" spans="1:26" s="23" customFormat="1" x14ac:dyDescent="0.3">
      <c r="A16" s="10"/>
      <c r="B16" s="26" t="s">
        <v>108</v>
      </c>
      <c r="C16" s="26"/>
      <c r="D16" s="21">
        <f>D12-D14</f>
        <v>0</v>
      </c>
      <c r="E16" s="13"/>
      <c r="F16" s="22">
        <f>IF(D$12=0,0,D16/D$12)</f>
        <v>0</v>
      </c>
      <c r="G16" s="13"/>
      <c r="H16" s="21">
        <f>H12-H14</f>
        <v>0</v>
      </c>
      <c r="I16" s="13"/>
      <c r="J16" s="22">
        <f>IF(H$12=0,0,H16/H$12)</f>
        <v>0</v>
      </c>
      <c r="K16" s="16"/>
      <c r="L16" s="21">
        <f>+D16-H16</f>
        <v>0</v>
      </c>
      <c r="M16" s="16"/>
      <c r="N16" s="22">
        <f>IF(H16=0,0,L16/H16)</f>
        <v>0</v>
      </c>
      <c r="O16" s="25"/>
      <c r="P16" s="21">
        <f>P12-P14</f>
        <v>0</v>
      </c>
      <c r="Q16" s="13"/>
      <c r="R16" s="22">
        <f>IF(P$12=0,0,P16/P$12)</f>
        <v>0</v>
      </c>
      <c r="S16" s="13"/>
      <c r="T16" s="21">
        <f>T12-T14</f>
        <v>0</v>
      </c>
      <c r="U16" s="13"/>
      <c r="V16" s="22">
        <f>IF(T$12=0,0,T16/T$12)</f>
        <v>0</v>
      </c>
      <c r="W16" s="16"/>
      <c r="X16" s="21">
        <f>+P16-T16</f>
        <v>0</v>
      </c>
      <c r="Y16" s="16"/>
      <c r="Z16" s="22">
        <f>IF(T16=0,0,X16/T16)</f>
        <v>0</v>
      </c>
    </row>
    <row r="17" spans="1:26" x14ac:dyDescent="0.3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3">
      <c r="A18" s="10"/>
      <c r="B18" s="25" t="s">
        <v>295</v>
      </c>
      <c r="C18" s="10"/>
      <c r="D18" s="20">
        <f>SUM(OSRRefD22x_0)</f>
        <v>40764.729999999996</v>
      </c>
      <c r="E18" s="20"/>
      <c r="F18" s="32">
        <f t="shared" ref="F18:F29" si="0">IF(D$12=0,0,D18/D$12)</f>
        <v>0</v>
      </c>
      <c r="G18" s="20"/>
      <c r="H18" s="20">
        <f>SUM(OSRRefH22x_0)</f>
        <v>87731.658746153858</v>
      </c>
      <c r="I18" s="20"/>
      <c r="J18" s="32">
        <f t="shared" ref="J18:J29" si="1">IF(H$12=0,0,H18/H$12)</f>
        <v>0</v>
      </c>
      <c r="K18" s="4"/>
      <c r="L18" s="20">
        <f t="shared" ref="L18:L29" si="2">+D18-H18</f>
        <v>-46966.928746153862</v>
      </c>
      <c r="M18" s="4"/>
      <c r="N18" s="32">
        <f t="shared" ref="N18:N29" si="3">IF(H18=0,0,L18/H18)</f>
        <v>-0.53534755203990581</v>
      </c>
      <c r="O18" s="10"/>
      <c r="P18" s="20">
        <f>SUM(OSRRefP22x_0)</f>
        <v>40764.729999999996</v>
      </c>
      <c r="Q18" s="20"/>
      <c r="R18" s="32">
        <f t="shared" ref="R18:R29" si="4">IF(P$12=0,0,P18/P$12)</f>
        <v>0</v>
      </c>
      <c r="S18" s="20"/>
      <c r="T18" s="20">
        <f>SUM(OSRRefT22x_0)</f>
        <v>87731.658746153858</v>
      </c>
      <c r="U18" s="20"/>
      <c r="V18" s="32">
        <f t="shared" ref="V18:V29" si="5">IF(T$12=0,0,T18/T$12)</f>
        <v>0</v>
      </c>
      <c r="W18" s="4"/>
      <c r="X18" s="20">
        <f t="shared" ref="X18:X29" si="6">+P18-T18</f>
        <v>-46966.928746153862</v>
      </c>
      <c r="Y18" s="4"/>
      <c r="Z18" s="32">
        <f t="shared" ref="Z18:Z29" si="7">IF(T18=0,0,X18/T18)</f>
        <v>-0.53534755203990581</v>
      </c>
    </row>
    <row r="19" spans="1:26" s="27" customFormat="1" outlineLevel="1" collapsed="1" x14ac:dyDescent="0.3">
      <c r="A19" s="28"/>
      <c r="B19" s="14" t="str">
        <f>CONCATENATE("     ","*Benefits                                         ")</f>
        <v xml:space="preserve">     *Benefits                                         </v>
      </c>
      <c r="C19" s="14"/>
      <c r="D19" s="1">
        <f>SUM(OSRRefD22_0x_0)</f>
        <v>18504.859999999997</v>
      </c>
      <c r="E19" s="1"/>
      <c r="F19" s="5">
        <f t="shared" si="0"/>
        <v>0</v>
      </c>
      <c r="G19" s="1"/>
      <c r="H19" s="1">
        <f>SUM(OSRRefH22_0x_0)</f>
        <v>33501.289515384633</v>
      </c>
      <c r="I19" s="1"/>
      <c r="J19" s="5">
        <f t="shared" si="1"/>
        <v>0</v>
      </c>
      <c r="K19" s="1"/>
      <c r="L19" s="1">
        <f t="shared" si="2"/>
        <v>-14996.429515384636</v>
      </c>
      <c r="M19" s="1"/>
      <c r="N19" s="5">
        <f t="shared" si="3"/>
        <v>-0.44763738149535703</v>
      </c>
      <c r="O19" s="14"/>
      <c r="P19" s="1">
        <f>SUM(OSRRefP22_0x_0)</f>
        <v>18504.859999999997</v>
      </c>
      <c r="Q19" s="1"/>
      <c r="R19" s="5">
        <f t="shared" si="4"/>
        <v>0</v>
      </c>
      <c r="S19" s="1"/>
      <c r="T19" s="1">
        <f>SUM(OSRRefT22_0x_0)</f>
        <v>33501.289515384633</v>
      </c>
      <c r="U19" s="1"/>
      <c r="V19" s="5">
        <f t="shared" si="5"/>
        <v>0</v>
      </c>
      <c r="W19" s="1"/>
      <c r="X19" s="1">
        <f t="shared" si="6"/>
        <v>-14996.429515384636</v>
      </c>
      <c r="Y19" s="1"/>
      <c r="Z19" s="5">
        <f t="shared" si="7"/>
        <v>-0.44763738149535703</v>
      </c>
    </row>
    <row r="20" spans="1:26" s="24" customFormat="1" hidden="1" outlineLevel="2" x14ac:dyDescent="0.3">
      <c r="A20" s="29"/>
      <c r="B20" s="11" t="str">
        <f>CONCATENATE("          ", "6111", " - ", "F.I.C.A.")</f>
        <v xml:space="preserve">          6111 - F.I.C.A.</v>
      </c>
      <c r="C20" s="11"/>
      <c r="D20" s="8">
        <v>1377.24</v>
      </c>
      <c r="E20" s="3"/>
      <c r="F20" s="7">
        <f t="shared" si="0"/>
        <v>0</v>
      </c>
      <c r="G20" s="3"/>
      <c r="H20" s="8">
        <v>3292.49720769231</v>
      </c>
      <c r="I20" s="3"/>
      <c r="J20" s="7">
        <f t="shared" si="1"/>
        <v>0</v>
      </c>
      <c r="K20" s="3"/>
      <c r="L20" s="8">
        <f t="shared" si="2"/>
        <v>-1915.25720769231</v>
      </c>
      <c r="M20" s="3"/>
      <c r="N20" s="7">
        <f t="shared" si="3"/>
        <v>-0.58170351768793194</v>
      </c>
      <c r="O20" s="11"/>
      <c r="P20" s="8">
        <v>1377.24</v>
      </c>
      <c r="Q20" s="3"/>
      <c r="R20" s="7">
        <f t="shared" si="4"/>
        <v>0</v>
      </c>
      <c r="S20" s="3"/>
      <c r="T20" s="8">
        <v>3292.49720769231</v>
      </c>
      <c r="U20" s="3"/>
      <c r="V20" s="7">
        <f t="shared" si="5"/>
        <v>0</v>
      </c>
      <c r="W20" s="3"/>
      <c r="X20" s="8">
        <f t="shared" si="6"/>
        <v>-1915.25720769231</v>
      </c>
      <c r="Y20" s="3"/>
      <c r="Z20" s="7">
        <f t="shared" si="7"/>
        <v>-0.58170351768793194</v>
      </c>
    </row>
    <row r="21" spans="1:26" s="24" customFormat="1" hidden="1" outlineLevel="2" x14ac:dyDescent="0.3">
      <c r="A21" s="29"/>
      <c r="B21" s="11" t="str">
        <f>CONCATENATE("          ", "6112", " - ", "COMPENSATION INSURANCE")</f>
        <v xml:space="preserve">          6112 - COMPENSATION INSURANCE</v>
      </c>
      <c r="C21" s="11"/>
      <c r="D21" s="8">
        <v>646.99</v>
      </c>
      <c r="E21" s="3"/>
      <c r="F21" s="7">
        <f t="shared" si="0"/>
        <v>0</v>
      </c>
      <c r="G21" s="3"/>
      <c r="H21" s="8">
        <v>1630.5454615384599</v>
      </c>
      <c r="I21" s="3"/>
      <c r="J21" s="7">
        <f t="shared" si="1"/>
        <v>0</v>
      </c>
      <c r="K21" s="3"/>
      <c r="L21" s="8">
        <f t="shared" si="2"/>
        <v>-983.55546153845989</v>
      </c>
      <c r="M21" s="3"/>
      <c r="N21" s="7">
        <f t="shared" si="3"/>
        <v>-0.60320640223698574</v>
      </c>
      <c r="O21" s="11"/>
      <c r="P21" s="8">
        <v>646.99</v>
      </c>
      <c r="Q21" s="3"/>
      <c r="R21" s="7">
        <f t="shared" si="4"/>
        <v>0</v>
      </c>
      <c r="S21" s="3"/>
      <c r="T21" s="8">
        <v>1630.5454615384599</v>
      </c>
      <c r="U21" s="3"/>
      <c r="V21" s="7">
        <f t="shared" si="5"/>
        <v>0</v>
      </c>
      <c r="W21" s="3"/>
      <c r="X21" s="8">
        <f t="shared" si="6"/>
        <v>-983.55546153845989</v>
      </c>
      <c r="Y21" s="3"/>
      <c r="Z21" s="7">
        <f t="shared" si="7"/>
        <v>-0.60320640223698574</v>
      </c>
    </row>
    <row r="22" spans="1:26" s="24" customFormat="1" hidden="1" outlineLevel="2" x14ac:dyDescent="0.3">
      <c r="A22" s="29"/>
      <c r="B22" s="11" t="str">
        <f>CONCATENATE("          ", "6113", " - ", "GROUP INSURANCE")</f>
        <v xml:space="preserve">          6113 - GROUP INSURANCE</v>
      </c>
      <c r="C22" s="11"/>
      <c r="D22" s="8">
        <v>12451.67</v>
      </c>
      <c r="E22" s="3"/>
      <c r="F22" s="7">
        <f t="shared" si="0"/>
        <v>0</v>
      </c>
      <c r="G22" s="3"/>
      <c r="H22" s="8">
        <v>22728.9230769231</v>
      </c>
      <c r="I22" s="3"/>
      <c r="J22" s="7">
        <f t="shared" si="1"/>
        <v>0</v>
      </c>
      <c r="K22" s="3"/>
      <c r="L22" s="8">
        <f t="shared" si="2"/>
        <v>-10277.2530769231</v>
      </c>
      <c r="M22" s="3"/>
      <c r="N22" s="7">
        <f t="shared" si="3"/>
        <v>-0.45216630115474749</v>
      </c>
      <c r="O22" s="11"/>
      <c r="P22" s="8">
        <v>12451.67</v>
      </c>
      <c r="Q22" s="3"/>
      <c r="R22" s="7">
        <f t="shared" si="4"/>
        <v>0</v>
      </c>
      <c r="S22" s="3"/>
      <c r="T22" s="8">
        <v>22728.9230769231</v>
      </c>
      <c r="U22" s="3"/>
      <c r="V22" s="7">
        <f t="shared" si="5"/>
        <v>0</v>
      </c>
      <c r="W22" s="3"/>
      <c r="X22" s="8">
        <f t="shared" si="6"/>
        <v>-10277.2530769231</v>
      </c>
      <c r="Y22" s="3"/>
      <c r="Z22" s="7">
        <f t="shared" si="7"/>
        <v>-0.45216630115474749</v>
      </c>
    </row>
    <row r="23" spans="1:26" s="24" customFormat="1" hidden="1" outlineLevel="2" x14ac:dyDescent="0.3">
      <c r="A23" s="29"/>
      <c r="B23" s="11" t="str">
        <f>CONCATENATE("          ", "6114", " - ", "STATE UNEMPLOYMENT INSURANCE")</f>
        <v xml:space="preserve">          6114 - STATE UNEMPLOYMENT INSURANCE</v>
      </c>
      <c r="C23" s="11"/>
      <c r="D23" s="8">
        <v>46.73</v>
      </c>
      <c r="E23" s="3"/>
      <c r="F23" s="7">
        <f t="shared" si="0"/>
        <v>0</v>
      </c>
      <c r="G23" s="3"/>
      <c r="H23" s="8">
        <v>90.346846153846101</v>
      </c>
      <c r="I23" s="3"/>
      <c r="J23" s="7">
        <f t="shared" si="1"/>
        <v>0</v>
      </c>
      <c r="K23" s="3"/>
      <c r="L23" s="8">
        <f t="shared" si="2"/>
        <v>-43.616846153846105</v>
      </c>
      <c r="M23" s="3"/>
      <c r="N23" s="7">
        <f t="shared" si="3"/>
        <v>-0.48277109839090182</v>
      </c>
      <c r="O23" s="11"/>
      <c r="P23" s="8">
        <v>46.73</v>
      </c>
      <c r="Q23" s="3"/>
      <c r="R23" s="7">
        <f t="shared" si="4"/>
        <v>0</v>
      </c>
      <c r="S23" s="3"/>
      <c r="T23" s="8">
        <v>90.346846153846101</v>
      </c>
      <c r="U23" s="3"/>
      <c r="V23" s="7">
        <f t="shared" si="5"/>
        <v>0</v>
      </c>
      <c r="W23" s="3"/>
      <c r="X23" s="8">
        <f t="shared" si="6"/>
        <v>-43.616846153846105</v>
      </c>
      <c r="Y23" s="3"/>
      <c r="Z23" s="7">
        <f t="shared" si="7"/>
        <v>-0.48277109839090182</v>
      </c>
    </row>
    <row r="24" spans="1:26" s="24" customFormat="1" hidden="1" outlineLevel="2" x14ac:dyDescent="0.3">
      <c r="A24" s="29"/>
      <c r="B24" s="11" t="str">
        <f>CONCATENATE("          ", "6115", " - ", "P.E.R.S.")</f>
        <v xml:space="preserve">          6115 - P.E.R.S.</v>
      </c>
      <c r="C24" s="11"/>
      <c r="D24" s="8">
        <v>487.42</v>
      </c>
      <c r="E24" s="3"/>
      <c r="F24" s="7">
        <f t="shared" si="0"/>
        <v>0</v>
      </c>
      <c r="G24" s="3"/>
      <c r="H24" s="8">
        <v>511.038461538462</v>
      </c>
      <c r="I24" s="3"/>
      <c r="J24" s="7">
        <f t="shared" si="1"/>
        <v>0</v>
      </c>
      <c r="K24" s="3"/>
      <c r="L24" s="8">
        <f t="shared" si="2"/>
        <v>-23.618461538461986</v>
      </c>
      <c r="M24" s="3"/>
      <c r="N24" s="7">
        <f t="shared" si="3"/>
        <v>-4.6216602694363743E-2</v>
      </c>
      <c r="O24" s="11"/>
      <c r="P24" s="8">
        <v>487.42</v>
      </c>
      <c r="Q24" s="3"/>
      <c r="R24" s="7">
        <f t="shared" si="4"/>
        <v>0</v>
      </c>
      <c r="S24" s="3"/>
      <c r="T24" s="8">
        <v>511.038461538462</v>
      </c>
      <c r="U24" s="3"/>
      <c r="V24" s="7">
        <f t="shared" si="5"/>
        <v>0</v>
      </c>
      <c r="W24" s="3"/>
      <c r="X24" s="8">
        <f t="shared" si="6"/>
        <v>-23.618461538461986</v>
      </c>
      <c r="Y24" s="3"/>
      <c r="Z24" s="7">
        <f t="shared" si="7"/>
        <v>-4.6216602694363743E-2</v>
      </c>
    </row>
    <row r="25" spans="1:26" s="24" customFormat="1" hidden="1" outlineLevel="2" x14ac:dyDescent="0.3">
      <c r="A25" s="29"/>
      <c r="B25" s="11" t="str">
        <f>CONCATENATE("          ", "6116", " - ", "EDUCATIONAL BENEFITS")</f>
        <v xml:space="preserve">          6116 - EDUCATIONAL BENEFITS</v>
      </c>
      <c r="C25" s="11"/>
      <c r="D25" s="8"/>
      <c r="E25" s="3"/>
      <c r="F25" s="7">
        <f t="shared" si="0"/>
        <v>0</v>
      </c>
      <c r="G25" s="3"/>
      <c r="H25" s="8">
        <v>0</v>
      </c>
      <c r="I25" s="3"/>
      <c r="J25" s="7">
        <f t="shared" si="1"/>
        <v>0</v>
      </c>
      <c r="K25" s="3"/>
      <c r="L25" s="8">
        <f t="shared" si="2"/>
        <v>0</v>
      </c>
      <c r="M25" s="3"/>
      <c r="N25" s="7">
        <f t="shared" si="3"/>
        <v>0</v>
      </c>
      <c r="O25" s="11"/>
      <c r="P25" s="8"/>
      <c r="Q25" s="3"/>
      <c r="R25" s="7">
        <f t="shared" si="4"/>
        <v>0</v>
      </c>
      <c r="S25" s="3"/>
      <c r="T25" s="8">
        <v>0</v>
      </c>
      <c r="U25" s="3"/>
      <c r="V25" s="7">
        <f t="shared" si="5"/>
        <v>0</v>
      </c>
      <c r="W25" s="3"/>
      <c r="X25" s="8">
        <f t="shared" si="6"/>
        <v>0</v>
      </c>
      <c r="Y25" s="3"/>
      <c r="Z25" s="7">
        <f t="shared" si="7"/>
        <v>0</v>
      </c>
    </row>
    <row r="26" spans="1:26" s="24" customFormat="1" hidden="1" outlineLevel="2" x14ac:dyDescent="0.3">
      <c r="A26" s="29"/>
      <c r="B26" s="11" t="str">
        <f>CONCATENATE("          ", "6117", " - ", "RETIREMENT STAFF HOURLY")</f>
        <v xml:space="preserve">          6117 - RETIREMENT STAFF HOURLY</v>
      </c>
      <c r="C26" s="11"/>
      <c r="D26" s="8">
        <v>512.19000000000005</v>
      </c>
      <c r="E26" s="3"/>
      <c r="F26" s="7">
        <f t="shared" si="0"/>
        <v>0</v>
      </c>
      <c r="G26" s="3"/>
      <c r="H26" s="8"/>
      <c r="I26" s="3"/>
      <c r="J26" s="7">
        <f t="shared" si="1"/>
        <v>0</v>
      </c>
      <c r="K26" s="3"/>
      <c r="L26" s="8">
        <f t="shared" si="2"/>
        <v>512.19000000000005</v>
      </c>
      <c r="M26" s="3"/>
      <c r="N26" s="7">
        <f t="shared" si="3"/>
        <v>0</v>
      </c>
      <c r="O26" s="11"/>
      <c r="P26" s="8">
        <v>512.19000000000005</v>
      </c>
      <c r="Q26" s="3"/>
      <c r="R26" s="7">
        <f t="shared" si="4"/>
        <v>0</v>
      </c>
      <c r="S26" s="3"/>
      <c r="T26" s="8"/>
      <c r="U26" s="3"/>
      <c r="V26" s="7">
        <f t="shared" si="5"/>
        <v>0</v>
      </c>
      <c r="W26" s="3"/>
      <c r="X26" s="8">
        <f t="shared" si="6"/>
        <v>512.19000000000005</v>
      </c>
      <c r="Y26" s="3"/>
      <c r="Z26" s="7">
        <f t="shared" si="7"/>
        <v>0</v>
      </c>
    </row>
    <row r="27" spans="1:26" s="24" customFormat="1" hidden="1" outlineLevel="2" x14ac:dyDescent="0.3">
      <c r="A27" s="29"/>
      <c r="B27" s="11" t="str">
        <f>CONCATENATE("          ", "6118", " - ", "VACATION")</f>
        <v xml:space="preserve">          6118 - VACATION</v>
      </c>
      <c r="C27" s="11"/>
      <c r="D27" s="8">
        <v>1260.5899999999999</v>
      </c>
      <c r="E27" s="3"/>
      <c r="F27" s="7">
        <f t="shared" si="0"/>
        <v>0</v>
      </c>
      <c r="G27" s="3"/>
      <c r="H27" s="8">
        <v>2032.26923076923</v>
      </c>
      <c r="I27" s="3"/>
      <c r="J27" s="7">
        <f t="shared" si="1"/>
        <v>0</v>
      </c>
      <c r="K27" s="3"/>
      <c r="L27" s="8">
        <f t="shared" si="2"/>
        <v>-771.67923076923012</v>
      </c>
      <c r="M27" s="3"/>
      <c r="N27" s="7">
        <f t="shared" si="3"/>
        <v>-0.37971309070951365</v>
      </c>
      <c r="O27" s="11"/>
      <c r="P27" s="8">
        <v>1260.5899999999999</v>
      </c>
      <c r="Q27" s="3"/>
      <c r="R27" s="7">
        <f t="shared" si="4"/>
        <v>0</v>
      </c>
      <c r="S27" s="3"/>
      <c r="T27" s="8">
        <v>2032.26923076923</v>
      </c>
      <c r="U27" s="3"/>
      <c r="V27" s="7">
        <f t="shared" si="5"/>
        <v>0</v>
      </c>
      <c r="W27" s="3"/>
      <c r="X27" s="8">
        <f t="shared" si="6"/>
        <v>-771.67923076923012</v>
      </c>
      <c r="Y27" s="3"/>
      <c r="Z27" s="7">
        <f t="shared" si="7"/>
        <v>-0.37971309070951365</v>
      </c>
    </row>
    <row r="28" spans="1:26" s="24" customFormat="1" hidden="1" outlineLevel="2" x14ac:dyDescent="0.3">
      <c r="A28" s="29"/>
      <c r="B28" s="11" t="str">
        <f>CONCATENATE("          ", "6119", " - ", "SICK LEAVE")</f>
        <v xml:space="preserve">          6119 - SICK LEAVE</v>
      </c>
      <c r="C28" s="11"/>
      <c r="D28" s="8">
        <v>961.41</v>
      </c>
      <c r="E28" s="3"/>
      <c r="F28" s="7">
        <f t="shared" si="0"/>
        <v>0</v>
      </c>
      <c r="G28" s="3"/>
      <c r="H28" s="8">
        <v>1290.6692307692299</v>
      </c>
      <c r="I28" s="3"/>
      <c r="J28" s="7">
        <f t="shared" si="1"/>
        <v>0</v>
      </c>
      <c r="K28" s="3"/>
      <c r="L28" s="8">
        <f t="shared" si="2"/>
        <v>-329.25923076922993</v>
      </c>
      <c r="M28" s="3"/>
      <c r="N28" s="7">
        <f t="shared" si="3"/>
        <v>-0.2551073682704853</v>
      </c>
      <c r="O28" s="11"/>
      <c r="P28" s="8">
        <v>961.41</v>
      </c>
      <c r="Q28" s="3"/>
      <c r="R28" s="7">
        <f t="shared" si="4"/>
        <v>0</v>
      </c>
      <c r="S28" s="3"/>
      <c r="T28" s="8">
        <v>1290.6692307692299</v>
      </c>
      <c r="U28" s="3"/>
      <c r="V28" s="7">
        <f t="shared" si="5"/>
        <v>0</v>
      </c>
      <c r="W28" s="3"/>
      <c r="X28" s="8">
        <f t="shared" si="6"/>
        <v>-329.25923076922993</v>
      </c>
      <c r="Y28" s="3"/>
      <c r="Z28" s="7">
        <f t="shared" si="7"/>
        <v>-0.2551073682704853</v>
      </c>
    </row>
    <row r="29" spans="1:26" s="24" customFormat="1" hidden="1" outlineLevel="2" x14ac:dyDescent="0.3">
      <c r="A29" s="29"/>
      <c r="B29" s="11" t="str">
        <f>CONCATENATE("          ", "6156", " - ", "EMPLOYEE MEALS")</f>
        <v xml:space="preserve">          6156 - EMPLOYEE MEALS</v>
      </c>
      <c r="C29" s="11"/>
      <c r="D29" s="8">
        <v>760.62</v>
      </c>
      <c r="E29" s="3"/>
      <c r="F29" s="7">
        <f t="shared" si="0"/>
        <v>0</v>
      </c>
      <c r="G29" s="3"/>
      <c r="H29" s="8">
        <v>1925</v>
      </c>
      <c r="I29" s="3"/>
      <c r="J29" s="7">
        <f t="shared" si="1"/>
        <v>0</v>
      </c>
      <c r="K29" s="3"/>
      <c r="L29" s="8">
        <f t="shared" si="2"/>
        <v>-1164.3800000000001</v>
      </c>
      <c r="M29" s="3"/>
      <c r="N29" s="7">
        <f t="shared" si="3"/>
        <v>-0.60487272727272734</v>
      </c>
      <c r="O29" s="11"/>
      <c r="P29" s="8">
        <v>760.62</v>
      </c>
      <c r="Q29" s="3"/>
      <c r="R29" s="7">
        <f t="shared" si="4"/>
        <v>0</v>
      </c>
      <c r="S29" s="3"/>
      <c r="T29" s="8">
        <v>1925</v>
      </c>
      <c r="U29" s="3"/>
      <c r="V29" s="7">
        <f t="shared" si="5"/>
        <v>0</v>
      </c>
      <c r="W29" s="3"/>
      <c r="X29" s="8">
        <f t="shared" si="6"/>
        <v>-1164.3800000000001</v>
      </c>
      <c r="Y29" s="3"/>
      <c r="Z29" s="7">
        <f t="shared" si="7"/>
        <v>-0.60487272727272734</v>
      </c>
    </row>
    <row r="30" spans="1:26" s="27" customFormat="1" outlineLevel="1" collapsed="1" x14ac:dyDescent="0.3">
      <c r="A30" s="28"/>
      <c r="B30" s="14" t="str">
        <f>CONCATENATE("     ","*Payroll                                          ")</f>
        <v xml:space="preserve">     *Payroll                                          </v>
      </c>
      <c r="C30" s="14"/>
      <c r="D30" s="1">
        <f>SUM(OSRRefD22_1x_0)</f>
        <v>19517.169999999998</v>
      </c>
      <c r="E30" s="1"/>
      <c r="F30" s="5">
        <f t="shared" ref="F30:F40" si="8">IF(D$12=0,0,D30/D$12)</f>
        <v>0</v>
      </c>
      <c r="G30" s="1"/>
      <c r="H30" s="1">
        <f>SUM(OSRRefH22_1x_0)</f>
        <v>39699.369230769225</v>
      </c>
      <c r="I30" s="1"/>
      <c r="J30" s="5">
        <f t="shared" ref="J30:J40" si="9">IF(H$12=0,0,H30/H$12)</f>
        <v>0</v>
      </c>
      <c r="K30" s="1"/>
      <c r="L30" s="1">
        <f t="shared" ref="L30:L40" si="10">+D30-H30</f>
        <v>-20182.199230769227</v>
      </c>
      <c r="M30" s="1"/>
      <c r="N30" s="5">
        <f t="shared" ref="N30:N40" si="11">IF(H30=0,0,L30/H30)</f>
        <v>-0.50837581608543281</v>
      </c>
      <c r="O30" s="14"/>
      <c r="P30" s="1">
        <f>SUM(OSRRefP22_1x_0)</f>
        <v>19517.169999999998</v>
      </c>
      <c r="Q30" s="1"/>
      <c r="R30" s="5">
        <f t="shared" ref="R30:R40" si="12">IF(P$12=0,0,P30/P$12)</f>
        <v>0</v>
      </c>
      <c r="S30" s="1"/>
      <c r="T30" s="1">
        <f>SUM(OSRRefT22_1x_0)</f>
        <v>39699.369230769225</v>
      </c>
      <c r="U30" s="1"/>
      <c r="V30" s="5">
        <f t="shared" ref="V30:V40" si="13">IF(T$12=0,0,T30/T$12)</f>
        <v>0</v>
      </c>
      <c r="W30" s="1"/>
      <c r="X30" s="1">
        <f t="shared" ref="X30:X40" si="14">+P30-T30</f>
        <v>-20182.199230769227</v>
      </c>
      <c r="Y30" s="1"/>
      <c r="Z30" s="5">
        <f t="shared" ref="Z30:Z40" si="15">IF(T30=0,0,X30/T30)</f>
        <v>-0.50837581608543281</v>
      </c>
    </row>
    <row r="31" spans="1:26" s="24" customFormat="1" hidden="1" outlineLevel="2" x14ac:dyDescent="0.3">
      <c r="A31" s="29"/>
      <c r="B31" s="11" t="str">
        <f>CONCATENATE("          ", "6001", " - ", "ADMINISTRATIVE SALARIES")</f>
        <v xml:space="preserve">          6001 - ADMINISTRATIVE SALARIES</v>
      </c>
      <c r="C31" s="11"/>
      <c r="D31" s="8"/>
      <c r="E31" s="3"/>
      <c r="F31" s="7">
        <f t="shared" si="8"/>
        <v>0</v>
      </c>
      <c r="G31" s="3"/>
      <c r="H31" s="8">
        <v>0</v>
      </c>
      <c r="I31" s="3"/>
      <c r="J31" s="7">
        <f t="shared" si="9"/>
        <v>0</v>
      </c>
      <c r="K31" s="3"/>
      <c r="L31" s="8">
        <f t="shared" si="10"/>
        <v>0</v>
      </c>
      <c r="M31" s="3"/>
      <c r="N31" s="7">
        <f t="shared" si="11"/>
        <v>0</v>
      </c>
      <c r="O31" s="11"/>
      <c r="P31" s="8"/>
      <c r="Q31" s="3"/>
      <c r="R31" s="7">
        <f t="shared" si="12"/>
        <v>0</v>
      </c>
      <c r="S31" s="3"/>
      <c r="T31" s="8">
        <v>0</v>
      </c>
      <c r="U31" s="3"/>
      <c r="V31" s="7">
        <f t="shared" si="13"/>
        <v>0</v>
      </c>
      <c r="W31" s="3"/>
      <c r="X31" s="8">
        <f t="shared" si="14"/>
        <v>0</v>
      </c>
      <c r="Y31" s="3"/>
      <c r="Z31" s="7">
        <f t="shared" si="15"/>
        <v>0</v>
      </c>
    </row>
    <row r="32" spans="1:26" s="24" customFormat="1" hidden="1" outlineLevel="2" x14ac:dyDescent="0.3">
      <c r="A32" s="29"/>
      <c r="B32" s="11" t="str">
        <f>CONCATENATE("          ", "6002", " - ", "STAFF SALARIES")</f>
        <v xml:space="preserve">          6002 - STAFF SALARIES</v>
      </c>
      <c r="C32" s="11"/>
      <c r="D32" s="8">
        <v>5600</v>
      </c>
      <c r="E32" s="3"/>
      <c r="F32" s="7">
        <f t="shared" si="8"/>
        <v>0</v>
      </c>
      <c r="G32" s="3"/>
      <c r="H32" s="8">
        <v>5585.7692307692296</v>
      </c>
      <c r="I32" s="3"/>
      <c r="J32" s="7">
        <f t="shared" si="9"/>
        <v>0</v>
      </c>
      <c r="K32" s="3"/>
      <c r="L32" s="8">
        <f t="shared" si="10"/>
        <v>14.23076923077042</v>
      </c>
      <c r="M32" s="3"/>
      <c r="N32" s="7">
        <f t="shared" si="11"/>
        <v>2.5476829856092473E-3</v>
      </c>
      <c r="O32" s="11"/>
      <c r="P32" s="8">
        <v>5600</v>
      </c>
      <c r="Q32" s="3"/>
      <c r="R32" s="7">
        <f t="shared" si="12"/>
        <v>0</v>
      </c>
      <c r="S32" s="3"/>
      <c r="T32" s="8">
        <v>5585.7692307692296</v>
      </c>
      <c r="U32" s="3"/>
      <c r="V32" s="7">
        <f t="shared" si="13"/>
        <v>0</v>
      </c>
      <c r="W32" s="3"/>
      <c r="X32" s="8">
        <f t="shared" si="14"/>
        <v>14.23076923077042</v>
      </c>
      <c r="Y32" s="3"/>
      <c r="Z32" s="7">
        <f t="shared" si="15"/>
        <v>2.5476829856092473E-3</v>
      </c>
    </row>
    <row r="33" spans="1:26" s="24" customFormat="1" hidden="1" outlineLevel="2" x14ac:dyDescent="0.3">
      <c r="A33" s="29"/>
      <c r="B33" s="11" t="str">
        <f>CONCATENATE("          ", "6003", " - ", "STAFF HOURLY-9 MONTH")</f>
        <v xml:space="preserve">          6003 - STAFF HOURLY-9 MONTH</v>
      </c>
      <c r="C33" s="11"/>
      <c r="D33" s="8"/>
      <c r="E33" s="3"/>
      <c r="F33" s="7">
        <f t="shared" si="8"/>
        <v>0</v>
      </c>
      <c r="G33" s="3"/>
      <c r="H33" s="8">
        <v>0</v>
      </c>
      <c r="I33" s="3"/>
      <c r="J33" s="7">
        <f t="shared" si="9"/>
        <v>0</v>
      </c>
      <c r="K33" s="3"/>
      <c r="L33" s="8">
        <f t="shared" si="10"/>
        <v>0</v>
      </c>
      <c r="M33" s="3"/>
      <c r="N33" s="7">
        <f t="shared" si="11"/>
        <v>0</v>
      </c>
      <c r="O33" s="11"/>
      <c r="P33" s="8"/>
      <c r="Q33" s="3"/>
      <c r="R33" s="7">
        <f t="shared" si="12"/>
        <v>0</v>
      </c>
      <c r="S33" s="3"/>
      <c r="T33" s="8">
        <v>0</v>
      </c>
      <c r="U33" s="3"/>
      <c r="V33" s="7">
        <f t="shared" si="13"/>
        <v>0</v>
      </c>
      <c r="W33" s="3"/>
      <c r="X33" s="8">
        <f t="shared" si="14"/>
        <v>0</v>
      </c>
      <c r="Y33" s="3"/>
      <c r="Z33" s="7">
        <f t="shared" si="15"/>
        <v>0</v>
      </c>
    </row>
    <row r="34" spans="1:26" s="24" customFormat="1" hidden="1" outlineLevel="2" x14ac:dyDescent="0.3">
      <c r="A34" s="29"/>
      <c r="B34" s="11" t="str">
        <f>CONCATENATE("          ", "6004", " - ", "STAFF HOURLY")</f>
        <v xml:space="preserve">          6004 - STAFF HOURLY</v>
      </c>
      <c r="C34" s="11"/>
      <c r="D34" s="8">
        <v>11837.17</v>
      </c>
      <c r="E34" s="3"/>
      <c r="F34" s="7">
        <f t="shared" si="8"/>
        <v>0</v>
      </c>
      <c r="G34" s="3"/>
      <c r="H34" s="8">
        <v>34113.599999999999</v>
      </c>
      <c r="I34" s="3"/>
      <c r="J34" s="7">
        <f t="shared" si="9"/>
        <v>0</v>
      </c>
      <c r="K34" s="3"/>
      <c r="L34" s="8">
        <f t="shared" si="10"/>
        <v>-22276.43</v>
      </c>
      <c r="M34" s="3"/>
      <c r="N34" s="7">
        <f t="shared" si="11"/>
        <v>-0.6530073050044557</v>
      </c>
      <c r="O34" s="11"/>
      <c r="P34" s="8">
        <v>11837.17</v>
      </c>
      <c r="Q34" s="3"/>
      <c r="R34" s="7">
        <f t="shared" si="12"/>
        <v>0</v>
      </c>
      <c r="S34" s="3"/>
      <c r="T34" s="8">
        <v>34113.599999999999</v>
      </c>
      <c r="U34" s="3"/>
      <c r="V34" s="7">
        <f t="shared" si="13"/>
        <v>0</v>
      </c>
      <c r="W34" s="3"/>
      <c r="X34" s="8">
        <f t="shared" si="14"/>
        <v>-22276.43</v>
      </c>
      <c r="Y34" s="3"/>
      <c r="Z34" s="7">
        <f t="shared" si="15"/>
        <v>-0.6530073050044557</v>
      </c>
    </row>
    <row r="35" spans="1:26" s="24" customFormat="1" hidden="1" outlineLevel="2" x14ac:dyDescent="0.3">
      <c r="A35" s="29"/>
      <c r="B35" s="11" t="str">
        <f>CONCATENATE("          ", "6005", " - ", "TEMPORARY WAGES-HOURLY")</f>
        <v xml:space="preserve">          6005 - TEMPORARY WAGES-HOURLY</v>
      </c>
      <c r="C35" s="11"/>
      <c r="D35" s="8"/>
      <c r="E35" s="3"/>
      <c r="F35" s="7">
        <f t="shared" si="8"/>
        <v>0</v>
      </c>
      <c r="G35" s="3"/>
      <c r="H35" s="8">
        <v>0</v>
      </c>
      <c r="I35" s="3"/>
      <c r="J35" s="7">
        <f t="shared" si="9"/>
        <v>0</v>
      </c>
      <c r="K35" s="3"/>
      <c r="L35" s="8">
        <f t="shared" si="10"/>
        <v>0</v>
      </c>
      <c r="M35" s="3"/>
      <c r="N35" s="7">
        <f t="shared" si="11"/>
        <v>0</v>
      </c>
      <c r="O35" s="11"/>
      <c r="P35" s="8"/>
      <c r="Q35" s="3"/>
      <c r="R35" s="7">
        <f t="shared" si="12"/>
        <v>0</v>
      </c>
      <c r="S35" s="3"/>
      <c r="T35" s="8">
        <v>0</v>
      </c>
      <c r="U35" s="3"/>
      <c r="V35" s="7">
        <f t="shared" si="13"/>
        <v>0</v>
      </c>
      <c r="W35" s="3"/>
      <c r="X35" s="8">
        <f t="shared" si="14"/>
        <v>0</v>
      </c>
      <c r="Y35" s="3"/>
      <c r="Z35" s="7">
        <f t="shared" si="15"/>
        <v>0</v>
      </c>
    </row>
    <row r="36" spans="1:26" s="24" customFormat="1" hidden="1" outlineLevel="2" x14ac:dyDescent="0.3">
      <c r="A36" s="29"/>
      <c r="B36" s="11" t="str">
        <f>CONCATENATE("          ", "6006", " - ", "TEMPORARY PART TIME")</f>
        <v xml:space="preserve">          6006 - TEMPORARY PART TIME</v>
      </c>
      <c r="C36" s="11"/>
      <c r="D36" s="8"/>
      <c r="E36" s="3"/>
      <c r="F36" s="7">
        <f t="shared" si="8"/>
        <v>0</v>
      </c>
      <c r="G36" s="3"/>
      <c r="H36" s="8">
        <v>0</v>
      </c>
      <c r="I36" s="3"/>
      <c r="J36" s="7">
        <f t="shared" si="9"/>
        <v>0</v>
      </c>
      <c r="K36" s="3"/>
      <c r="L36" s="8">
        <f t="shared" si="10"/>
        <v>0</v>
      </c>
      <c r="M36" s="3"/>
      <c r="N36" s="7">
        <f t="shared" si="11"/>
        <v>0</v>
      </c>
      <c r="O36" s="11"/>
      <c r="P36" s="8"/>
      <c r="Q36" s="3"/>
      <c r="R36" s="7">
        <f t="shared" si="12"/>
        <v>0</v>
      </c>
      <c r="S36" s="3"/>
      <c r="T36" s="8">
        <v>0</v>
      </c>
      <c r="U36" s="3"/>
      <c r="V36" s="7">
        <f t="shared" si="13"/>
        <v>0</v>
      </c>
      <c r="W36" s="3"/>
      <c r="X36" s="8">
        <f t="shared" si="14"/>
        <v>0</v>
      </c>
      <c r="Y36" s="3"/>
      <c r="Z36" s="7">
        <f t="shared" si="15"/>
        <v>0</v>
      </c>
    </row>
    <row r="37" spans="1:26" s="24" customFormat="1" hidden="1" outlineLevel="2" x14ac:dyDescent="0.3">
      <c r="A37" s="29"/>
      <c r="B37" s="11" t="str">
        <f>CONCATENATE("          ", "6007", " - ", "STUDENT HOURLY")</f>
        <v xml:space="preserve">          6007 - STUDENT HOURLY</v>
      </c>
      <c r="C37" s="11"/>
      <c r="D37" s="8">
        <v>2080</v>
      </c>
      <c r="E37" s="3"/>
      <c r="F37" s="7">
        <f t="shared" si="8"/>
        <v>0</v>
      </c>
      <c r="G37" s="3"/>
      <c r="H37" s="8">
        <v>0</v>
      </c>
      <c r="I37" s="3"/>
      <c r="J37" s="7">
        <f t="shared" si="9"/>
        <v>0</v>
      </c>
      <c r="K37" s="3"/>
      <c r="L37" s="8">
        <f t="shared" si="10"/>
        <v>2080</v>
      </c>
      <c r="M37" s="3"/>
      <c r="N37" s="7">
        <f t="shared" si="11"/>
        <v>0</v>
      </c>
      <c r="O37" s="11"/>
      <c r="P37" s="8">
        <v>2080</v>
      </c>
      <c r="Q37" s="3"/>
      <c r="R37" s="7">
        <f t="shared" si="12"/>
        <v>0</v>
      </c>
      <c r="S37" s="3"/>
      <c r="T37" s="8">
        <v>0</v>
      </c>
      <c r="U37" s="3"/>
      <c r="V37" s="7">
        <f t="shared" si="13"/>
        <v>0</v>
      </c>
      <c r="W37" s="3"/>
      <c r="X37" s="8">
        <f t="shared" si="14"/>
        <v>2080</v>
      </c>
      <c r="Y37" s="3"/>
      <c r="Z37" s="7">
        <f t="shared" si="15"/>
        <v>0</v>
      </c>
    </row>
    <row r="38" spans="1:26" s="24" customFormat="1" hidden="1" outlineLevel="2" x14ac:dyDescent="0.3">
      <c r="A38" s="29"/>
      <c r="B38" s="11" t="str">
        <f>CONCATENATE("          ", "6008", " - ", "STUDENT HOURLY-FICA EXEMPT")</f>
        <v xml:space="preserve">          6008 - STUDENT HOURLY-FICA EXEMPT</v>
      </c>
      <c r="C38" s="11"/>
      <c r="D38" s="8"/>
      <c r="E38" s="3"/>
      <c r="F38" s="7">
        <f t="shared" si="8"/>
        <v>0</v>
      </c>
      <c r="G38" s="3"/>
      <c r="H38" s="8">
        <v>0</v>
      </c>
      <c r="I38" s="3"/>
      <c r="J38" s="7">
        <f t="shared" si="9"/>
        <v>0</v>
      </c>
      <c r="K38" s="3"/>
      <c r="L38" s="8">
        <f t="shared" si="10"/>
        <v>0</v>
      </c>
      <c r="M38" s="3"/>
      <c r="N38" s="7">
        <f t="shared" si="11"/>
        <v>0</v>
      </c>
      <c r="O38" s="11"/>
      <c r="P38" s="8"/>
      <c r="Q38" s="3"/>
      <c r="R38" s="7">
        <f t="shared" si="12"/>
        <v>0</v>
      </c>
      <c r="S38" s="3"/>
      <c r="T38" s="8">
        <v>0</v>
      </c>
      <c r="U38" s="3"/>
      <c r="V38" s="7">
        <f t="shared" si="13"/>
        <v>0</v>
      </c>
      <c r="W38" s="3"/>
      <c r="X38" s="8">
        <f t="shared" si="14"/>
        <v>0</v>
      </c>
      <c r="Y38" s="3"/>
      <c r="Z38" s="7">
        <f t="shared" si="15"/>
        <v>0</v>
      </c>
    </row>
    <row r="39" spans="1:26" s="24" customFormat="1" hidden="1" outlineLevel="2" x14ac:dyDescent="0.3">
      <c r="A39" s="29"/>
      <c r="B39" s="11" t="str">
        <f>CONCATENATE("          ", "6009", " - ", "TEMPORARY-SEASONAL")</f>
        <v xml:space="preserve">          6009 - TEMPORARY-SEASONAL</v>
      </c>
      <c r="C39" s="11"/>
      <c r="D39" s="8"/>
      <c r="E39" s="3"/>
      <c r="F39" s="7">
        <f t="shared" si="8"/>
        <v>0</v>
      </c>
      <c r="G39" s="3"/>
      <c r="H39" s="8">
        <v>0</v>
      </c>
      <c r="I39" s="3"/>
      <c r="J39" s="7">
        <f t="shared" si="9"/>
        <v>0</v>
      </c>
      <c r="K39" s="3"/>
      <c r="L39" s="8">
        <f t="shared" si="10"/>
        <v>0</v>
      </c>
      <c r="M39" s="3"/>
      <c r="N39" s="7">
        <f t="shared" si="11"/>
        <v>0</v>
      </c>
      <c r="O39" s="11"/>
      <c r="P39" s="8"/>
      <c r="Q39" s="3"/>
      <c r="R39" s="7">
        <f t="shared" si="12"/>
        <v>0</v>
      </c>
      <c r="S39" s="3"/>
      <c r="T39" s="8">
        <v>0</v>
      </c>
      <c r="U39" s="3"/>
      <c r="V39" s="7">
        <f t="shared" si="13"/>
        <v>0</v>
      </c>
      <c r="W39" s="3"/>
      <c r="X39" s="8">
        <f t="shared" si="14"/>
        <v>0</v>
      </c>
      <c r="Y39" s="3"/>
      <c r="Z39" s="7">
        <f t="shared" si="15"/>
        <v>0</v>
      </c>
    </row>
    <row r="40" spans="1:26" s="24" customFormat="1" hidden="1" outlineLevel="2" x14ac:dyDescent="0.3">
      <c r="A40" s="29"/>
      <c r="B40" s="11" t="str">
        <f>CONCATENATE("          ", "6010", " - ", "GRATUITY")</f>
        <v xml:space="preserve">          6010 - GRATUITY</v>
      </c>
      <c r="C40" s="11"/>
      <c r="D40" s="8"/>
      <c r="E40" s="3"/>
      <c r="F40" s="7">
        <f t="shared" si="8"/>
        <v>0</v>
      </c>
      <c r="G40" s="3"/>
      <c r="H40" s="8">
        <v>0</v>
      </c>
      <c r="I40" s="3"/>
      <c r="J40" s="7">
        <f t="shared" si="9"/>
        <v>0</v>
      </c>
      <c r="K40" s="3"/>
      <c r="L40" s="8">
        <f t="shared" si="10"/>
        <v>0</v>
      </c>
      <c r="M40" s="3"/>
      <c r="N40" s="7">
        <f t="shared" si="11"/>
        <v>0</v>
      </c>
      <c r="O40" s="11"/>
      <c r="P40" s="8"/>
      <c r="Q40" s="3"/>
      <c r="R40" s="7">
        <f t="shared" si="12"/>
        <v>0</v>
      </c>
      <c r="S40" s="3"/>
      <c r="T40" s="8">
        <v>0</v>
      </c>
      <c r="U40" s="3"/>
      <c r="V40" s="7">
        <f t="shared" si="13"/>
        <v>0</v>
      </c>
      <c r="W40" s="3"/>
      <c r="X40" s="8">
        <f t="shared" si="14"/>
        <v>0</v>
      </c>
      <c r="Y40" s="3"/>
      <c r="Z40" s="7">
        <f t="shared" si="15"/>
        <v>0</v>
      </c>
    </row>
    <row r="41" spans="1:26" s="27" customFormat="1" outlineLevel="1" collapsed="1" x14ac:dyDescent="0.3">
      <c r="A41" s="28"/>
      <c r="B41" s="14" t="str">
        <f>CONCATENATE("     ","Advertising/Promo                                 ")</f>
        <v xml:space="preserve">     Advertising/Promo                                 </v>
      </c>
      <c r="C41" s="14"/>
      <c r="D41" s="1">
        <f>SUM(OSRRefD22_2x_0)</f>
        <v>40.32</v>
      </c>
      <c r="E41" s="1"/>
      <c r="F41" s="5">
        <f t="shared" ref="F41:F53" si="16">IF(D$12=0,0,D41/D$12)</f>
        <v>0</v>
      </c>
      <c r="G41" s="1"/>
      <c r="H41" s="1">
        <f>SUM(OSRRefH22_2x_0)</f>
        <v>350</v>
      </c>
      <c r="I41" s="1"/>
      <c r="J41" s="5">
        <f t="shared" ref="J41:J53" si="17">IF(H$12=0,0,H41/H$12)</f>
        <v>0</v>
      </c>
      <c r="K41" s="1"/>
      <c r="L41" s="1">
        <f t="shared" ref="L41:L53" si="18">+D41-H41</f>
        <v>-309.68</v>
      </c>
      <c r="M41" s="1"/>
      <c r="N41" s="5">
        <f t="shared" ref="N41:N53" si="19">IF(H41=0,0,L41/H41)</f>
        <v>-0.88480000000000003</v>
      </c>
      <c r="O41" s="14"/>
      <c r="P41" s="1">
        <f>SUM(OSRRefP22_2x_0)</f>
        <v>40.32</v>
      </c>
      <c r="Q41" s="1"/>
      <c r="R41" s="5">
        <f t="shared" ref="R41:R53" si="20">IF(P$12=0,0,P41/P$12)</f>
        <v>0</v>
      </c>
      <c r="S41" s="1"/>
      <c r="T41" s="1">
        <f>SUM(OSRRefT22_2x_0)</f>
        <v>350</v>
      </c>
      <c r="U41" s="1"/>
      <c r="V41" s="5">
        <f t="shared" ref="V41:V53" si="21">IF(T$12=0,0,T41/T$12)</f>
        <v>0</v>
      </c>
      <c r="W41" s="1"/>
      <c r="X41" s="1">
        <f t="shared" ref="X41:X53" si="22">+P41-T41</f>
        <v>-309.68</v>
      </c>
      <c r="Y41" s="1"/>
      <c r="Z41" s="5">
        <f t="shared" ref="Z41:Z53" si="23">IF(T41=0,0,X41/T41)</f>
        <v>-0.88480000000000003</v>
      </c>
    </row>
    <row r="42" spans="1:26" s="24" customFormat="1" hidden="1" outlineLevel="2" x14ac:dyDescent="0.3">
      <c r="A42" s="29"/>
      <c r="B42" s="11" t="str">
        <f>CONCATENATE("          ", "6362", " - ", "ADVERTISING EXPENSE")</f>
        <v xml:space="preserve">          6362 - ADVERTISING EXPENSE</v>
      </c>
      <c r="C42" s="11"/>
      <c r="D42" s="8">
        <v>40.32</v>
      </c>
      <c r="E42" s="3"/>
      <c r="F42" s="7">
        <f t="shared" si="16"/>
        <v>0</v>
      </c>
      <c r="G42" s="3"/>
      <c r="H42" s="8">
        <v>350</v>
      </c>
      <c r="I42" s="3"/>
      <c r="J42" s="7">
        <f t="shared" si="17"/>
        <v>0</v>
      </c>
      <c r="K42" s="3"/>
      <c r="L42" s="8">
        <f t="shared" si="18"/>
        <v>-309.68</v>
      </c>
      <c r="M42" s="3"/>
      <c r="N42" s="7">
        <f t="shared" si="19"/>
        <v>-0.88480000000000003</v>
      </c>
      <c r="O42" s="11"/>
      <c r="P42" s="8">
        <v>40.32</v>
      </c>
      <c r="Q42" s="3"/>
      <c r="R42" s="7">
        <f t="shared" si="20"/>
        <v>0</v>
      </c>
      <c r="S42" s="3"/>
      <c r="T42" s="8">
        <v>350</v>
      </c>
      <c r="U42" s="3"/>
      <c r="V42" s="7">
        <f t="shared" si="21"/>
        <v>0</v>
      </c>
      <c r="W42" s="3"/>
      <c r="X42" s="8">
        <f t="shared" si="22"/>
        <v>-309.68</v>
      </c>
      <c r="Y42" s="3"/>
      <c r="Z42" s="7">
        <f t="shared" si="23"/>
        <v>-0.88480000000000003</v>
      </c>
    </row>
    <row r="43" spans="1:26" s="27" customFormat="1" outlineLevel="1" collapsed="1" x14ac:dyDescent="0.3">
      <c r="A43" s="28"/>
      <c r="B43" s="14" t="str">
        <f>CONCATENATE("     ","Depreciation                                      ")</f>
        <v xml:space="preserve">     Depreciation                                      </v>
      </c>
      <c r="C43" s="14"/>
      <c r="D43" s="1">
        <f>SUM(OSRRefD22_3x_0)</f>
        <v>213.02</v>
      </c>
      <c r="E43" s="1"/>
      <c r="F43" s="5">
        <f t="shared" si="16"/>
        <v>0</v>
      </c>
      <c r="G43" s="1"/>
      <c r="H43" s="1">
        <f>SUM(OSRRefH22_3x_0)</f>
        <v>213</v>
      </c>
      <c r="I43" s="1"/>
      <c r="J43" s="5">
        <f t="shared" si="17"/>
        <v>0</v>
      </c>
      <c r="K43" s="1"/>
      <c r="L43" s="1">
        <f t="shared" si="18"/>
        <v>2.0000000000010232E-2</v>
      </c>
      <c r="M43" s="1"/>
      <c r="N43" s="5">
        <f t="shared" si="19"/>
        <v>9.3896713615071505E-5</v>
      </c>
      <c r="O43" s="14"/>
      <c r="P43" s="1">
        <f>SUM(OSRRefP22_3x_0)</f>
        <v>213.02</v>
      </c>
      <c r="Q43" s="1"/>
      <c r="R43" s="5">
        <f t="shared" si="20"/>
        <v>0</v>
      </c>
      <c r="S43" s="1"/>
      <c r="T43" s="1">
        <f>SUM(OSRRefT22_3x_0)</f>
        <v>213</v>
      </c>
      <c r="U43" s="1"/>
      <c r="V43" s="5">
        <f t="shared" si="21"/>
        <v>0</v>
      </c>
      <c r="W43" s="1"/>
      <c r="X43" s="1">
        <f t="shared" si="22"/>
        <v>2.0000000000010232E-2</v>
      </c>
      <c r="Y43" s="1"/>
      <c r="Z43" s="5">
        <f t="shared" si="23"/>
        <v>9.3896713615071505E-5</v>
      </c>
    </row>
    <row r="44" spans="1:26" s="24" customFormat="1" hidden="1" outlineLevel="2" x14ac:dyDescent="0.3">
      <c r="A44" s="29"/>
      <c r="B44" s="11" t="str">
        <f>CONCATENATE("          ", "6322", " - ", "EQUIPMENT DEPRECIATION EXPENSE")</f>
        <v xml:space="preserve">          6322 - EQUIPMENT DEPRECIATION EXPENSE</v>
      </c>
      <c r="C44" s="11"/>
      <c r="D44" s="8">
        <v>213.02</v>
      </c>
      <c r="E44" s="3"/>
      <c r="F44" s="7">
        <f t="shared" si="16"/>
        <v>0</v>
      </c>
      <c r="G44" s="3"/>
      <c r="H44" s="8">
        <v>213</v>
      </c>
      <c r="I44" s="3"/>
      <c r="J44" s="7">
        <f t="shared" si="17"/>
        <v>0</v>
      </c>
      <c r="K44" s="3"/>
      <c r="L44" s="8">
        <f t="shared" si="18"/>
        <v>2.0000000000010232E-2</v>
      </c>
      <c r="M44" s="3"/>
      <c r="N44" s="7">
        <f t="shared" si="19"/>
        <v>9.3896713615071505E-5</v>
      </c>
      <c r="O44" s="11"/>
      <c r="P44" s="8">
        <v>213.02</v>
      </c>
      <c r="Q44" s="3"/>
      <c r="R44" s="7">
        <f t="shared" si="20"/>
        <v>0</v>
      </c>
      <c r="S44" s="3"/>
      <c r="T44" s="8">
        <v>213</v>
      </c>
      <c r="U44" s="3"/>
      <c r="V44" s="7">
        <f t="shared" si="21"/>
        <v>0</v>
      </c>
      <c r="W44" s="3"/>
      <c r="X44" s="8">
        <f t="shared" si="22"/>
        <v>2.0000000000010232E-2</v>
      </c>
      <c r="Y44" s="3"/>
      <c r="Z44" s="7">
        <f t="shared" si="23"/>
        <v>9.3896713615071505E-5</v>
      </c>
    </row>
    <row r="45" spans="1:26" s="27" customFormat="1" outlineLevel="1" collapsed="1" x14ac:dyDescent="0.3">
      <c r="A45" s="28"/>
      <c r="B45" s="14" t="str">
        <f>CONCATENATE("     ","Employees' Appreciation                           ")</f>
        <v xml:space="preserve">     Employees' Appreciation                           </v>
      </c>
      <c r="C45" s="14"/>
      <c r="D45" s="1">
        <f>SUM(OSRRefD22_4x_0)</f>
        <v>0</v>
      </c>
      <c r="E45" s="1"/>
      <c r="F45" s="5">
        <f t="shared" si="16"/>
        <v>0</v>
      </c>
      <c r="G45" s="1"/>
      <c r="H45" s="1">
        <f>SUM(OSRRefH22_4x_0)</f>
        <v>50</v>
      </c>
      <c r="I45" s="1"/>
      <c r="J45" s="5">
        <f t="shared" si="17"/>
        <v>0</v>
      </c>
      <c r="K45" s="1"/>
      <c r="L45" s="1">
        <f t="shared" si="18"/>
        <v>-50</v>
      </c>
      <c r="M45" s="1"/>
      <c r="N45" s="5">
        <f t="shared" si="19"/>
        <v>-1</v>
      </c>
      <c r="O45" s="14"/>
      <c r="P45" s="1">
        <f>SUM(OSRRefP22_4x_0)</f>
        <v>0</v>
      </c>
      <c r="Q45" s="1"/>
      <c r="R45" s="5">
        <f t="shared" si="20"/>
        <v>0</v>
      </c>
      <c r="S45" s="1"/>
      <c r="T45" s="1">
        <f>SUM(OSRRefT22_4x_0)</f>
        <v>50</v>
      </c>
      <c r="U45" s="1"/>
      <c r="V45" s="5">
        <f t="shared" si="21"/>
        <v>0</v>
      </c>
      <c r="W45" s="1"/>
      <c r="X45" s="1">
        <f t="shared" si="22"/>
        <v>-50</v>
      </c>
      <c r="Y45" s="1"/>
      <c r="Z45" s="5">
        <f t="shared" si="23"/>
        <v>-1</v>
      </c>
    </row>
    <row r="46" spans="1:26" s="24" customFormat="1" hidden="1" outlineLevel="2" x14ac:dyDescent="0.3">
      <c r="A46" s="29"/>
      <c r="B46" s="11" t="str">
        <f>CONCATENATE("          ", "6277", " - ", "EMPLOYEE APPRECIATION")</f>
        <v xml:space="preserve">          6277 - EMPLOYEE APPRECIATION</v>
      </c>
      <c r="C46" s="11"/>
      <c r="D46" s="8"/>
      <c r="E46" s="3"/>
      <c r="F46" s="7">
        <f t="shared" si="16"/>
        <v>0</v>
      </c>
      <c r="G46" s="3"/>
      <c r="H46" s="8">
        <v>50</v>
      </c>
      <c r="I46" s="3"/>
      <c r="J46" s="7">
        <f t="shared" si="17"/>
        <v>0</v>
      </c>
      <c r="K46" s="3"/>
      <c r="L46" s="8">
        <f t="shared" si="18"/>
        <v>-50</v>
      </c>
      <c r="M46" s="3"/>
      <c r="N46" s="7">
        <f t="shared" si="19"/>
        <v>-1</v>
      </c>
      <c r="O46" s="11"/>
      <c r="P46" s="8"/>
      <c r="Q46" s="3"/>
      <c r="R46" s="7">
        <f t="shared" si="20"/>
        <v>0</v>
      </c>
      <c r="S46" s="3"/>
      <c r="T46" s="8">
        <v>50</v>
      </c>
      <c r="U46" s="3"/>
      <c r="V46" s="7">
        <f t="shared" si="21"/>
        <v>0</v>
      </c>
      <c r="W46" s="3"/>
      <c r="X46" s="8">
        <f t="shared" si="22"/>
        <v>-50</v>
      </c>
      <c r="Y46" s="3"/>
      <c r="Z46" s="7">
        <f t="shared" si="23"/>
        <v>-1</v>
      </c>
    </row>
    <row r="47" spans="1:26" s="27" customFormat="1" outlineLevel="1" collapsed="1" x14ac:dyDescent="0.3">
      <c r="A47" s="28"/>
      <c r="B47" s="14" t="str">
        <f>CONCATENATE("     ","General                                           ")</f>
        <v xml:space="preserve">     General                                           </v>
      </c>
      <c r="C47" s="14"/>
      <c r="D47" s="1">
        <f>SUM(OSRRefD22_5x_0)</f>
        <v>0</v>
      </c>
      <c r="E47" s="1"/>
      <c r="F47" s="5">
        <f t="shared" si="16"/>
        <v>0</v>
      </c>
      <c r="G47" s="1"/>
      <c r="H47" s="1">
        <f>SUM(OSRRefH22_5x_0)</f>
        <v>1700</v>
      </c>
      <c r="I47" s="1"/>
      <c r="J47" s="5">
        <f t="shared" si="17"/>
        <v>0</v>
      </c>
      <c r="K47" s="1"/>
      <c r="L47" s="1">
        <f t="shared" si="18"/>
        <v>-1700</v>
      </c>
      <c r="M47" s="1"/>
      <c r="N47" s="5">
        <f t="shared" si="19"/>
        <v>-1</v>
      </c>
      <c r="O47" s="14"/>
      <c r="P47" s="1">
        <f>SUM(OSRRefP22_5x_0)</f>
        <v>0</v>
      </c>
      <c r="Q47" s="1"/>
      <c r="R47" s="5">
        <f t="shared" si="20"/>
        <v>0</v>
      </c>
      <c r="S47" s="1"/>
      <c r="T47" s="1">
        <f>SUM(OSRRefT22_5x_0)</f>
        <v>1700</v>
      </c>
      <c r="U47" s="1"/>
      <c r="V47" s="5">
        <f t="shared" si="21"/>
        <v>0</v>
      </c>
      <c r="W47" s="1"/>
      <c r="X47" s="1">
        <f t="shared" si="22"/>
        <v>-1700</v>
      </c>
      <c r="Y47" s="1"/>
      <c r="Z47" s="5">
        <f t="shared" si="23"/>
        <v>-1</v>
      </c>
    </row>
    <row r="48" spans="1:26" s="24" customFormat="1" hidden="1" outlineLevel="2" x14ac:dyDescent="0.3">
      <c r="A48" s="29"/>
      <c r="B48" s="11" t="str">
        <f>CONCATENATE("          ", "6279", " - ", "GENERAL EXPENSE")</f>
        <v xml:space="preserve">          6279 - GENERAL EXPENSE</v>
      </c>
      <c r="C48" s="11"/>
      <c r="D48" s="8"/>
      <c r="E48" s="3"/>
      <c r="F48" s="7">
        <f t="shared" si="16"/>
        <v>0</v>
      </c>
      <c r="G48" s="3"/>
      <c r="H48" s="8">
        <v>1700</v>
      </c>
      <c r="I48" s="3"/>
      <c r="J48" s="7">
        <f t="shared" si="17"/>
        <v>0</v>
      </c>
      <c r="K48" s="3"/>
      <c r="L48" s="8">
        <f t="shared" si="18"/>
        <v>-1700</v>
      </c>
      <c r="M48" s="3"/>
      <c r="N48" s="7">
        <f t="shared" si="19"/>
        <v>-1</v>
      </c>
      <c r="O48" s="11"/>
      <c r="P48" s="8"/>
      <c r="Q48" s="3"/>
      <c r="R48" s="7">
        <f t="shared" si="20"/>
        <v>0</v>
      </c>
      <c r="S48" s="3"/>
      <c r="T48" s="8">
        <v>1700</v>
      </c>
      <c r="U48" s="3"/>
      <c r="V48" s="7">
        <f t="shared" si="21"/>
        <v>0</v>
      </c>
      <c r="W48" s="3"/>
      <c r="X48" s="8">
        <f t="shared" si="22"/>
        <v>-1700</v>
      </c>
      <c r="Y48" s="3"/>
      <c r="Z48" s="7">
        <f t="shared" si="23"/>
        <v>-1</v>
      </c>
    </row>
    <row r="49" spans="1:26" s="27" customFormat="1" outlineLevel="1" collapsed="1" x14ac:dyDescent="0.3">
      <c r="A49" s="28"/>
      <c r="B49" s="14" t="str">
        <f>CONCATENATE("     ","Insurance                                         ")</f>
        <v xml:space="preserve">     Insurance                                         </v>
      </c>
      <c r="C49" s="14"/>
      <c r="D49" s="1">
        <f>SUM(OSRRefD22_6x_0)</f>
        <v>5.22</v>
      </c>
      <c r="E49" s="1"/>
      <c r="F49" s="5">
        <f t="shared" si="16"/>
        <v>0</v>
      </c>
      <c r="G49" s="1"/>
      <c r="H49" s="1">
        <f>SUM(OSRRefH22_6x_0)</f>
        <v>10</v>
      </c>
      <c r="I49" s="1"/>
      <c r="J49" s="5">
        <f t="shared" si="17"/>
        <v>0</v>
      </c>
      <c r="K49" s="1"/>
      <c r="L49" s="1">
        <f t="shared" si="18"/>
        <v>-4.78</v>
      </c>
      <c r="M49" s="1"/>
      <c r="N49" s="5">
        <f t="shared" si="19"/>
        <v>-0.47800000000000004</v>
      </c>
      <c r="O49" s="14"/>
      <c r="P49" s="1">
        <f>SUM(OSRRefP22_6x_0)</f>
        <v>5.22</v>
      </c>
      <c r="Q49" s="1"/>
      <c r="R49" s="5">
        <f t="shared" si="20"/>
        <v>0</v>
      </c>
      <c r="S49" s="1"/>
      <c r="T49" s="1">
        <f>SUM(OSRRefT22_6x_0)</f>
        <v>10</v>
      </c>
      <c r="U49" s="1"/>
      <c r="V49" s="5">
        <f t="shared" si="21"/>
        <v>0</v>
      </c>
      <c r="W49" s="1"/>
      <c r="X49" s="1">
        <f t="shared" si="22"/>
        <v>-4.78</v>
      </c>
      <c r="Y49" s="1"/>
      <c r="Z49" s="5">
        <f t="shared" si="23"/>
        <v>-0.47800000000000004</v>
      </c>
    </row>
    <row r="50" spans="1:26" s="24" customFormat="1" hidden="1" outlineLevel="2" x14ac:dyDescent="0.3">
      <c r="A50" s="29"/>
      <c r="B50" s="11" t="str">
        <f>CONCATENATE("          ", "6314", " - ", "LIABILITY INSURANCE")</f>
        <v xml:space="preserve">          6314 - LIABILITY INSURANCE</v>
      </c>
      <c r="C50" s="11"/>
      <c r="D50" s="8">
        <v>5.22</v>
      </c>
      <c r="E50" s="3"/>
      <c r="F50" s="7">
        <f t="shared" si="16"/>
        <v>0</v>
      </c>
      <c r="G50" s="3"/>
      <c r="H50" s="8">
        <v>10</v>
      </c>
      <c r="I50" s="3"/>
      <c r="J50" s="7">
        <f t="shared" si="17"/>
        <v>0</v>
      </c>
      <c r="K50" s="3"/>
      <c r="L50" s="8">
        <f t="shared" si="18"/>
        <v>-4.78</v>
      </c>
      <c r="M50" s="3"/>
      <c r="N50" s="7">
        <f t="shared" si="19"/>
        <v>-0.47800000000000004</v>
      </c>
      <c r="O50" s="11"/>
      <c r="P50" s="8">
        <v>5.22</v>
      </c>
      <c r="Q50" s="3"/>
      <c r="R50" s="7">
        <f t="shared" si="20"/>
        <v>0</v>
      </c>
      <c r="S50" s="3"/>
      <c r="T50" s="8">
        <v>10</v>
      </c>
      <c r="U50" s="3"/>
      <c r="V50" s="7">
        <f t="shared" si="21"/>
        <v>0</v>
      </c>
      <c r="W50" s="3"/>
      <c r="X50" s="8">
        <f t="shared" si="22"/>
        <v>-4.78</v>
      </c>
      <c r="Y50" s="3"/>
      <c r="Z50" s="7">
        <f t="shared" si="23"/>
        <v>-0.47800000000000004</v>
      </c>
    </row>
    <row r="51" spans="1:26" s="27" customFormat="1" outlineLevel="1" collapsed="1" x14ac:dyDescent="0.3">
      <c r="A51" s="28"/>
      <c r="B51" s="14" t="str">
        <f>CONCATENATE("     ","Repair and Maintenance                            ")</f>
        <v xml:space="preserve">     Repair and Maintenance                            </v>
      </c>
      <c r="C51" s="14"/>
      <c r="D51" s="1">
        <f>SUM(OSRRefD22_7x_0)</f>
        <v>0</v>
      </c>
      <c r="E51" s="1"/>
      <c r="F51" s="5">
        <f t="shared" si="16"/>
        <v>0</v>
      </c>
      <c r="G51" s="1"/>
      <c r="H51" s="1">
        <f>SUM(OSRRefH22_7x_0)</f>
        <v>100</v>
      </c>
      <c r="I51" s="1"/>
      <c r="J51" s="5">
        <f t="shared" si="17"/>
        <v>0</v>
      </c>
      <c r="K51" s="1"/>
      <c r="L51" s="1">
        <f t="shared" si="18"/>
        <v>-100</v>
      </c>
      <c r="M51" s="1"/>
      <c r="N51" s="5">
        <f t="shared" si="19"/>
        <v>-1</v>
      </c>
      <c r="O51" s="14"/>
      <c r="P51" s="1">
        <f>SUM(OSRRefP22_7x_0)</f>
        <v>0</v>
      </c>
      <c r="Q51" s="1"/>
      <c r="R51" s="5">
        <f t="shared" si="20"/>
        <v>0</v>
      </c>
      <c r="S51" s="1"/>
      <c r="T51" s="1">
        <f>SUM(OSRRefT22_7x_0)</f>
        <v>100</v>
      </c>
      <c r="U51" s="1"/>
      <c r="V51" s="5">
        <f t="shared" si="21"/>
        <v>0</v>
      </c>
      <c r="W51" s="1"/>
      <c r="X51" s="1">
        <f t="shared" si="22"/>
        <v>-100</v>
      </c>
      <c r="Y51" s="1"/>
      <c r="Z51" s="5">
        <f t="shared" si="23"/>
        <v>-1</v>
      </c>
    </row>
    <row r="52" spans="1:26" s="24" customFormat="1" hidden="1" outlineLevel="2" x14ac:dyDescent="0.3">
      <c r="A52" s="29"/>
      <c r="B52" s="11" t="str">
        <f>CONCATENATE("          ", "6371", " - ", "COMPUTER SOFTWARE MAINTENANCE")</f>
        <v xml:space="preserve">          6371 - COMPUTER SOFTWARE MAINTENANCE</v>
      </c>
      <c r="C52" s="11"/>
      <c r="D52" s="8"/>
      <c r="E52" s="3"/>
      <c r="F52" s="7">
        <f t="shared" si="16"/>
        <v>0</v>
      </c>
      <c r="G52" s="3"/>
      <c r="H52" s="8">
        <v>0</v>
      </c>
      <c r="I52" s="3"/>
      <c r="J52" s="7">
        <f t="shared" si="17"/>
        <v>0</v>
      </c>
      <c r="K52" s="3"/>
      <c r="L52" s="8">
        <f t="shared" si="18"/>
        <v>0</v>
      </c>
      <c r="M52" s="3"/>
      <c r="N52" s="7">
        <f t="shared" si="19"/>
        <v>0</v>
      </c>
      <c r="O52" s="11"/>
      <c r="P52" s="8"/>
      <c r="Q52" s="3"/>
      <c r="R52" s="7">
        <f t="shared" si="20"/>
        <v>0</v>
      </c>
      <c r="S52" s="3"/>
      <c r="T52" s="8">
        <v>0</v>
      </c>
      <c r="U52" s="3"/>
      <c r="V52" s="7">
        <f t="shared" si="21"/>
        <v>0</v>
      </c>
      <c r="W52" s="3"/>
      <c r="X52" s="8">
        <f t="shared" si="22"/>
        <v>0</v>
      </c>
      <c r="Y52" s="3"/>
      <c r="Z52" s="7">
        <f t="shared" si="23"/>
        <v>0</v>
      </c>
    </row>
    <row r="53" spans="1:26" s="24" customFormat="1" hidden="1" outlineLevel="2" x14ac:dyDescent="0.3">
      <c r="A53" s="29"/>
      <c r="B53" s="11" t="str">
        <f>CONCATENATE("          ", "6375", " - ", "OUTSIDE REPAIRS &amp; MAINTENANCE")</f>
        <v xml:space="preserve">          6375 - OUTSIDE REPAIRS &amp; MAINTENANCE</v>
      </c>
      <c r="C53" s="11"/>
      <c r="D53" s="8"/>
      <c r="E53" s="3"/>
      <c r="F53" s="7">
        <f t="shared" si="16"/>
        <v>0</v>
      </c>
      <c r="G53" s="3"/>
      <c r="H53" s="8">
        <v>100</v>
      </c>
      <c r="I53" s="3"/>
      <c r="J53" s="7">
        <f t="shared" si="17"/>
        <v>0</v>
      </c>
      <c r="K53" s="3"/>
      <c r="L53" s="8">
        <f t="shared" si="18"/>
        <v>-100</v>
      </c>
      <c r="M53" s="3"/>
      <c r="N53" s="7">
        <f t="shared" si="19"/>
        <v>-1</v>
      </c>
      <c r="O53" s="11"/>
      <c r="P53" s="8"/>
      <c r="Q53" s="3"/>
      <c r="R53" s="7">
        <f t="shared" si="20"/>
        <v>0</v>
      </c>
      <c r="S53" s="3"/>
      <c r="T53" s="8">
        <v>100</v>
      </c>
      <c r="U53" s="3"/>
      <c r="V53" s="7">
        <f t="shared" si="21"/>
        <v>0</v>
      </c>
      <c r="W53" s="3"/>
      <c r="X53" s="8">
        <f t="shared" si="22"/>
        <v>-100</v>
      </c>
      <c r="Y53" s="3"/>
      <c r="Z53" s="7">
        <f t="shared" si="23"/>
        <v>-1</v>
      </c>
    </row>
    <row r="54" spans="1:26" s="27" customFormat="1" outlineLevel="1" collapsed="1" x14ac:dyDescent="0.3">
      <c r="A54" s="28"/>
      <c r="B54" s="14" t="str">
        <f>CONCATENATE("     ","Services                                          ")</f>
        <v xml:space="preserve">     Services                                          </v>
      </c>
      <c r="C54" s="14"/>
      <c r="D54" s="1">
        <f>SUM(OSRRefD22_8x_0)</f>
        <v>2419.64</v>
      </c>
      <c r="E54" s="1"/>
      <c r="F54" s="5">
        <f t="shared" ref="F54:F57" si="24">IF(D$12=0,0,D54/D$12)</f>
        <v>0</v>
      </c>
      <c r="G54" s="1"/>
      <c r="H54" s="1">
        <f>SUM(OSRRefH22_8x_0)</f>
        <v>5372</v>
      </c>
      <c r="I54" s="1"/>
      <c r="J54" s="5">
        <f t="shared" ref="J54:J57" si="25">IF(H$12=0,0,H54/H$12)</f>
        <v>0</v>
      </c>
      <c r="K54" s="1"/>
      <c r="L54" s="1">
        <f t="shared" ref="L54:L57" si="26">+D54-H54</f>
        <v>-2952.36</v>
      </c>
      <c r="M54" s="1"/>
      <c r="N54" s="5">
        <f t="shared" ref="N54:N57" si="27">IF(H54=0,0,L54/H54)</f>
        <v>-0.54958302308265083</v>
      </c>
      <c r="O54" s="14"/>
      <c r="P54" s="1">
        <f>SUM(OSRRefP22_8x_0)</f>
        <v>2419.64</v>
      </c>
      <c r="Q54" s="1"/>
      <c r="R54" s="5">
        <f t="shared" ref="R54:R57" si="28">IF(P$12=0,0,P54/P$12)</f>
        <v>0</v>
      </c>
      <c r="S54" s="1"/>
      <c r="T54" s="1">
        <f>SUM(OSRRefT22_8x_0)</f>
        <v>5372</v>
      </c>
      <c r="U54" s="1"/>
      <c r="V54" s="5">
        <f t="shared" ref="V54:V57" si="29">IF(T$12=0,0,T54/T$12)</f>
        <v>0</v>
      </c>
      <c r="W54" s="1"/>
      <c r="X54" s="1">
        <f t="shared" ref="X54:X57" si="30">+P54-T54</f>
        <v>-2952.36</v>
      </c>
      <c r="Y54" s="1"/>
      <c r="Z54" s="5">
        <f t="shared" ref="Z54:Z57" si="31">IF(T54=0,0,X54/T54)</f>
        <v>-0.54958302308265083</v>
      </c>
    </row>
    <row r="55" spans="1:26" s="24" customFormat="1" hidden="1" outlineLevel="2" x14ac:dyDescent="0.3">
      <c r="A55" s="29"/>
      <c r="B55" s="11" t="str">
        <f>CONCATENATE("          ", "6282", " - ", "JANITORIAL/EXTERMINATOR EXPENS")</f>
        <v xml:space="preserve">          6282 - JANITORIAL/EXTERMINATOR EXPENS</v>
      </c>
      <c r="C55" s="11"/>
      <c r="D55" s="8">
        <v>669.64</v>
      </c>
      <c r="E55" s="3"/>
      <c r="F55" s="7">
        <f t="shared" si="24"/>
        <v>0</v>
      </c>
      <c r="G55" s="3"/>
      <c r="H55" s="8">
        <v>670</v>
      </c>
      <c r="I55" s="3"/>
      <c r="J55" s="7">
        <f t="shared" si="25"/>
        <v>0</v>
      </c>
      <c r="K55" s="3"/>
      <c r="L55" s="8">
        <f t="shared" si="26"/>
        <v>-0.36000000000001364</v>
      </c>
      <c r="M55" s="3"/>
      <c r="N55" s="7">
        <f t="shared" si="27"/>
        <v>-5.3731343283584126E-4</v>
      </c>
      <c r="O55" s="11"/>
      <c r="P55" s="8">
        <v>669.64</v>
      </c>
      <c r="Q55" s="3"/>
      <c r="R55" s="7">
        <f t="shared" si="28"/>
        <v>0</v>
      </c>
      <c r="S55" s="3"/>
      <c r="T55" s="8">
        <v>670</v>
      </c>
      <c r="U55" s="3"/>
      <c r="V55" s="7">
        <f t="shared" si="29"/>
        <v>0</v>
      </c>
      <c r="W55" s="3"/>
      <c r="X55" s="8">
        <f t="shared" si="30"/>
        <v>-0.36000000000001364</v>
      </c>
      <c r="Y55" s="3"/>
      <c r="Z55" s="7">
        <f t="shared" si="31"/>
        <v>-5.3731343283584126E-4</v>
      </c>
    </row>
    <row r="56" spans="1:26" s="24" customFormat="1" hidden="1" outlineLevel="2" x14ac:dyDescent="0.3">
      <c r="A56" s="29"/>
      <c r="B56" s="11" t="str">
        <f>CONCATENATE("          ", "6284", " - ", "TRASH REMOVAL EXPENSE")</f>
        <v xml:space="preserve">          6284 - TRASH REMOVAL EXPENSE</v>
      </c>
      <c r="C56" s="11"/>
      <c r="D56" s="8"/>
      <c r="E56" s="3"/>
      <c r="F56" s="7">
        <f t="shared" si="24"/>
        <v>0</v>
      </c>
      <c r="G56" s="3"/>
      <c r="H56" s="8">
        <v>50</v>
      </c>
      <c r="I56" s="3"/>
      <c r="J56" s="7">
        <f t="shared" si="25"/>
        <v>0</v>
      </c>
      <c r="K56" s="3"/>
      <c r="L56" s="8">
        <f t="shared" si="26"/>
        <v>-50</v>
      </c>
      <c r="M56" s="3"/>
      <c r="N56" s="7">
        <f t="shared" si="27"/>
        <v>-1</v>
      </c>
      <c r="O56" s="11"/>
      <c r="P56" s="8"/>
      <c r="Q56" s="3"/>
      <c r="R56" s="7">
        <f t="shared" si="28"/>
        <v>0</v>
      </c>
      <c r="S56" s="3"/>
      <c r="T56" s="8">
        <v>50</v>
      </c>
      <c r="U56" s="3"/>
      <c r="V56" s="7">
        <f t="shared" si="29"/>
        <v>0</v>
      </c>
      <c r="W56" s="3"/>
      <c r="X56" s="8">
        <f t="shared" si="30"/>
        <v>-50</v>
      </c>
      <c r="Y56" s="3"/>
      <c r="Z56" s="7">
        <f t="shared" si="31"/>
        <v>-1</v>
      </c>
    </row>
    <row r="57" spans="1:26" s="24" customFormat="1" hidden="1" outlineLevel="2" x14ac:dyDescent="0.3">
      <c r="A57" s="29"/>
      <c r="B57" s="11" t="str">
        <f>CONCATENATE("          ", "6285", " - ", "JANITORIAL SERVICES")</f>
        <v xml:space="preserve">          6285 - JANITORIAL SERVICES</v>
      </c>
      <c r="C57" s="11"/>
      <c r="D57" s="8">
        <v>1750</v>
      </c>
      <c r="E57" s="3"/>
      <c r="F57" s="7">
        <f t="shared" si="24"/>
        <v>0</v>
      </c>
      <c r="G57" s="3"/>
      <c r="H57" s="8">
        <v>4652</v>
      </c>
      <c r="I57" s="3"/>
      <c r="J57" s="7">
        <f t="shared" si="25"/>
        <v>0</v>
      </c>
      <c r="K57" s="3"/>
      <c r="L57" s="8">
        <f t="shared" si="26"/>
        <v>-2902</v>
      </c>
      <c r="M57" s="3"/>
      <c r="N57" s="7">
        <f t="shared" si="27"/>
        <v>-0.62381771281169385</v>
      </c>
      <c r="O57" s="11"/>
      <c r="P57" s="8">
        <v>1750</v>
      </c>
      <c r="Q57" s="3"/>
      <c r="R57" s="7">
        <f t="shared" si="28"/>
        <v>0</v>
      </c>
      <c r="S57" s="3"/>
      <c r="T57" s="8">
        <v>4652</v>
      </c>
      <c r="U57" s="3"/>
      <c r="V57" s="7">
        <f t="shared" si="29"/>
        <v>0</v>
      </c>
      <c r="W57" s="3"/>
      <c r="X57" s="8">
        <f t="shared" si="30"/>
        <v>-2902</v>
      </c>
      <c r="Y57" s="3"/>
      <c r="Z57" s="7">
        <f t="shared" si="31"/>
        <v>-0.62381771281169385</v>
      </c>
    </row>
    <row r="58" spans="1:26" s="27" customFormat="1" outlineLevel="1" collapsed="1" x14ac:dyDescent="0.3">
      <c r="A58" s="28"/>
      <c r="B58" s="14" t="str">
        <f>CONCATENATE("     ","Supplies                                          ")</f>
        <v xml:space="preserve">     Supplies                                          </v>
      </c>
      <c r="C58" s="14"/>
      <c r="D58" s="1">
        <f>SUM(OSRRefD22_9x_0)</f>
        <v>4.5</v>
      </c>
      <c r="E58" s="1"/>
      <c r="F58" s="5">
        <f t="shared" ref="F58:F64" si="32">IF(D$12=0,0,D58/D$12)</f>
        <v>0</v>
      </c>
      <c r="G58" s="1"/>
      <c r="H58" s="1">
        <f>SUM(OSRRefH22_9x_0)</f>
        <v>6446</v>
      </c>
      <c r="I58" s="1"/>
      <c r="J58" s="5">
        <f t="shared" ref="J58:J64" si="33">IF(H$12=0,0,H58/H$12)</f>
        <v>0</v>
      </c>
      <c r="K58" s="1"/>
      <c r="L58" s="1">
        <f t="shared" ref="L58:L64" si="34">+D58-H58</f>
        <v>-6441.5</v>
      </c>
      <c r="M58" s="1"/>
      <c r="N58" s="5">
        <f t="shared" ref="N58:N64" si="35">IF(H58=0,0,L58/H58)</f>
        <v>-0.99930189264660252</v>
      </c>
      <c r="O58" s="14"/>
      <c r="P58" s="1">
        <f>SUM(OSRRefP22_9x_0)</f>
        <v>4.5</v>
      </c>
      <c r="Q58" s="1"/>
      <c r="R58" s="5">
        <f t="shared" ref="R58:R64" si="36">IF(P$12=0,0,P58/P$12)</f>
        <v>0</v>
      </c>
      <c r="S58" s="1"/>
      <c r="T58" s="1">
        <f>SUM(OSRRefT22_9x_0)</f>
        <v>6446</v>
      </c>
      <c r="U58" s="1"/>
      <c r="V58" s="5">
        <f t="shared" ref="V58:V64" si="37">IF(T$12=0,0,T58/T$12)</f>
        <v>0</v>
      </c>
      <c r="W58" s="1"/>
      <c r="X58" s="1">
        <f t="shared" ref="X58:X64" si="38">+P58-T58</f>
        <v>-6441.5</v>
      </c>
      <c r="Y58" s="1"/>
      <c r="Z58" s="5">
        <f t="shared" ref="Z58:Z64" si="39">IF(T58=0,0,X58/T58)</f>
        <v>-0.99930189264660252</v>
      </c>
    </row>
    <row r="59" spans="1:26" s="24" customFormat="1" hidden="1" outlineLevel="2" x14ac:dyDescent="0.3">
      <c r="A59" s="29"/>
      <c r="B59" s="11" t="str">
        <f>CONCATENATE("          ", "6237", " - ", "JANITORIAL SUPPLIES")</f>
        <v xml:space="preserve">          6237 - JANITORIAL SUPPLIES</v>
      </c>
      <c r="C59" s="11"/>
      <c r="D59" s="8"/>
      <c r="E59" s="3"/>
      <c r="F59" s="7">
        <f t="shared" si="32"/>
        <v>0</v>
      </c>
      <c r="G59" s="3"/>
      <c r="H59" s="8">
        <v>3000</v>
      </c>
      <c r="I59" s="3"/>
      <c r="J59" s="7">
        <f t="shared" si="33"/>
        <v>0</v>
      </c>
      <c r="K59" s="3"/>
      <c r="L59" s="8">
        <f t="shared" si="34"/>
        <v>-3000</v>
      </c>
      <c r="M59" s="3"/>
      <c r="N59" s="7">
        <f t="shared" si="35"/>
        <v>-1</v>
      </c>
      <c r="O59" s="11"/>
      <c r="P59" s="8"/>
      <c r="Q59" s="3"/>
      <c r="R59" s="7">
        <f t="shared" si="36"/>
        <v>0</v>
      </c>
      <c r="S59" s="3"/>
      <c r="T59" s="8">
        <v>3000</v>
      </c>
      <c r="U59" s="3"/>
      <c r="V59" s="7">
        <f t="shared" si="37"/>
        <v>0</v>
      </c>
      <c r="W59" s="3"/>
      <c r="X59" s="8">
        <f t="shared" si="38"/>
        <v>-3000</v>
      </c>
      <c r="Y59" s="3"/>
      <c r="Z59" s="7">
        <f t="shared" si="39"/>
        <v>-1</v>
      </c>
    </row>
    <row r="60" spans="1:26" s="24" customFormat="1" hidden="1" outlineLevel="2" x14ac:dyDescent="0.3">
      <c r="A60" s="29"/>
      <c r="B60" s="11" t="str">
        <f>CONCATENATE("          ", "6239", " - ", "KITCHEN SUPPLIES")</f>
        <v xml:space="preserve">          6239 - KITCHEN SUPPLIES</v>
      </c>
      <c r="C60" s="11"/>
      <c r="D60" s="8"/>
      <c r="E60" s="3"/>
      <c r="F60" s="7">
        <f t="shared" si="32"/>
        <v>0</v>
      </c>
      <c r="G60" s="3"/>
      <c r="H60" s="8">
        <v>3000</v>
      </c>
      <c r="I60" s="3"/>
      <c r="J60" s="7">
        <f t="shared" si="33"/>
        <v>0</v>
      </c>
      <c r="K60" s="3"/>
      <c r="L60" s="8">
        <f t="shared" si="34"/>
        <v>-3000</v>
      </c>
      <c r="M60" s="3"/>
      <c r="N60" s="7">
        <f t="shared" si="35"/>
        <v>-1</v>
      </c>
      <c r="O60" s="11"/>
      <c r="P60" s="8"/>
      <c r="Q60" s="3"/>
      <c r="R60" s="7">
        <f t="shared" si="36"/>
        <v>0</v>
      </c>
      <c r="S60" s="3"/>
      <c r="T60" s="8">
        <v>3000</v>
      </c>
      <c r="U60" s="3"/>
      <c r="V60" s="7">
        <f t="shared" si="37"/>
        <v>0</v>
      </c>
      <c r="W60" s="3"/>
      <c r="X60" s="8">
        <f t="shared" si="38"/>
        <v>-3000</v>
      </c>
      <c r="Y60" s="3"/>
      <c r="Z60" s="7">
        <f t="shared" si="39"/>
        <v>-1</v>
      </c>
    </row>
    <row r="61" spans="1:26" s="24" customFormat="1" hidden="1" outlineLevel="2" x14ac:dyDescent="0.3">
      <c r="A61" s="29"/>
      <c r="B61" s="11" t="str">
        <f>CONCATENATE("          ", "6241", " - ", "OFFICE EXPENSE")</f>
        <v xml:space="preserve">          6241 - OFFICE EXPENSE</v>
      </c>
      <c r="C61" s="11"/>
      <c r="D61" s="8">
        <v>4.5</v>
      </c>
      <c r="E61" s="3"/>
      <c r="F61" s="7">
        <f t="shared" si="32"/>
        <v>0</v>
      </c>
      <c r="G61" s="3"/>
      <c r="H61" s="8">
        <v>125</v>
      </c>
      <c r="I61" s="3"/>
      <c r="J61" s="7">
        <f t="shared" si="33"/>
        <v>0</v>
      </c>
      <c r="K61" s="3"/>
      <c r="L61" s="8">
        <f t="shared" si="34"/>
        <v>-120.5</v>
      </c>
      <c r="M61" s="3"/>
      <c r="N61" s="7">
        <f t="shared" si="35"/>
        <v>-0.96399999999999997</v>
      </c>
      <c r="O61" s="11"/>
      <c r="P61" s="8">
        <v>4.5</v>
      </c>
      <c r="Q61" s="3"/>
      <c r="R61" s="7">
        <f t="shared" si="36"/>
        <v>0</v>
      </c>
      <c r="S61" s="3"/>
      <c r="T61" s="8">
        <v>125</v>
      </c>
      <c r="U61" s="3"/>
      <c r="V61" s="7">
        <f t="shared" si="37"/>
        <v>0</v>
      </c>
      <c r="W61" s="3"/>
      <c r="X61" s="8">
        <f t="shared" si="38"/>
        <v>-120.5</v>
      </c>
      <c r="Y61" s="3"/>
      <c r="Z61" s="7">
        <f t="shared" si="39"/>
        <v>-0.96399999999999997</v>
      </c>
    </row>
    <row r="62" spans="1:26" s="24" customFormat="1" hidden="1" outlineLevel="2" x14ac:dyDescent="0.3">
      <c r="A62" s="29"/>
      <c r="B62" s="11" t="str">
        <f>CONCATENATE("          ", "6243", " - ", "PAPER SUPPLIES")</f>
        <v xml:space="preserve">          6243 - PAPER SUPPLIES</v>
      </c>
      <c r="C62" s="11"/>
      <c r="D62" s="8"/>
      <c r="E62" s="3"/>
      <c r="F62" s="7">
        <f t="shared" si="32"/>
        <v>0</v>
      </c>
      <c r="G62" s="3"/>
      <c r="H62" s="8">
        <v>0</v>
      </c>
      <c r="I62" s="3"/>
      <c r="J62" s="7">
        <f t="shared" si="33"/>
        <v>0</v>
      </c>
      <c r="K62" s="3"/>
      <c r="L62" s="8">
        <f t="shared" si="34"/>
        <v>0</v>
      </c>
      <c r="M62" s="3"/>
      <c r="N62" s="7">
        <f t="shared" si="35"/>
        <v>0</v>
      </c>
      <c r="O62" s="11"/>
      <c r="P62" s="8"/>
      <c r="Q62" s="3"/>
      <c r="R62" s="7">
        <f t="shared" si="36"/>
        <v>0</v>
      </c>
      <c r="S62" s="3"/>
      <c r="T62" s="8">
        <v>0</v>
      </c>
      <c r="U62" s="3"/>
      <c r="V62" s="7">
        <f t="shared" si="37"/>
        <v>0</v>
      </c>
      <c r="W62" s="3"/>
      <c r="X62" s="8">
        <f t="shared" si="38"/>
        <v>0</v>
      </c>
      <c r="Y62" s="3"/>
      <c r="Z62" s="7">
        <f t="shared" si="39"/>
        <v>0</v>
      </c>
    </row>
    <row r="63" spans="1:26" s="24" customFormat="1" hidden="1" outlineLevel="2" x14ac:dyDescent="0.3">
      <c r="A63" s="29"/>
      <c r="B63" s="11" t="str">
        <f>CONCATENATE("          ", "6244", " - ", "SAFETY SUPPLY EXPENSE")</f>
        <v xml:space="preserve">          6244 - SAFETY SUPPLY EXPENSE</v>
      </c>
      <c r="C63" s="11"/>
      <c r="D63" s="8"/>
      <c r="E63" s="3"/>
      <c r="F63" s="7">
        <f t="shared" si="32"/>
        <v>0</v>
      </c>
      <c r="G63" s="3"/>
      <c r="H63" s="8">
        <v>125</v>
      </c>
      <c r="I63" s="3"/>
      <c r="J63" s="7">
        <f t="shared" si="33"/>
        <v>0</v>
      </c>
      <c r="K63" s="3"/>
      <c r="L63" s="8">
        <f t="shared" si="34"/>
        <v>-125</v>
      </c>
      <c r="M63" s="3"/>
      <c r="N63" s="7">
        <f t="shared" si="35"/>
        <v>-1</v>
      </c>
      <c r="O63" s="11"/>
      <c r="P63" s="8"/>
      <c r="Q63" s="3"/>
      <c r="R63" s="7">
        <f t="shared" si="36"/>
        <v>0</v>
      </c>
      <c r="S63" s="3"/>
      <c r="T63" s="8">
        <v>125</v>
      </c>
      <c r="U63" s="3"/>
      <c r="V63" s="7">
        <f t="shared" si="37"/>
        <v>0</v>
      </c>
      <c r="W63" s="3"/>
      <c r="X63" s="8">
        <f t="shared" si="38"/>
        <v>-125</v>
      </c>
      <c r="Y63" s="3"/>
      <c r="Z63" s="7">
        <f t="shared" si="39"/>
        <v>-1</v>
      </c>
    </row>
    <row r="64" spans="1:26" s="24" customFormat="1" hidden="1" outlineLevel="2" x14ac:dyDescent="0.3">
      <c r="A64" s="29"/>
      <c r="B64" s="11" t="str">
        <f>CONCATENATE("          ", "6248", " - ", "UNIFORMS")</f>
        <v xml:space="preserve">          6248 - UNIFORMS</v>
      </c>
      <c r="C64" s="11"/>
      <c r="D64" s="8"/>
      <c r="E64" s="3"/>
      <c r="F64" s="7">
        <f t="shared" si="32"/>
        <v>0</v>
      </c>
      <c r="G64" s="3"/>
      <c r="H64" s="8">
        <v>196</v>
      </c>
      <c r="I64" s="3"/>
      <c r="J64" s="7">
        <f t="shared" si="33"/>
        <v>0</v>
      </c>
      <c r="K64" s="3"/>
      <c r="L64" s="8">
        <f t="shared" si="34"/>
        <v>-196</v>
      </c>
      <c r="M64" s="3"/>
      <c r="N64" s="7">
        <f t="shared" si="35"/>
        <v>-1</v>
      </c>
      <c r="O64" s="11"/>
      <c r="P64" s="8"/>
      <c r="Q64" s="3"/>
      <c r="R64" s="7">
        <f t="shared" si="36"/>
        <v>0</v>
      </c>
      <c r="S64" s="3"/>
      <c r="T64" s="8">
        <v>196</v>
      </c>
      <c r="U64" s="3"/>
      <c r="V64" s="7">
        <f t="shared" si="37"/>
        <v>0</v>
      </c>
      <c r="W64" s="3"/>
      <c r="X64" s="8">
        <f t="shared" si="38"/>
        <v>-196</v>
      </c>
      <c r="Y64" s="3"/>
      <c r="Z64" s="7">
        <f t="shared" si="39"/>
        <v>-1</v>
      </c>
    </row>
    <row r="65" spans="1:26" s="27" customFormat="1" outlineLevel="1" collapsed="1" x14ac:dyDescent="0.3">
      <c r="A65" s="28"/>
      <c r="B65" s="14" t="str">
        <f>CONCATENATE("     ","Telephone/Data Lines                              ")</f>
        <v xml:space="preserve">     Telephone/Data Lines                              </v>
      </c>
      <c r="C65" s="14"/>
      <c r="D65" s="1">
        <f>SUM(OSRRefD22_10x_0)</f>
        <v>60</v>
      </c>
      <c r="E65" s="1"/>
      <c r="F65" s="5">
        <f t="shared" ref="F65:F68" si="40">IF(D$12=0,0,D65/D$12)</f>
        <v>0</v>
      </c>
      <c r="G65" s="1"/>
      <c r="H65" s="1">
        <f>SUM(OSRRefH22_10x_0)</f>
        <v>125</v>
      </c>
      <c r="I65" s="1"/>
      <c r="J65" s="5">
        <f t="shared" ref="J65:J68" si="41">IF(H$12=0,0,H65/H$12)</f>
        <v>0</v>
      </c>
      <c r="K65" s="1"/>
      <c r="L65" s="1">
        <f t="shared" ref="L65:L68" si="42">+D65-H65</f>
        <v>-65</v>
      </c>
      <c r="M65" s="1"/>
      <c r="N65" s="5">
        <f t="shared" ref="N65:N68" si="43">IF(H65=0,0,L65/H65)</f>
        <v>-0.52</v>
      </c>
      <c r="O65" s="14"/>
      <c r="P65" s="1">
        <f>SUM(OSRRefP22_10x_0)</f>
        <v>60</v>
      </c>
      <c r="Q65" s="1"/>
      <c r="R65" s="5">
        <f t="shared" ref="R65:R68" si="44">IF(P$12=0,0,P65/P$12)</f>
        <v>0</v>
      </c>
      <c r="S65" s="1"/>
      <c r="T65" s="1">
        <f>SUM(OSRRefT22_10x_0)</f>
        <v>125</v>
      </c>
      <c r="U65" s="1"/>
      <c r="V65" s="5">
        <f t="shared" ref="V65:V68" si="45">IF(T$12=0,0,T65/T$12)</f>
        <v>0</v>
      </c>
      <c r="W65" s="1"/>
      <c r="X65" s="1">
        <f t="shared" ref="X65:X68" si="46">+P65-T65</f>
        <v>-65</v>
      </c>
      <c r="Y65" s="1"/>
      <c r="Z65" s="5">
        <f t="shared" ref="Z65:Z68" si="47">IF(T65=0,0,X65/T65)</f>
        <v>-0.52</v>
      </c>
    </row>
    <row r="66" spans="1:26" s="24" customFormat="1" hidden="1" outlineLevel="2" x14ac:dyDescent="0.3">
      <c r="A66" s="29"/>
      <c r="B66" s="11" t="str">
        <f>CONCATENATE("          ", "6309", " - ", "TELEPHONE")</f>
        <v xml:space="preserve">          6309 - TELEPHONE</v>
      </c>
      <c r="C66" s="11"/>
      <c r="D66" s="8">
        <v>60</v>
      </c>
      <c r="E66" s="3"/>
      <c r="F66" s="7">
        <f t="shared" si="40"/>
        <v>0</v>
      </c>
      <c r="G66" s="3"/>
      <c r="H66" s="8">
        <v>125</v>
      </c>
      <c r="I66" s="3"/>
      <c r="J66" s="7">
        <f t="shared" si="41"/>
        <v>0</v>
      </c>
      <c r="K66" s="3"/>
      <c r="L66" s="8">
        <f t="shared" si="42"/>
        <v>-65</v>
      </c>
      <c r="M66" s="3"/>
      <c r="N66" s="7">
        <f t="shared" si="43"/>
        <v>-0.52</v>
      </c>
      <c r="O66" s="11"/>
      <c r="P66" s="8">
        <v>60</v>
      </c>
      <c r="Q66" s="3"/>
      <c r="R66" s="7">
        <f t="shared" si="44"/>
        <v>0</v>
      </c>
      <c r="S66" s="3"/>
      <c r="T66" s="8">
        <v>125</v>
      </c>
      <c r="U66" s="3"/>
      <c r="V66" s="7">
        <f t="shared" si="45"/>
        <v>0</v>
      </c>
      <c r="W66" s="3"/>
      <c r="X66" s="8">
        <f t="shared" si="46"/>
        <v>-65</v>
      </c>
      <c r="Y66" s="3"/>
      <c r="Z66" s="7">
        <f t="shared" si="47"/>
        <v>-0.52</v>
      </c>
    </row>
    <row r="67" spans="1:26" s="27" customFormat="1" outlineLevel="1" collapsed="1" x14ac:dyDescent="0.3">
      <c r="A67" s="28"/>
      <c r="B67" s="14" t="str">
        <f>CONCATENATE("     ","Training                                          ")</f>
        <v xml:space="preserve">     Training                                          </v>
      </c>
      <c r="C67" s="14"/>
      <c r="D67" s="1">
        <f>SUM(OSRRefD22_11x_0)</f>
        <v>0</v>
      </c>
      <c r="E67" s="1"/>
      <c r="F67" s="5">
        <f t="shared" si="40"/>
        <v>0</v>
      </c>
      <c r="G67" s="1"/>
      <c r="H67" s="1">
        <f>SUM(OSRRefH22_11x_0)</f>
        <v>165</v>
      </c>
      <c r="I67" s="1"/>
      <c r="J67" s="5">
        <f t="shared" si="41"/>
        <v>0</v>
      </c>
      <c r="K67" s="1"/>
      <c r="L67" s="1">
        <f t="shared" si="42"/>
        <v>-165</v>
      </c>
      <c r="M67" s="1"/>
      <c r="N67" s="5">
        <f t="shared" si="43"/>
        <v>-1</v>
      </c>
      <c r="O67" s="14"/>
      <c r="P67" s="1">
        <f>SUM(OSRRefP22_11x_0)</f>
        <v>0</v>
      </c>
      <c r="Q67" s="1"/>
      <c r="R67" s="5">
        <f t="shared" si="44"/>
        <v>0</v>
      </c>
      <c r="S67" s="1"/>
      <c r="T67" s="1">
        <f>SUM(OSRRefT22_11x_0)</f>
        <v>165</v>
      </c>
      <c r="U67" s="1"/>
      <c r="V67" s="5">
        <f t="shared" si="45"/>
        <v>0</v>
      </c>
      <c r="W67" s="1"/>
      <c r="X67" s="1">
        <f t="shared" si="46"/>
        <v>-165</v>
      </c>
      <c r="Y67" s="1"/>
      <c r="Z67" s="5">
        <f t="shared" si="47"/>
        <v>-1</v>
      </c>
    </row>
    <row r="68" spans="1:26" s="24" customFormat="1" hidden="1" outlineLevel="2" x14ac:dyDescent="0.3">
      <c r="A68" s="29"/>
      <c r="B68" s="11" t="str">
        <f>CONCATENATE("          ", "6376", " - ", "TRAINING")</f>
        <v xml:space="preserve">          6376 - TRAINING</v>
      </c>
      <c r="C68" s="11"/>
      <c r="D68" s="8"/>
      <c r="E68" s="3"/>
      <c r="F68" s="7">
        <f t="shared" si="40"/>
        <v>0</v>
      </c>
      <c r="G68" s="3"/>
      <c r="H68" s="8">
        <v>165</v>
      </c>
      <c r="I68" s="3"/>
      <c r="J68" s="7">
        <f t="shared" si="41"/>
        <v>0</v>
      </c>
      <c r="K68" s="3"/>
      <c r="L68" s="8">
        <f t="shared" si="42"/>
        <v>-165</v>
      </c>
      <c r="M68" s="3"/>
      <c r="N68" s="7">
        <f t="shared" si="43"/>
        <v>-1</v>
      </c>
      <c r="O68" s="11"/>
      <c r="P68" s="8"/>
      <c r="Q68" s="3"/>
      <c r="R68" s="7">
        <f t="shared" si="44"/>
        <v>0</v>
      </c>
      <c r="S68" s="3"/>
      <c r="T68" s="8">
        <v>165</v>
      </c>
      <c r="U68" s="3"/>
      <c r="V68" s="7">
        <f t="shared" si="45"/>
        <v>0</v>
      </c>
      <c r="W68" s="3"/>
      <c r="X68" s="8">
        <f t="shared" si="46"/>
        <v>-165</v>
      </c>
      <c r="Y68" s="3"/>
      <c r="Z68" s="7">
        <f t="shared" si="47"/>
        <v>-1</v>
      </c>
    </row>
    <row r="69" spans="1:26" s="62" customFormat="1" x14ac:dyDescent="0.3">
      <c r="A69" s="36"/>
      <c r="B69" s="36"/>
      <c r="C69" s="36"/>
      <c r="D69" s="1"/>
      <c r="E69" s="1"/>
      <c r="F69" s="5"/>
      <c r="G69" s="1"/>
      <c r="H69" s="1"/>
      <c r="I69" s="1"/>
      <c r="J69" s="5"/>
      <c r="K69" s="1"/>
      <c r="L69" s="1"/>
      <c r="M69" s="1"/>
      <c r="N69" s="5"/>
      <c r="O69" s="36"/>
      <c r="P69" s="1"/>
      <c r="Q69" s="1"/>
      <c r="R69" s="5"/>
      <c r="S69" s="1"/>
      <c r="T69" s="1"/>
      <c r="U69" s="1"/>
      <c r="V69" s="5"/>
      <c r="W69" s="1"/>
      <c r="X69" s="1"/>
      <c r="Y69" s="1"/>
      <c r="Z69" s="5"/>
    </row>
    <row r="70" spans="1:26" s="23" customFormat="1" x14ac:dyDescent="0.3">
      <c r="A70" s="10"/>
      <c r="B70" s="25" t="s">
        <v>293</v>
      </c>
      <c r="C70" s="10"/>
      <c r="D70" s="4">
        <f>SUM(0)</f>
        <v>0</v>
      </c>
      <c r="E70" s="4"/>
      <c r="F70" s="12">
        <f>IF(D$12=0,0,D70/D$12)</f>
        <v>0</v>
      </c>
      <c r="G70" s="4"/>
      <c r="H70" s="4">
        <f>SUM(0)</f>
        <v>0</v>
      </c>
      <c r="I70" s="4"/>
      <c r="J70" s="12">
        <f>IF(H$12=0,0,H70/H$12)</f>
        <v>0</v>
      </c>
      <c r="K70" s="4"/>
      <c r="L70" s="4">
        <f>+D70-H70</f>
        <v>0</v>
      </c>
      <c r="M70" s="4"/>
      <c r="N70" s="12">
        <f>IF(H70=0,0,L70/H70)</f>
        <v>0</v>
      </c>
      <c r="O70" s="10"/>
      <c r="P70" s="4">
        <f>SUM(0)</f>
        <v>0</v>
      </c>
      <c r="Q70" s="4"/>
      <c r="R70" s="12">
        <f>IF(P$12=0,0,P70/P$12)</f>
        <v>0</v>
      </c>
      <c r="S70" s="4"/>
      <c r="T70" s="4">
        <f>SUM(0)</f>
        <v>0</v>
      </c>
      <c r="U70" s="4"/>
      <c r="V70" s="12">
        <f>IF(T$12=0,0,T70/T$12)</f>
        <v>0</v>
      </c>
      <c r="W70" s="4"/>
      <c r="X70" s="4">
        <f>+P70-T70</f>
        <v>0</v>
      </c>
      <c r="Y70" s="4"/>
      <c r="Z70" s="12">
        <f>IF(T70=0,0,X70/T70)</f>
        <v>0</v>
      </c>
    </row>
    <row r="71" spans="1:26" x14ac:dyDescent="0.3">
      <c r="A71" s="9"/>
      <c r="B71" s="10"/>
      <c r="C71" s="10"/>
      <c r="D71" s="2"/>
      <c r="E71" s="2"/>
      <c r="F71" s="6"/>
      <c r="G71" s="2"/>
      <c r="H71" s="2"/>
      <c r="I71" s="2"/>
      <c r="J71" s="6"/>
      <c r="K71" s="2"/>
      <c r="L71" s="2"/>
      <c r="M71" s="2"/>
      <c r="N71" s="6"/>
      <c r="O71" s="10"/>
      <c r="P71" s="2"/>
      <c r="Q71" s="2"/>
      <c r="R71" s="6"/>
      <c r="S71" s="2"/>
      <c r="T71" s="2"/>
      <c r="U71" s="2"/>
      <c r="V71" s="6"/>
      <c r="W71" s="2"/>
      <c r="X71" s="2"/>
      <c r="Y71" s="2"/>
      <c r="Z71" s="6"/>
    </row>
    <row r="72" spans="1:26" s="23" customFormat="1" x14ac:dyDescent="0.3">
      <c r="A72" s="10"/>
      <c r="B72" s="26" t="s">
        <v>277</v>
      </c>
      <c r="C72" s="26"/>
      <c r="D72" s="21">
        <f>+D16-D18+D70</f>
        <v>-40764.729999999996</v>
      </c>
      <c r="E72" s="13"/>
      <c r="F72" s="22">
        <f>IF(D$12=0,0,D72/D$12)</f>
        <v>0</v>
      </c>
      <c r="G72" s="13"/>
      <c r="H72" s="21">
        <f>+H16-H18+H70</f>
        <v>-87731.658746153858</v>
      </c>
      <c r="I72" s="13"/>
      <c r="J72" s="22">
        <f>IF(H$12=0,0,H72/H$12)</f>
        <v>0</v>
      </c>
      <c r="K72" s="16"/>
      <c r="L72" s="21">
        <f>+D72-H72</f>
        <v>46966.928746153862</v>
      </c>
      <c r="M72" s="16"/>
      <c r="N72" s="22">
        <f>IF(H72=0,0,L72/H72)</f>
        <v>-0.53534755203990581</v>
      </c>
      <c r="O72" s="25"/>
      <c r="P72" s="21">
        <f>+P16-P18+P70</f>
        <v>-40764.729999999996</v>
      </c>
      <c r="Q72" s="13"/>
      <c r="R72" s="22">
        <f>IF(P$12=0,0,P72/P$12)</f>
        <v>0</v>
      </c>
      <c r="S72" s="13"/>
      <c r="T72" s="21">
        <f>+T16-T18+T70</f>
        <v>-87731.658746153858</v>
      </c>
      <c r="U72" s="13"/>
      <c r="V72" s="22">
        <f>IF(T$12=0,0,T72/T$12)</f>
        <v>0</v>
      </c>
      <c r="W72" s="16"/>
      <c r="X72" s="21">
        <f>+P72-T72</f>
        <v>46966.928746153862</v>
      </c>
      <c r="Y72" s="16"/>
      <c r="Z72" s="22">
        <f>IF(T72=0,0,X72/T72)</f>
        <v>-0.53534755203990581</v>
      </c>
    </row>
    <row r="73" spans="1:26" x14ac:dyDescent="0.3">
      <c r="A73" s="9"/>
      <c r="B73" s="10"/>
      <c r="C73" s="9"/>
      <c r="D73" s="2"/>
      <c r="E73" s="2"/>
      <c r="F73" s="6"/>
      <c r="G73" s="2"/>
      <c r="H73" s="2"/>
      <c r="I73" s="2"/>
      <c r="J73" s="6"/>
      <c r="K73" s="2"/>
      <c r="L73" s="2"/>
      <c r="M73" s="2"/>
      <c r="N73" s="6"/>
      <c r="P73" s="2"/>
      <c r="Q73" s="2"/>
      <c r="R73" s="6"/>
      <c r="S73" s="2"/>
      <c r="T73" s="2"/>
      <c r="U73" s="2"/>
      <c r="V73" s="6"/>
      <c r="W73" s="2"/>
      <c r="X73" s="2"/>
      <c r="Y73" s="2"/>
      <c r="Z73" s="6"/>
    </row>
    <row r="74" spans="1:26" s="23" customFormat="1" x14ac:dyDescent="0.3">
      <c r="A74" s="52"/>
      <c r="B74" s="10" t="s">
        <v>128</v>
      </c>
      <c r="C74" s="10"/>
      <c r="D74" s="4"/>
      <c r="E74" s="4"/>
      <c r="F74" s="12">
        <f>IF(D$12=0,0,D74/D$12)</f>
        <v>0</v>
      </c>
      <c r="G74" s="4"/>
      <c r="H74" s="4">
        <v>0</v>
      </c>
      <c r="I74" s="4"/>
      <c r="J74" s="12">
        <f>IF(H$12=0,0,H74/H$12)</f>
        <v>0</v>
      </c>
      <c r="K74" s="4"/>
      <c r="L74" s="4">
        <f>+D74-H74</f>
        <v>0</v>
      </c>
      <c r="M74" s="4"/>
      <c r="N74" s="12">
        <f>IF(H74=0,0,L74/H74)</f>
        <v>0</v>
      </c>
      <c r="O74" s="10"/>
      <c r="P74" s="4"/>
      <c r="Q74" s="4"/>
      <c r="R74" s="12">
        <f>IF(P$12=0,0,P74/P$12)</f>
        <v>0</v>
      </c>
      <c r="S74" s="4"/>
      <c r="T74" s="4">
        <v>0</v>
      </c>
      <c r="U74" s="4"/>
      <c r="V74" s="12">
        <f>IF(T$12=0,0,T74/T$12)</f>
        <v>0</v>
      </c>
      <c r="W74" s="4"/>
      <c r="X74" s="4">
        <f>+P74-T74</f>
        <v>0</v>
      </c>
      <c r="Y74" s="4"/>
      <c r="Z74" s="12">
        <f>IF(T74=0,0,X74/T74)</f>
        <v>0</v>
      </c>
    </row>
    <row r="75" spans="1:26" x14ac:dyDescent="0.3">
      <c r="A75" s="9"/>
      <c r="B75" s="10"/>
      <c r="C75" s="10"/>
      <c r="D75" s="2"/>
      <c r="E75" s="2"/>
      <c r="F75" s="6"/>
      <c r="G75" s="2"/>
      <c r="H75" s="2"/>
      <c r="I75" s="2"/>
      <c r="J75" s="6"/>
      <c r="K75" s="2"/>
      <c r="L75" s="2"/>
      <c r="M75" s="2"/>
      <c r="N75" s="6"/>
      <c r="O75" s="10"/>
      <c r="P75" s="2"/>
      <c r="Q75" s="2"/>
      <c r="R75" s="6"/>
      <c r="S75" s="2"/>
      <c r="T75" s="2"/>
      <c r="U75" s="2"/>
      <c r="V75" s="6"/>
      <c r="W75" s="2"/>
      <c r="X75" s="2"/>
      <c r="Y75" s="2"/>
      <c r="Z75" s="6"/>
    </row>
    <row r="76" spans="1:26" s="23" customFormat="1" ht="15" thickBot="1" x14ac:dyDescent="0.35">
      <c r="A76" s="10"/>
      <c r="B76" s="26" t="s">
        <v>126</v>
      </c>
      <c r="C76" s="26"/>
      <c r="D76" s="35">
        <f>+D72-D74</f>
        <v>-40764.729999999996</v>
      </c>
      <c r="E76" s="13"/>
      <c r="F76" s="30">
        <f>IF(D$12=0,0,D76/D$12)</f>
        <v>0</v>
      </c>
      <c r="G76" s="13"/>
      <c r="H76" s="35">
        <f>+H72-H74</f>
        <v>-87731.658746153858</v>
      </c>
      <c r="I76" s="13"/>
      <c r="J76" s="30">
        <f>IF(H$12=0,0,H76/H$12)</f>
        <v>0</v>
      </c>
      <c r="K76" s="16"/>
      <c r="L76" s="35">
        <f>D76-H76</f>
        <v>46966.928746153862</v>
      </c>
      <c r="M76" s="16"/>
      <c r="N76" s="30">
        <f>IF(H76=0,0,L76/H76)</f>
        <v>-0.53534755203990581</v>
      </c>
      <c r="O76" s="25"/>
      <c r="P76" s="35">
        <f>+P72-P74</f>
        <v>-40764.729999999996</v>
      </c>
      <c r="Q76" s="13"/>
      <c r="R76" s="30">
        <f>IF(P$12=0,0,P76/P$12)</f>
        <v>0</v>
      </c>
      <c r="S76" s="13"/>
      <c r="T76" s="35">
        <f>+T72-T74</f>
        <v>-87731.658746153858</v>
      </c>
      <c r="U76" s="13"/>
      <c r="V76" s="30">
        <f>IF(T$12=0,0,T76/T$12)</f>
        <v>0</v>
      </c>
      <c r="W76" s="16"/>
      <c r="X76" s="35">
        <f>P76-T76</f>
        <v>46966.928746153862</v>
      </c>
      <c r="Y76" s="16"/>
      <c r="Z76" s="30">
        <f>IF(T76=0,0,X76/T76)</f>
        <v>-0.53534755203990581</v>
      </c>
    </row>
    <row r="77" spans="1:26" ht="15" thickTop="1" x14ac:dyDescent="0.3">
      <c r="A77" s="9"/>
      <c r="B77" s="9"/>
      <c r="C77" s="9"/>
      <c r="D77" s="2"/>
      <c r="E77" s="2"/>
      <c r="F77" s="6"/>
      <c r="G77" s="2"/>
      <c r="H77" s="2"/>
      <c r="I77" s="2"/>
      <c r="J77" s="6"/>
      <c r="K77" s="2"/>
      <c r="L77" s="2"/>
      <c r="M77" s="2"/>
      <c r="N77" s="6"/>
      <c r="P77" s="2"/>
      <c r="Q77" s="2"/>
      <c r="R77" s="6"/>
      <c r="S77" s="2"/>
      <c r="T77" s="2"/>
      <c r="U77" s="2"/>
      <c r="V77" s="6"/>
      <c r="W77" s="2"/>
      <c r="X77" s="2"/>
      <c r="Y77" s="2"/>
      <c r="Z77" s="6"/>
    </row>
    <row r="78" spans="1:26" x14ac:dyDescent="0.3">
      <c r="A78" s="9"/>
      <c r="B78" s="9"/>
      <c r="C78" s="9"/>
      <c r="D78" s="2"/>
      <c r="E78" s="2"/>
      <c r="F78" s="6"/>
      <c r="G78" s="2"/>
      <c r="H78" s="2"/>
      <c r="I78" s="2"/>
      <c r="J78" s="6"/>
      <c r="K78" s="2"/>
      <c r="L78" s="2"/>
      <c r="M78" s="2"/>
      <c r="N78" s="6"/>
      <c r="P78" s="2"/>
      <c r="Q78" s="2"/>
      <c r="R78" s="6"/>
      <c r="S78" s="2"/>
      <c r="T78" s="2"/>
      <c r="U78" s="2"/>
      <c r="V78" s="6"/>
      <c r="W78" s="2"/>
      <c r="X78" s="2"/>
      <c r="Y78" s="2"/>
      <c r="Z78" s="6"/>
    </row>
    <row r="79" spans="1:26" s="23" customFormat="1" ht="15" thickBot="1" x14ac:dyDescent="0.35">
      <c r="A79" s="10"/>
      <c r="B79" s="26" t="s">
        <v>294</v>
      </c>
      <c r="C79" s="26"/>
      <c r="D79" s="33">
        <f>SUM(D76:D78)</f>
        <v>-40764.729999999996</v>
      </c>
      <c r="E79" s="13"/>
      <c r="F79" s="31">
        <f>IF(D$12=0,0,D79/D$12)</f>
        <v>0</v>
      </c>
      <c r="G79" s="13"/>
      <c r="H79" s="33">
        <f>SUM(H76:H78)</f>
        <v>-87731.658746153858</v>
      </c>
      <c r="I79" s="13"/>
      <c r="J79" s="31">
        <f>IF(H$12=0,0,H79/H$12)</f>
        <v>0</v>
      </c>
      <c r="K79" s="16"/>
      <c r="L79" s="33">
        <f>+D79-H79</f>
        <v>46966.928746153862</v>
      </c>
      <c r="M79" s="16"/>
      <c r="N79" s="31">
        <f>IF(H79=0,0,L79/H79)</f>
        <v>-0.53534755203990581</v>
      </c>
      <c r="O79" s="25"/>
      <c r="P79" s="33">
        <f>SUM(P76:P78)</f>
        <v>-40764.729999999996</v>
      </c>
      <c r="Q79" s="13"/>
      <c r="R79" s="31">
        <f>IF(P$12=0,0,P79/P$12)</f>
        <v>0</v>
      </c>
      <c r="S79" s="13"/>
      <c r="T79" s="33">
        <f>SUM(T76:T78)</f>
        <v>-87731.658746153858</v>
      </c>
      <c r="U79" s="13"/>
      <c r="V79" s="31">
        <f>IF(T$12=0,0,T79/T$12)</f>
        <v>0</v>
      </c>
      <c r="W79" s="16"/>
      <c r="X79" s="33">
        <f>+P79-T79</f>
        <v>46966.928746153862</v>
      </c>
      <c r="Y79" s="16"/>
      <c r="Z79" s="31">
        <f>IF(T79=0,0,X79/T79)</f>
        <v>-0.53534755203990581</v>
      </c>
    </row>
    <row r="80" spans="1:26" ht="15" thickTop="1" x14ac:dyDescent="0.3">
      <c r="A80" s="9"/>
      <c r="C80" s="9"/>
      <c r="D80" s="18"/>
      <c r="E80" s="18"/>
      <c r="G80" s="18"/>
      <c r="H80" s="18"/>
      <c r="I80" s="18"/>
      <c r="J80" s="43"/>
      <c r="K80" s="18"/>
      <c r="L80" s="18"/>
      <c r="M80" s="18"/>
      <c r="P80" s="18"/>
      <c r="Q80" s="18"/>
      <c r="R80" s="43"/>
      <c r="S80" s="18"/>
      <c r="T80" s="18"/>
      <c r="U80" s="18"/>
      <c r="V80" s="43"/>
      <c r="W80" s="18"/>
      <c r="X80" s="18"/>
    </row>
    <row r="81" spans="1:24" x14ac:dyDescent="0.3">
      <c r="A81" s="9"/>
      <c r="B81" s="54">
        <v>44462.64548684028</v>
      </c>
      <c r="D81" s="18"/>
      <c r="E81" s="18"/>
      <c r="G81" s="18"/>
      <c r="H81" s="18"/>
      <c r="I81" s="18"/>
      <c r="J81" s="43"/>
      <c r="K81" s="18"/>
      <c r="L81" s="18"/>
      <c r="M81" s="18"/>
      <c r="P81" s="18"/>
      <c r="Q81" s="18"/>
      <c r="R81" s="43"/>
      <c r="S81" s="18"/>
      <c r="T81" s="18"/>
      <c r="U81" s="18"/>
      <c r="V81" s="43"/>
      <c r="W81" s="18"/>
      <c r="X81" s="18"/>
    </row>
    <row r="82" spans="1:24" x14ac:dyDescent="0.3">
      <c r="A82" s="9"/>
      <c r="B82" s="59" t="s">
        <v>56</v>
      </c>
      <c r="D82" s="18"/>
      <c r="E82" s="18"/>
      <c r="G82" s="18"/>
      <c r="H82" s="18"/>
      <c r="I82" s="18"/>
      <c r="J82" s="43"/>
      <c r="K82" s="18"/>
      <c r="L82" s="18"/>
      <c r="M82" s="18"/>
      <c r="P82" s="18"/>
      <c r="Q82" s="18"/>
      <c r="R82" s="43"/>
      <c r="S82" s="18"/>
      <c r="T82" s="18"/>
      <c r="U82" s="18"/>
      <c r="V82" s="43"/>
      <c r="W82" s="18"/>
      <c r="X82" s="18"/>
    </row>
    <row r="83" spans="1:24" x14ac:dyDescent="0.3">
      <c r="A83" s="9"/>
      <c r="B83" s="55"/>
      <c r="D83" s="18"/>
      <c r="E83" s="18"/>
      <c r="G83" s="18"/>
      <c r="H83" s="18"/>
      <c r="I83" s="18"/>
      <c r="J83" s="43"/>
      <c r="K83" s="18"/>
      <c r="L83" s="18"/>
      <c r="M83" s="18"/>
      <c r="P83" s="18"/>
      <c r="Q83" s="18"/>
      <c r="R83" s="43"/>
      <c r="S83" s="18"/>
      <c r="T83" s="18"/>
      <c r="U83" s="18"/>
      <c r="V83" s="43"/>
      <c r="W83" s="18"/>
      <c r="X83" s="18"/>
    </row>
    <row r="84" spans="1:24" x14ac:dyDescent="0.3">
      <c r="D84" s="18"/>
      <c r="E84" s="18"/>
      <c r="G84" s="18"/>
      <c r="H84" s="18"/>
      <c r="I84" s="18"/>
      <c r="J84" s="43"/>
      <c r="K84" s="18"/>
      <c r="L84" s="18"/>
      <c r="M84" s="18"/>
      <c r="P84" s="18"/>
      <c r="Q84" s="18"/>
      <c r="R84" s="43"/>
      <c r="S84" s="18"/>
      <c r="T84" s="18"/>
      <c r="U84" s="18"/>
      <c r="V84" s="43"/>
      <c r="W84" s="18"/>
      <c r="X84" s="18"/>
    </row>
  </sheetData>
  <pageMargins left="0.25" right="0.25" top="0.75" bottom="0.75" header="0.3" footer="0.3"/>
  <pageSetup scale="55" fitToWidth="2" orientation="landscape"/>
  <drawing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tabColor rgb="FFFFC000"/>
    <outlinePr summaryBelow="0" summaryRight="0"/>
  </sheetPr>
  <dimension ref="A2:Z81"/>
  <sheetViews>
    <sheetView zoomScale="80" workbookViewId="0">
      <pane xSplit="3" ySplit="10" topLeftCell="D14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50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7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50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7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7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7" customWidth="1" outlineLevel="1"/>
  </cols>
  <sheetData>
    <row r="2" spans="1:26" x14ac:dyDescent="0.3">
      <c r="D2" s="57" t="s">
        <v>23</v>
      </c>
    </row>
    <row r="3" spans="1:26" x14ac:dyDescent="0.3">
      <c r="D3" s="57" t="s">
        <v>237</v>
      </c>
      <c r="E3" s="17"/>
      <c r="F3" s="51"/>
      <c r="G3" s="17"/>
      <c r="H3" s="17"/>
      <c r="I3" s="17"/>
      <c r="J3" s="39"/>
      <c r="K3" s="17"/>
      <c r="L3" s="17"/>
      <c r="M3" s="17"/>
      <c r="N3" s="51"/>
      <c r="O3" s="61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3">
      <c r="D4" s="57" t="str">
        <f>CONCATENATE("Period ",RIGHT(202201,2),", ",2022)</f>
        <v>Period 01, 2022</v>
      </c>
      <c r="E4" s="17"/>
      <c r="F4" s="51"/>
      <c r="G4" s="17"/>
      <c r="H4" s="17"/>
      <c r="I4" s="17"/>
      <c r="J4" s="39"/>
      <c r="K4" s="17"/>
      <c r="L4" s="17"/>
      <c r="M4" s="17"/>
      <c r="N4" s="51"/>
      <c r="O4" s="61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3">
      <c r="A5" s="23"/>
      <c r="D5" s="64">
        <v>44408</v>
      </c>
      <c r="E5" s="17"/>
      <c r="F5" s="51"/>
      <c r="G5" s="17"/>
      <c r="H5" s="17"/>
      <c r="I5" s="17"/>
      <c r="J5" s="39"/>
      <c r="K5" s="17"/>
      <c r="L5" s="17"/>
      <c r="M5" s="17"/>
      <c r="N5" s="51"/>
      <c r="O5" s="61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3">
      <c r="A6" s="23"/>
      <c r="B6" s="47"/>
      <c r="C6" s="47"/>
      <c r="D6" s="23" t="s">
        <v>105</v>
      </c>
      <c r="E6" s="17"/>
      <c r="F6" s="51"/>
      <c r="G6" s="17"/>
      <c r="H6" s="17"/>
      <c r="I6" s="17"/>
      <c r="J6" s="39"/>
      <c r="K6" s="17"/>
      <c r="L6" s="17"/>
      <c r="M6" s="17"/>
      <c r="N6" s="51"/>
      <c r="O6" s="60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3">
      <c r="B7" s="63"/>
    </row>
    <row r="8" spans="1:26" x14ac:dyDescent="0.3">
      <c r="B8" s="63"/>
    </row>
    <row r="9" spans="1:26" x14ac:dyDescent="0.3">
      <c r="B9" s="9"/>
      <c r="C9" s="9"/>
      <c r="D9" s="15" t="s">
        <v>292</v>
      </c>
      <c r="E9" s="15"/>
      <c r="F9" s="38"/>
      <c r="G9" s="15"/>
      <c r="H9" s="15"/>
      <c r="I9" s="15"/>
      <c r="J9" s="49"/>
      <c r="K9" s="15"/>
      <c r="L9" s="15"/>
      <c r="M9" s="15"/>
      <c r="N9" s="38"/>
      <c r="P9" s="15" t="s">
        <v>39</v>
      </c>
      <c r="Q9" s="15"/>
      <c r="R9" s="38"/>
      <c r="S9" s="15"/>
      <c r="T9" s="15"/>
      <c r="U9" s="15"/>
      <c r="V9" s="49"/>
      <c r="W9" s="15"/>
      <c r="X9" s="15"/>
      <c r="Y9" s="15"/>
      <c r="Z9" s="38"/>
    </row>
    <row r="10" spans="1:26" x14ac:dyDescent="0.3">
      <c r="A10" s="10"/>
      <c r="B10" s="53"/>
      <c r="C10" s="10"/>
      <c r="D10" s="42" t="s">
        <v>57</v>
      </c>
      <c r="E10" s="34"/>
      <c r="F10" s="40" t="s">
        <v>40</v>
      </c>
      <c r="G10" s="34"/>
      <c r="H10" s="45" t="s">
        <v>238</v>
      </c>
      <c r="I10" s="34"/>
      <c r="J10" s="48" t="s">
        <v>58</v>
      </c>
      <c r="K10" s="10"/>
      <c r="L10" s="42" t="s">
        <v>127</v>
      </c>
      <c r="M10" s="10"/>
      <c r="N10" s="40" t="s">
        <v>258</v>
      </c>
      <c r="O10" s="10"/>
      <c r="P10" s="56" t="s">
        <v>57</v>
      </c>
      <c r="Q10" s="34"/>
      <c r="R10" s="40" t="s">
        <v>40</v>
      </c>
      <c r="S10" s="34"/>
      <c r="T10" s="45" t="s">
        <v>238</v>
      </c>
      <c r="U10" s="34"/>
      <c r="V10" s="48" t="s">
        <v>58</v>
      </c>
      <c r="W10" s="10"/>
      <c r="X10" s="42" t="s">
        <v>127</v>
      </c>
      <c r="Y10" s="10"/>
      <c r="Z10" s="40" t="s">
        <v>258</v>
      </c>
    </row>
    <row r="11" spans="1:26" ht="15.6" x14ac:dyDescent="0.3">
      <c r="A11" s="9"/>
      <c r="B11" s="58"/>
      <c r="C11" s="9"/>
      <c r="D11" s="9"/>
      <c r="E11" s="9"/>
      <c r="F11" s="6"/>
      <c r="G11" s="9"/>
      <c r="H11" s="9"/>
      <c r="I11" s="9"/>
      <c r="J11" s="46"/>
      <c r="K11" s="9"/>
      <c r="L11" s="9"/>
      <c r="M11" s="9"/>
      <c r="N11" s="6"/>
      <c r="P11" s="9"/>
      <c r="Q11" s="9"/>
      <c r="R11" s="6"/>
      <c r="S11" s="9"/>
      <c r="T11" s="9"/>
      <c r="U11" s="9"/>
      <c r="V11" s="46"/>
      <c r="W11" s="9"/>
      <c r="X11" s="9"/>
      <c r="Y11" s="9"/>
      <c r="Z11" s="6"/>
    </row>
    <row r="12" spans="1:26" s="23" customFormat="1" collapsed="1" x14ac:dyDescent="0.3">
      <c r="A12" s="10"/>
      <c r="B12" s="25" t="s">
        <v>140</v>
      </c>
      <c r="C12" s="10"/>
      <c r="D12" s="4">
        <f>SUM(OSRRefD13x_0)</f>
        <v>145655</v>
      </c>
      <c r="E12" s="4"/>
      <c r="F12" s="12"/>
      <c r="G12" s="4"/>
      <c r="H12" s="4">
        <f>SUM(OSRRefH13x_0)</f>
        <v>41967</v>
      </c>
      <c r="I12" s="4"/>
      <c r="J12" s="12"/>
      <c r="K12" s="4"/>
      <c r="L12" s="4">
        <f t="shared" ref="L12:L13" si="0">+D12-H12</f>
        <v>103688</v>
      </c>
      <c r="M12" s="4"/>
      <c r="N12" s="12">
        <f t="shared" ref="N12:N13" si="1">IF(H12=0,0,L12/H12)</f>
        <v>2.4707031715395429</v>
      </c>
      <c r="O12" s="10"/>
      <c r="P12" s="4">
        <f>SUM(OSRRefP13x_0)</f>
        <v>145655</v>
      </c>
      <c r="Q12" s="4"/>
      <c r="R12" s="12"/>
      <c r="S12" s="4"/>
      <c r="T12" s="4">
        <f>SUM(OSRRefT13x_0)</f>
        <v>41967</v>
      </c>
      <c r="U12" s="4"/>
      <c r="V12" s="12"/>
      <c r="W12" s="4"/>
      <c r="X12" s="4">
        <f t="shared" ref="X12:X13" si="2">+P12-T12</f>
        <v>103688</v>
      </c>
      <c r="Y12" s="4"/>
      <c r="Z12" s="12">
        <f t="shared" ref="Z12:Z13" si="3">IF(T12=0,0,X12/T12)</f>
        <v>2.4707031715395429</v>
      </c>
    </row>
    <row r="13" spans="1:26" s="24" customFormat="1" hidden="1" outlineLevel="1" x14ac:dyDescent="0.3">
      <c r="A13" s="44"/>
      <c r="B13" s="11" t="str">
        <f>CONCATENATE("          ", "4100", " - ", "NON-TAXABLE SALES")</f>
        <v xml:space="preserve">          4100 - NON-TAXABLE SALES</v>
      </c>
      <c r="C13" s="11"/>
      <c r="D13" s="3">
        <f>--145655</f>
        <v>145655</v>
      </c>
      <c r="E13" s="3"/>
      <c r="F13" s="19"/>
      <c r="G13" s="3"/>
      <c r="H13" s="3">
        <v>41967</v>
      </c>
      <c r="I13" s="3"/>
      <c r="J13" s="19"/>
      <c r="K13" s="3"/>
      <c r="L13" s="3">
        <f t="shared" si="0"/>
        <v>103688</v>
      </c>
      <c r="M13" s="3"/>
      <c r="N13" s="19">
        <f t="shared" si="1"/>
        <v>2.4707031715395429</v>
      </c>
      <c r="O13" s="11"/>
      <c r="P13" s="3">
        <f>--145655</f>
        <v>145655</v>
      </c>
      <c r="Q13" s="3"/>
      <c r="R13" s="19"/>
      <c r="S13" s="3"/>
      <c r="T13" s="3">
        <v>41967</v>
      </c>
      <c r="U13" s="3"/>
      <c r="V13" s="19"/>
      <c r="W13" s="3"/>
      <c r="X13" s="3">
        <f t="shared" si="2"/>
        <v>103688</v>
      </c>
      <c r="Y13" s="3"/>
      <c r="Z13" s="19">
        <f t="shared" si="3"/>
        <v>2.4707031715395429</v>
      </c>
    </row>
    <row r="14" spans="1:26" x14ac:dyDescent="0.3">
      <c r="A14" s="9"/>
      <c r="B14" s="10"/>
      <c r="C14" s="9"/>
      <c r="D14" s="2"/>
      <c r="E14" s="2"/>
      <c r="F14" s="6"/>
      <c r="G14" s="2"/>
      <c r="H14" s="2"/>
      <c r="I14" s="2"/>
      <c r="J14" s="6"/>
      <c r="K14" s="2"/>
      <c r="L14" s="2"/>
      <c r="M14" s="2"/>
      <c r="N14" s="6"/>
      <c r="P14" s="2"/>
      <c r="Q14" s="2"/>
      <c r="R14" s="6"/>
      <c r="S14" s="2"/>
      <c r="T14" s="2"/>
      <c r="U14" s="2"/>
      <c r="V14" s="6"/>
      <c r="W14" s="2"/>
      <c r="X14" s="2"/>
      <c r="Y14" s="2"/>
      <c r="Z14" s="6"/>
    </row>
    <row r="15" spans="1:26" s="23" customFormat="1" x14ac:dyDescent="0.3">
      <c r="A15" s="10"/>
      <c r="B15" s="25" t="s">
        <v>257</v>
      </c>
      <c r="C15" s="10"/>
      <c r="D15" s="4">
        <f>SUM(0)</f>
        <v>0</v>
      </c>
      <c r="E15" s="4"/>
      <c r="F15" s="12">
        <f>IF(D$12=0,0,D15/D$12)</f>
        <v>0</v>
      </c>
      <c r="G15" s="4"/>
      <c r="H15" s="4">
        <f>SUM(0)</f>
        <v>0</v>
      </c>
      <c r="I15" s="4"/>
      <c r="J15" s="12">
        <f>IF(H$12=0,0,H15/H$12)</f>
        <v>0</v>
      </c>
      <c r="K15" s="4"/>
      <c r="L15" s="4">
        <f>+D15-H15</f>
        <v>0</v>
      </c>
      <c r="M15" s="4"/>
      <c r="N15" s="12">
        <f>IF(H15=0,0,L15/H15)</f>
        <v>0</v>
      </c>
      <c r="O15" s="10"/>
      <c r="P15" s="4">
        <f>SUM(0)</f>
        <v>0</v>
      </c>
      <c r="Q15" s="4"/>
      <c r="R15" s="12">
        <f>IF(P$12=0,0,P15/P$12)</f>
        <v>0</v>
      </c>
      <c r="S15" s="4"/>
      <c r="T15" s="4">
        <f>SUM(0)</f>
        <v>0</v>
      </c>
      <c r="U15" s="4"/>
      <c r="V15" s="12">
        <f>IF(T$12=0,0,T15/T$12)</f>
        <v>0</v>
      </c>
      <c r="W15" s="4"/>
      <c r="X15" s="4">
        <f>+P15-T15</f>
        <v>0</v>
      </c>
      <c r="Y15" s="4"/>
      <c r="Z15" s="12">
        <f>IF(T15=0,0,X15/T15)</f>
        <v>0</v>
      </c>
    </row>
    <row r="16" spans="1:26" x14ac:dyDescent="0.3">
      <c r="A16" s="9"/>
      <c r="B16" s="10"/>
      <c r="C16" s="10"/>
      <c r="D16" s="2"/>
      <c r="E16" s="2"/>
      <c r="F16" s="6"/>
      <c r="G16" s="2"/>
      <c r="H16" s="2"/>
      <c r="I16" s="2"/>
      <c r="J16" s="6"/>
      <c r="K16" s="2"/>
      <c r="L16" s="2"/>
      <c r="M16" s="2"/>
      <c r="N16" s="6"/>
      <c r="O16" s="10"/>
      <c r="P16" s="2"/>
      <c r="Q16" s="2"/>
      <c r="R16" s="6"/>
      <c r="S16" s="2"/>
      <c r="T16" s="2"/>
      <c r="U16" s="2"/>
      <c r="V16" s="6"/>
      <c r="W16" s="2"/>
      <c r="X16" s="2"/>
      <c r="Y16" s="2"/>
      <c r="Z16" s="6"/>
    </row>
    <row r="17" spans="1:26" s="23" customFormat="1" x14ac:dyDescent="0.3">
      <c r="A17" s="10"/>
      <c r="B17" s="26" t="s">
        <v>108</v>
      </c>
      <c r="C17" s="26"/>
      <c r="D17" s="21">
        <f>D12-D15</f>
        <v>145655</v>
      </c>
      <c r="E17" s="13"/>
      <c r="F17" s="22">
        <f>IF(D$12=0,0,D17/D$12)</f>
        <v>1</v>
      </c>
      <c r="G17" s="13"/>
      <c r="H17" s="21">
        <f>H12-H15</f>
        <v>41967</v>
      </c>
      <c r="I17" s="13"/>
      <c r="J17" s="22">
        <f>IF(H$12=0,0,H17/H$12)</f>
        <v>1</v>
      </c>
      <c r="K17" s="16"/>
      <c r="L17" s="21">
        <f>+D17-H17</f>
        <v>103688</v>
      </c>
      <c r="M17" s="16"/>
      <c r="N17" s="22">
        <f>IF(H17=0,0,L17/H17)</f>
        <v>2.4707031715395429</v>
      </c>
      <c r="O17" s="25"/>
      <c r="P17" s="21">
        <f>P12-P15</f>
        <v>145655</v>
      </c>
      <c r="Q17" s="13"/>
      <c r="R17" s="22">
        <f>IF(P$12=0,0,P17/P$12)</f>
        <v>1</v>
      </c>
      <c r="S17" s="13"/>
      <c r="T17" s="21">
        <f>T12-T15</f>
        <v>41967</v>
      </c>
      <c r="U17" s="13"/>
      <c r="V17" s="22">
        <f>IF(T$12=0,0,T17/T$12)</f>
        <v>1</v>
      </c>
      <c r="W17" s="16"/>
      <c r="X17" s="21">
        <f>+P17-T17</f>
        <v>103688</v>
      </c>
      <c r="Y17" s="16"/>
      <c r="Z17" s="22">
        <f>IF(T17=0,0,X17/T17)</f>
        <v>2.4707031715395429</v>
      </c>
    </row>
    <row r="18" spans="1:26" x14ac:dyDescent="0.3">
      <c r="A18" s="9"/>
      <c r="B18" s="10"/>
      <c r="C18" s="9"/>
      <c r="D18" s="1"/>
      <c r="E18" s="1"/>
      <c r="F18" s="5"/>
      <c r="G18" s="1"/>
      <c r="H18" s="1"/>
      <c r="I18" s="1"/>
      <c r="J18" s="5"/>
      <c r="K18" s="1"/>
      <c r="L18" s="1"/>
      <c r="M18" s="1"/>
      <c r="N18" s="5"/>
      <c r="O18" s="36"/>
      <c r="P18" s="1"/>
      <c r="Q18" s="1"/>
      <c r="R18" s="5"/>
      <c r="S18" s="1"/>
      <c r="T18" s="1"/>
      <c r="U18" s="1"/>
      <c r="V18" s="5"/>
      <c r="W18" s="1"/>
      <c r="X18" s="1"/>
      <c r="Y18" s="1"/>
      <c r="Z18" s="5"/>
    </row>
    <row r="19" spans="1:26" s="23" customFormat="1" x14ac:dyDescent="0.3">
      <c r="A19" s="10"/>
      <c r="B19" s="25" t="s">
        <v>295</v>
      </c>
      <c r="C19" s="10"/>
      <c r="D19" s="20">
        <f>SUM(OSRRefD22x_0)</f>
        <v>145763.01999999999</v>
      </c>
      <c r="E19" s="20"/>
      <c r="F19" s="32">
        <f t="shared" ref="F19:F29" si="4">IF(D$12=0,0,D19/D$12)</f>
        <v>1.0007416154611926</v>
      </c>
      <c r="G19" s="20"/>
      <c r="H19" s="20">
        <f>SUM(OSRRefH22x_0)</f>
        <v>40078.079861472128</v>
      </c>
      <c r="I19" s="20"/>
      <c r="J19" s="32">
        <f t="shared" ref="J19:J29" si="5">IF(H$12=0,0,H19/H$12)</f>
        <v>0.95499034625949264</v>
      </c>
      <c r="K19" s="4"/>
      <c r="L19" s="20">
        <f t="shared" ref="L19:L29" si="6">+D19-H19</f>
        <v>105684.94013852786</v>
      </c>
      <c r="M19" s="4"/>
      <c r="N19" s="32">
        <f t="shared" ref="N19:N29" si="7">IF(H19=0,0,L19/H19)</f>
        <v>2.636976135179693</v>
      </c>
      <c r="O19" s="10"/>
      <c r="P19" s="20">
        <f>SUM(OSRRefP22x_0)</f>
        <v>145763.01999999999</v>
      </c>
      <c r="Q19" s="20"/>
      <c r="R19" s="32">
        <f t="shared" ref="R19:R29" si="8">IF(P$12=0,0,P19/P$12)</f>
        <v>1.0007416154611926</v>
      </c>
      <c r="S19" s="20"/>
      <c r="T19" s="20">
        <f>SUM(OSRRefT22x_0)</f>
        <v>40078.079861472128</v>
      </c>
      <c r="U19" s="20"/>
      <c r="V19" s="32">
        <f t="shared" ref="V19:V29" si="9">IF(T$12=0,0,T19/T$12)</f>
        <v>0.95499034625949264</v>
      </c>
      <c r="W19" s="4"/>
      <c r="X19" s="20">
        <f t="shared" ref="X19:X29" si="10">+P19-T19</f>
        <v>105684.94013852786</v>
      </c>
      <c r="Y19" s="4"/>
      <c r="Z19" s="32">
        <f t="shared" ref="Z19:Z29" si="11">IF(T19=0,0,X19/T19)</f>
        <v>2.636976135179693</v>
      </c>
    </row>
    <row r="20" spans="1:26" s="27" customFormat="1" outlineLevel="1" collapsed="1" x14ac:dyDescent="0.3">
      <c r="A20" s="28"/>
      <c r="B20" s="14" t="str">
        <f>CONCATENATE("     ","*Benefits                                         ")</f>
        <v xml:space="preserve">     *Benefits                                         </v>
      </c>
      <c r="C20" s="14"/>
      <c r="D20" s="1">
        <f>SUM(OSRRefD22_0x_0)</f>
        <v>3801.83</v>
      </c>
      <c r="E20" s="1"/>
      <c r="F20" s="5">
        <f t="shared" si="4"/>
        <v>2.6101609968761801E-2</v>
      </c>
      <c r="G20" s="1"/>
      <c r="H20" s="1">
        <f>SUM(OSRRefH22_0x_0)</f>
        <v>4881.7820585875061</v>
      </c>
      <c r="I20" s="1"/>
      <c r="J20" s="5">
        <f t="shared" si="5"/>
        <v>0.11632430382413578</v>
      </c>
      <c r="K20" s="1"/>
      <c r="L20" s="1">
        <f t="shared" si="6"/>
        <v>-1079.9520585875061</v>
      </c>
      <c r="M20" s="1"/>
      <c r="N20" s="5">
        <f t="shared" si="7"/>
        <v>-0.22122086681189929</v>
      </c>
      <c r="O20" s="14"/>
      <c r="P20" s="1">
        <f>SUM(OSRRefP22_0x_0)</f>
        <v>3801.83</v>
      </c>
      <c r="Q20" s="1"/>
      <c r="R20" s="5">
        <f t="shared" si="8"/>
        <v>2.6101609968761801E-2</v>
      </c>
      <c r="S20" s="1"/>
      <c r="T20" s="1">
        <f>SUM(OSRRefT22_0x_0)</f>
        <v>4881.7820585875061</v>
      </c>
      <c r="U20" s="1"/>
      <c r="V20" s="5">
        <f t="shared" si="9"/>
        <v>0.11632430382413578</v>
      </c>
      <c r="W20" s="1"/>
      <c r="X20" s="1">
        <f t="shared" si="10"/>
        <v>-1079.9520585875061</v>
      </c>
      <c r="Y20" s="1"/>
      <c r="Z20" s="5">
        <f t="shared" si="11"/>
        <v>-0.22122086681189929</v>
      </c>
    </row>
    <row r="21" spans="1:26" s="24" customFormat="1" hidden="1" outlineLevel="2" x14ac:dyDescent="0.3">
      <c r="A21" s="29"/>
      <c r="B21" s="11" t="str">
        <f>CONCATENATE("          ", "6111", " - ", "F.I.C.A.")</f>
        <v xml:space="preserve">          6111 - F.I.C.A.</v>
      </c>
      <c r="C21" s="11"/>
      <c r="D21" s="8">
        <v>1188.3599999999999</v>
      </c>
      <c r="E21" s="3"/>
      <c r="F21" s="7">
        <f t="shared" si="4"/>
        <v>8.1587312484981619E-3</v>
      </c>
      <c r="G21" s="3"/>
      <c r="H21" s="8">
        <v>1829.8764298471201</v>
      </c>
      <c r="I21" s="3"/>
      <c r="J21" s="7">
        <f t="shared" si="5"/>
        <v>4.3602745725144047E-2</v>
      </c>
      <c r="K21" s="3"/>
      <c r="L21" s="8">
        <f t="shared" si="6"/>
        <v>-641.51642984712021</v>
      </c>
      <c r="M21" s="3"/>
      <c r="N21" s="7">
        <f t="shared" si="7"/>
        <v>-0.35057909888522731</v>
      </c>
      <c r="O21" s="11"/>
      <c r="P21" s="8">
        <v>1188.3599999999999</v>
      </c>
      <c r="Q21" s="3"/>
      <c r="R21" s="7">
        <f t="shared" si="8"/>
        <v>8.1587312484981619E-3</v>
      </c>
      <c r="S21" s="3"/>
      <c r="T21" s="8">
        <v>1829.8764298471201</v>
      </c>
      <c r="U21" s="3"/>
      <c r="V21" s="7">
        <f t="shared" si="9"/>
        <v>4.3602745725144047E-2</v>
      </c>
      <c r="W21" s="3"/>
      <c r="X21" s="8">
        <f t="shared" si="10"/>
        <v>-641.51642984712021</v>
      </c>
      <c r="Y21" s="3"/>
      <c r="Z21" s="7">
        <f t="shared" si="11"/>
        <v>-0.35057909888522731</v>
      </c>
    </row>
    <row r="22" spans="1:26" s="24" customFormat="1" hidden="1" outlineLevel="2" x14ac:dyDescent="0.3">
      <c r="A22" s="29"/>
      <c r="B22" s="11" t="str">
        <f>CONCATENATE("          ", "6112", " - ", "COMPENSATION INSURANCE")</f>
        <v xml:space="preserve">          6112 - COMPENSATION INSURANCE</v>
      </c>
      <c r="C22" s="11"/>
      <c r="D22" s="8">
        <v>157.99</v>
      </c>
      <c r="E22" s="3"/>
      <c r="F22" s="7">
        <f t="shared" si="4"/>
        <v>1.0846864165322166E-3</v>
      </c>
      <c r="G22" s="3"/>
      <c r="H22" s="8">
        <v>373.00499550000001</v>
      </c>
      <c r="I22" s="3"/>
      <c r="J22" s="7">
        <f t="shared" si="5"/>
        <v>8.8880547930516845E-3</v>
      </c>
      <c r="K22" s="3"/>
      <c r="L22" s="8">
        <f t="shared" si="6"/>
        <v>-215.0149955</v>
      </c>
      <c r="M22" s="3"/>
      <c r="N22" s="7">
        <f t="shared" si="7"/>
        <v>-0.57643998899205084</v>
      </c>
      <c r="O22" s="11"/>
      <c r="P22" s="8">
        <v>157.99</v>
      </c>
      <c r="Q22" s="3"/>
      <c r="R22" s="7">
        <f t="shared" si="8"/>
        <v>1.0846864165322166E-3</v>
      </c>
      <c r="S22" s="3"/>
      <c r="T22" s="8">
        <v>373.00499550000001</v>
      </c>
      <c r="U22" s="3"/>
      <c r="V22" s="7">
        <f t="shared" si="9"/>
        <v>8.8880547930516845E-3</v>
      </c>
      <c r="W22" s="3"/>
      <c r="X22" s="8">
        <f t="shared" si="10"/>
        <v>-215.0149955</v>
      </c>
      <c r="Y22" s="3"/>
      <c r="Z22" s="7">
        <f t="shared" si="11"/>
        <v>-0.57643998899205084</v>
      </c>
    </row>
    <row r="23" spans="1:26" s="24" customFormat="1" hidden="1" outlineLevel="2" x14ac:dyDescent="0.3">
      <c r="A23" s="29"/>
      <c r="B23" s="11" t="str">
        <f>CONCATENATE("          ", "6113", " - ", "GROUP INSURANCE")</f>
        <v xml:space="preserve">          6113 - GROUP INSURANCE</v>
      </c>
      <c r="C23" s="11"/>
      <c r="D23" s="8">
        <v>1054.3499999999999</v>
      </c>
      <c r="E23" s="3"/>
      <c r="F23" s="7">
        <f t="shared" si="4"/>
        <v>7.2386804435137821E-3</v>
      </c>
      <c r="G23" s="3"/>
      <c r="H23" s="8">
        <v>1022.5</v>
      </c>
      <c r="I23" s="3"/>
      <c r="J23" s="7">
        <f t="shared" si="5"/>
        <v>2.4364381537874995E-2</v>
      </c>
      <c r="K23" s="3"/>
      <c r="L23" s="8">
        <f t="shared" si="6"/>
        <v>31.849999999999909</v>
      </c>
      <c r="M23" s="3"/>
      <c r="N23" s="7">
        <f t="shared" si="7"/>
        <v>3.114914425427864E-2</v>
      </c>
      <c r="O23" s="11"/>
      <c r="P23" s="8">
        <v>1054.3499999999999</v>
      </c>
      <c r="Q23" s="3"/>
      <c r="R23" s="7">
        <f t="shared" si="8"/>
        <v>7.2386804435137821E-3</v>
      </c>
      <c r="S23" s="3"/>
      <c r="T23" s="8">
        <v>1022.5</v>
      </c>
      <c r="U23" s="3"/>
      <c r="V23" s="7">
        <f t="shared" si="9"/>
        <v>2.4364381537874995E-2</v>
      </c>
      <c r="W23" s="3"/>
      <c r="X23" s="8">
        <f t="shared" si="10"/>
        <v>31.849999999999909</v>
      </c>
      <c r="Y23" s="3"/>
      <c r="Z23" s="7">
        <f t="shared" si="11"/>
        <v>3.114914425427864E-2</v>
      </c>
    </row>
    <row r="24" spans="1:26" s="24" customFormat="1" hidden="1" outlineLevel="2" x14ac:dyDescent="0.3">
      <c r="A24" s="29"/>
      <c r="B24" s="11" t="str">
        <f>CONCATENATE("          ", "6114", " - ", "STATE UNEMPLOYMENT INSURANCE")</f>
        <v xml:space="preserve">          6114 - STATE UNEMPLOYMENT INSURANCE</v>
      </c>
      <c r="C24" s="11"/>
      <c r="D24" s="8">
        <v>31.34</v>
      </c>
      <c r="E24" s="3"/>
      <c r="F24" s="7">
        <f t="shared" si="4"/>
        <v>2.1516597439154165E-4</v>
      </c>
      <c r="G24" s="3"/>
      <c r="H24" s="8">
        <v>50.212210932692301</v>
      </c>
      <c r="I24" s="3"/>
      <c r="J24" s="7">
        <f t="shared" si="5"/>
        <v>1.196468914449265E-3</v>
      </c>
      <c r="K24" s="3"/>
      <c r="L24" s="8">
        <f t="shared" si="6"/>
        <v>-18.872210932692301</v>
      </c>
      <c r="M24" s="3"/>
      <c r="N24" s="7">
        <f t="shared" si="7"/>
        <v>-0.37584903317620955</v>
      </c>
      <c r="O24" s="11"/>
      <c r="P24" s="8">
        <v>31.34</v>
      </c>
      <c r="Q24" s="3"/>
      <c r="R24" s="7">
        <f t="shared" si="8"/>
        <v>2.1516597439154165E-4</v>
      </c>
      <c r="S24" s="3"/>
      <c r="T24" s="8">
        <v>50.212210932692301</v>
      </c>
      <c r="U24" s="3"/>
      <c r="V24" s="7">
        <f t="shared" si="9"/>
        <v>1.196468914449265E-3</v>
      </c>
      <c r="W24" s="3"/>
      <c r="X24" s="8">
        <f t="shared" si="10"/>
        <v>-18.872210932692301</v>
      </c>
      <c r="Y24" s="3"/>
      <c r="Z24" s="7">
        <f t="shared" si="11"/>
        <v>-0.37584903317620955</v>
      </c>
    </row>
    <row r="25" spans="1:26" s="24" customFormat="1" hidden="1" outlineLevel="2" x14ac:dyDescent="0.3">
      <c r="A25" s="29"/>
      <c r="B25" s="11" t="str">
        <f>CONCATENATE("          ", "6115", " - ", "P.E.R.S.")</f>
        <v xml:space="preserve">          6115 - P.E.R.S.</v>
      </c>
      <c r="C25" s="11"/>
      <c r="D25" s="8">
        <v>586.58000000000004</v>
      </c>
      <c r="E25" s="3"/>
      <c r="F25" s="7">
        <f t="shared" si="4"/>
        <v>4.0271875321822113E-3</v>
      </c>
      <c r="G25" s="3"/>
      <c r="H25" s="8">
        <v>721.15959057692396</v>
      </c>
      <c r="I25" s="3"/>
      <c r="J25" s="7">
        <f t="shared" si="5"/>
        <v>1.7183968131553935E-2</v>
      </c>
      <c r="K25" s="3"/>
      <c r="L25" s="8">
        <f t="shared" si="6"/>
        <v>-134.57959057692392</v>
      </c>
      <c r="M25" s="3"/>
      <c r="N25" s="7">
        <f t="shared" si="7"/>
        <v>-0.18661554576187628</v>
      </c>
      <c r="O25" s="11"/>
      <c r="P25" s="8">
        <v>586.58000000000004</v>
      </c>
      <c r="Q25" s="3"/>
      <c r="R25" s="7">
        <f t="shared" si="8"/>
        <v>4.0271875321822113E-3</v>
      </c>
      <c r="S25" s="3"/>
      <c r="T25" s="8">
        <v>721.15959057692396</v>
      </c>
      <c r="U25" s="3"/>
      <c r="V25" s="7">
        <f t="shared" si="9"/>
        <v>1.7183968131553935E-2</v>
      </c>
      <c r="W25" s="3"/>
      <c r="X25" s="8">
        <f t="shared" si="10"/>
        <v>-134.57959057692392</v>
      </c>
      <c r="Y25" s="3"/>
      <c r="Z25" s="7">
        <f t="shared" si="11"/>
        <v>-0.18661554576187628</v>
      </c>
    </row>
    <row r="26" spans="1:26" s="24" customFormat="1" hidden="1" outlineLevel="2" x14ac:dyDescent="0.3">
      <c r="A26" s="29"/>
      <c r="B26" s="11" t="str">
        <f>CONCATENATE("          ", "6116", " - ", "EDUCATIONAL BENEFITS")</f>
        <v xml:space="preserve">          6116 - EDUCATIONAL BENEFITS</v>
      </c>
      <c r="C26" s="11"/>
      <c r="D26" s="8"/>
      <c r="E26" s="3"/>
      <c r="F26" s="7">
        <f t="shared" si="4"/>
        <v>0</v>
      </c>
      <c r="G26" s="3"/>
      <c r="H26" s="8">
        <v>0</v>
      </c>
      <c r="I26" s="3"/>
      <c r="J26" s="7">
        <f t="shared" si="5"/>
        <v>0</v>
      </c>
      <c r="K26" s="3"/>
      <c r="L26" s="8">
        <f t="shared" si="6"/>
        <v>0</v>
      </c>
      <c r="M26" s="3"/>
      <c r="N26" s="7">
        <f t="shared" si="7"/>
        <v>0</v>
      </c>
      <c r="O26" s="11"/>
      <c r="P26" s="8"/>
      <c r="Q26" s="3"/>
      <c r="R26" s="7">
        <f t="shared" si="8"/>
        <v>0</v>
      </c>
      <c r="S26" s="3"/>
      <c r="T26" s="8">
        <v>0</v>
      </c>
      <c r="U26" s="3"/>
      <c r="V26" s="7">
        <f t="shared" si="9"/>
        <v>0</v>
      </c>
      <c r="W26" s="3"/>
      <c r="X26" s="8">
        <f t="shared" si="10"/>
        <v>0</v>
      </c>
      <c r="Y26" s="3"/>
      <c r="Z26" s="7">
        <f t="shared" si="11"/>
        <v>0</v>
      </c>
    </row>
    <row r="27" spans="1:26" s="24" customFormat="1" hidden="1" outlineLevel="2" x14ac:dyDescent="0.3">
      <c r="A27" s="29"/>
      <c r="B27" s="11" t="str">
        <f>CONCATENATE("          ", "6117", " - ", "RETIREMENT STAFF HOURLY")</f>
        <v xml:space="preserve">          6117 - RETIREMENT STAFF HOURLY</v>
      </c>
      <c r="C27" s="11"/>
      <c r="D27" s="8">
        <v>102.54</v>
      </c>
      <c r="E27" s="3"/>
      <c r="F27" s="7">
        <f t="shared" si="4"/>
        <v>7.039923105969586E-4</v>
      </c>
      <c r="G27" s="3"/>
      <c r="H27" s="8"/>
      <c r="I27" s="3"/>
      <c r="J27" s="7">
        <f t="shared" si="5"/>
        <v>0</v>
      </c>
      <c r="K27" s="3"/>
      <c r="L27" s="8">
        <f t="shared" si="6"/>
        <v>102.54</v>
      </c>
      <c r="M27" s="3"/>
      <c r="N27" s="7">
        <f t="shared" si="7"/>
        <v>0</v>
      </c>
      <c r="O27" s="11"/>
      <c r="P27" s="8">
        <v>102.54</v>
      </c>
      <c r="Q27" s="3"/>
      <c r="R27" s="7">
        <f t="shared" si="8"/>
        <v>7.039923105969586E-4</v>
      </c>
      <c r="S27" s="3"/>
      <c r="T27" s="8"/>
      <c r="U27" s="3"/>
      <c r="V27" s="7">
        <f t="shared" si="9"/>
        <v>0</v>
      </c>
      <c r="W27" s="3"/>
      <c r="X27" s="8">
        <f t="shared" si="10"/>
        <v>102.54</v>
      </c>
      <c r="Y27" s="3"/>
      <c r="Z27" s="7">
        <f t="shared" si="11"/>
        <v>0</v>
      </c>
    </row>
    <row r="28" spans="1:26" s="24" customFormat="1" hidden="1" outlineLevel="2" x14ac:dyDescent="0.3">
      <c r="A28" s="29"/>
      <c r="B28" s="11" t="str">
        <f>CONCATENATE("          ", "6118", " - ", "VACATION")</f>
        <v xml:space="preserve">          6118 - VACATION</v>
      </c>
      <c r="C28" s="11"/>
      <c r="D28" s="8">
        <v>413.76</v>
      </c>
      <c r="E28" s="3"/>
      <c r="F28" s="7">
        <f t="shared" si="4"/>
        <v>2.840685180735299E-3</v>
      </c>
      <c r="G28" s="3"/>
      <c r="H28" s="8">
        <v>251.56729903846201</v>
      </c>
      <c r="I28" s="3"/>
      <c r="J28" s="7">
        <f t="shared" si="5"/>
        <v>5.994407487751376E-3</v>
      </c>
      <c r="K28" s="3"/>
      <c r="L28" s="8">
        <f t="shared" si="6"/>
        <v>162.19270096153798</v>
      </c>
      <c r="M28" s="3"/>
      <c r="N28" s="7">
        <f t="shared" si="7"/>
        <v>0.6447288720810268</v>
      </c>
      <c r="O28" s="11"/>
      <c r="P28" s="8">
        <v>413.76</v>
      </c>
      <c r="Q28" s="3"/>
      <c r="R28" s="7">
        <f t="shared" si="8"/>
        <v>2.840685180735299E-3</v>
      </c>
      <c r="S28" s="3"/>
      <c r="T28" s="8">
        <v>251.56729903846201</v>
      </c>
      <c r="U28" s="3"/>
      <c r="V28" s="7">
        <f t="shared" si="9"/>
        <v>5.994407487751376E-3</v>
      </c>
      <c r="W28" s="3"/>
      <c r="X28" s="8">
        <f t="shared" si="10"/>
        <v>162.19270096153798</v>
      </c>
      <c r="Y28" s="3"/>
      <c r="Z28" s="7">
        <f t="shared" si="11"/>
        <v>0.6447288720810268</v>
      </c>
    </row>
    <row r="29" spans="1:26" s="24" customFormat="1" hidden="1" outlineLevel="2" x14ac:dyDescent="0.3">
      <c r="A29" s="29"/>
      <c r="B29" s="11" t="str">
        <f>CONCATENATE("          ", "6119", " - ", "SICK LEAVE")</f>
        <v xml:space="preserve">          6119 - SICK LEAVE</v>
      </c>
      <c r="C29" s="11"/>
      <c r="D29" s="8">
        <v>266.91000000000003</v>
      </c>
      <c r="E29" s="3"/>
      <c r="F29" s="7">
        <f t="shared" si="4"/>
        <v>1.8324808623116269E-3</v>
      </c>
      <c r="G29" s="3"/>
      <c r="H29" s="8">
        <v>633.46153269230797</v>
      </c>
      <c r="I29" s="3"/>
      <c r="J29" s="7">
        <f t="shared" si="5"/>
        <v>1.5094277234310482E-2</v>
      </c>
      <c r="K29" s="3"/>
      <c r="L29" s="8">
        <f t="shared" si="6"/>
        <v>-366.55153269230794</v>
      </c>
      <c r="M29" s="3"/>
      <c r="N29" s="7">
        <f t="shared" si="7"/>
        <v>-0.57864844789297321</v>
      </c>
      <c r="O29" s="11"/>
      <c r="P29" s="8">
        <v>266.91000000000003</v>
      </c>
      <c r="Q29" s="3"/>
      <c r="R29" s="7">
        <f t="shared" si="8"/>
        <v>1.8324808623116269E-3</v>
      </c>
      <c r="S29" s="3"/>
      <c r="T29" s="8">
        <v>633.46153269230797</v>
      </c>
      <c r="U29" s="3"/>
      <c r="V29" s="7">
        <f t="shared" si="9"/>
        <v>1.5094277234310482E-2</v>
      </c>
      <c r="W29" s="3"/>
      <c r="X29" s="8">
        <f t="shared" si="10"/>
        <v>-366.55153269230794</v>
      </c>
      <c r="Y29" s="3"/>
      <c r="Z29" s="7">
        <f t="shared" si="11"/>
        <v>-0.57864844789297321</v>
      </c>
    </row>
    <row r="30" spans="1:26" s="27" customFormat="1" outlineLevel="1" collapsed="1" x14ac:dyDescent="0.3">
      <c r="A30" s="28"/>
      <c r="B30" s="14" t="str">
        <f>CONCATENATE("     ","*Payroll                                          ")</f>
        <v xml:space="preserve">     *Payroll                                          </v>
      </c>
      <c r="C30" s="14"/>
      <c r="D30" s="1">
        <f>SUM(OSRRefD22_1x_0)</f>
        <v>18970.560000000001</v>
      </c>
      <c r="E30" s="1"/>
      <c r="F30" s="5">
        <f t="shared" ref="F30:F40" si="12">IF(D$12=0,0,D30/D$12)</f>
        <v>0.13024310871580105</v>
      </c>
      <c r="G30" s="1"/>
      <c r="H30" s="1">
        <f>SUM(OSRRefH22_1x_0)</f>
        <v>23491.297802884619</v>
      </c>
      <c r="I30" s="1"/>
      <c r="J30" s="5">
        <f t="shared" ref="J30:J40" si="13">IF(H$12=0,0,H30/H$12)</f>
        <v>0.55975642297244543</v>
      </c>
      <c r="K30" s="1"/>
      <c r="L30" s="1">
        <f t="shared" ref="L30:L40" si="14">+D30-H30</f>
        <v>-4520.7378028846178</v>
      </c>
      <c r="M30" s="1"/>
      <c r="N30" s="5">
        <f t="shared" ref="N30:N40" si="15">IF(H30=0,0,L30/H30)</f>
        <v>-0.19244308427819143</v>
      </c>
      <c r="O30" s="14"/>
      <c r="P30" s="1">
        <f>SUM(OSRRefP22_1x_0)</f>
        <v>18970.560000000001</v>
      </c>
      <c r="Q30" s="1"/>
      <c r="R30" s="5">
        <f t="shared" ref="R30:R40" si="16">IF(P$12=0,0,P30/P$12)</f>
        <v>0.13024310871580105</v>
      </c>
      <c r="S30" s="1"/>
      <c r="T30" s="1">
        <f>SUM(OSRRefT22_1x_0)</f>
        <v>23491.297802884619</v>
      </c>
      <c r="U30" s="1"/>
      <c r="V30" s="5">
        <f t="shared" ref="V30:V40" si="17">IF(T$12=0,0,T30/T$12)</f>
        <v>0.55975642297244543</v>
      </c>
      <c r="W30" s="1"/>
      <c r="X30" s="1">
        <f t="shared" ref="X30:X40" si="18">+P30-T30</f>
        <v>-4520.7378028846178</v>
      </c>
      <c r="Y30" s="1"/>
      <c r="Z30" s="5">
        <f t="shared" ref="Z30:Z40" si="19">IF(T30=0,0,X30/T30)</f>
        <v>-0.19244308427819143</v>
      </c>
    </row>
    <row r="31" spans="1:26" s="24" customFormat="1" hidden="1" outlineLevel="2" x14ac:dyDescent="0.3">
      <c r="A31" s="29"/>
      <c r="B31" s="11" t="str">
        <f>CONCATENATE("          ", "6001", " - ", "ADMINISTRATIVE SALARIES")</f>
        <v xml:space="preserve">          6001 - ADMINISTRATIVE SALARIES</v>
      </c>
      <c r="C31" s="11"/>
      <c r="D31" s="8">
        <v>5599.1</v>
      </c>
      <c r="E31" s="3"/>
      <c r="F31" s="7">
        <f t="shared" si="12"/>
        <v>3.8440836222580758E-2</v>
      </c>
      <c r="G31" s="3"/>
      <c r="H31" s="8">
        <v>5174.7596153846198</v>
      </c>
      <c r="I31" s="3"/>
      <c r="J31" s="7">
        <f t="shared" si="13"/>
        <v>0.12330544512080015</v>
      </c>
      <c r="K31" s="3"/>
      <c r="L31" s="8">
        <f t="shared" si="14"/>
        <v>424.34038461538057</v>
      </c>
      <c r="M31" s="3"/>
      <c r="N31" s="7">
        <f t="shared" si="15"/>
        <v>8.2001951038230214E-2</v>
      </c>
      <c r="O31" s="11"/>
      <c r="P31" s="8">
        <v>5599.1</v>
      </c>
      <c r="Q31" s="3"/>
      <c r="R31" s="7">
        <f t="shared" si="16"/>
        <v>3.8440836222580758E-2</v>
      </c>
      <c r="S31" s="3"/>
      <c r="T31" s="8">
        <v>5174.7596153846198</v>
      </c>
      <c r="U31" s="3"/>
      <c r="V31" s="7">
        <f t="shared" si="17"/>
        <v>0.12330544512080015</v>
      </c>
      <c r="W31" s="3"/>
      <c r="X31" s="8">
        <f t="shared" si="18"/>
        <v>424.34038461538057</v>
      </c>
      <c r="Y31" s="3"/>
      <c r="Z31" s="7">
        <f t="shared" si="19"/>
        <v>8.2001951038230214E-2</v>
      </c>
    </row>
    <row r="32" spans="1:26" s="24" customFormat="1" hidden="1" outlineLevel="2" x14ac:dyDescent="0.3">
      <c r="A32" s="29"/>
      <c r="B32" s="11" t="str">
        <f>CONCATENATE("          ", "6002", " - ", "STAFF SALARIES")</f>
        <v xml:space="preserve">          6002 - STAFF SALARIES</v>
      </c>
      <c r="C32" s="11"/>
      <c r="D32" s="8">
        <v>5113.62</v>
      </c>
      <c r="E32" s="3"/>
      <c r="F32" s="7">
        <f t="shared" si="12"/>
        <v>3.5107754625656518E-2</v>
      </c>
      <c r="G32" s="3"/>
      <c r="H32" s="8">
        <v>2791.5381874999998</v>
      </c>
      <c r="I32" s="3"/>
      <c r="J32" s="7">
        <f t="shared" si="13"/>
        <v>6.6517458657993175E-2</v>
      </c>
      <c r="K32" s="3"/>
      <c r="L32" s="8">
        <f t="shared" si="14"/>
        <v>2322.0818125000001</v>
      </c>
      <c r="M32" s="3"/>
      <c r="N32" s="7">
        <f t="shared" si="15"/>
        <v>0.83182878274703886</v>
      </c>
      <c r="O32" s="11"/>
      <c r="P32" s="8">
        <v>5113.62</v>
      </c>
      <c r="Q32" s="3"/>
      <c r="R32" s="7">
        <f t="shared" si="16"/>
        <v>3.5107754625656518E-2</v>
      </c>
      <c r="S32" s="3"/>
      <c r="T32" s="8">
        <v>2791.5381874999998</v>
      </c>
      <c r="U32" s="3"/>
      <c r="V32" s="7">
        <f t="shared" si="17"/>
        <v>6.6517458657993175E-2</v>
      </c>
      <c r="W32" s="3"/>
      <c r="X32" s="8">
        <f t="shared" si="18"/>
        <v>2322.0818125000001</v>
      </c>
      <c r="Y32" s="3"/>
      <c r="Z32" s="7">
        <f t="shared" si="19"/>
        <v>0.83182878274703886</v>
      </c>
    </row>
    <row r="33" spans="1:26" s="24" customFormat="1" hidden="1" outlineLevel="2" x14ac:dyDescent="0.3">
      <c r="A33" s="29"/>
      <c r="B33" s="11" t="str">
        <f>CONCATENATE("          ", "6003", " - ", "STAFF HOURLY-9 MONTH")</f>
        <v xml:space="preserve">          6003 - STAFF HOURLY-9 MONTH</v>
      </c>
      <c r="C33" s="11"/>
      <c r="D33" s="8"/>
      <c r="E33" s="3"/>
      <c r="F33" s="7">
        <f t="shared" si="12"/>
        <v>0</v>
      </c>
      <c r="G33" s="3"/>
      <c r="H33" s="8">
        <v>0</v>
      </c>
      <c r="I33" s="3"/>
      <c r="J33" s="7">
        <f t="shared" si="13"/>
        <v>0</v>
      </c>
      <c r="K33" s="3"/>
      <c r="L33" s="8">
        <f t="shared" si="14"/>
        <v>0</v>
      </c>
      <c r="M33" s="3"/>
      <c r="N33" s="7">
        <f t="shared" si="15"/>
        <v>0</v>
      </c>
      <c r="O33" s="11"/>
      <c r="P33" s="8"/>
      <c r="Q33" s="3"/>
      <c r="R33" s="7">
        <f t="shared" si="16"/>
        <v>0</v>
      </c>
      <c r="S33" s="3"/>
      <c r="T33" s="8">
        <v>0</v>
      </c>
      <c r="U33" s="3"/>
      <c r="V33" s="7">
        <f t="shared" si="17"/>
        <v>0</v>
      </c>
      <c r="W33" s="3"/>
      <c r="X33" s="8">
        <f t="shared" si="18"/>
        <v>0</v>
      </c>
      <c r="Y33" s="3"/>
      <c r="Z33" s="7">
        <f t="shared" si="19"/>
        <v>0</v>
      </c>
    </row>
    <row r="34" spans="1:26" s="24" customFormat="1" hidden="1" outlineLevel="2" x14ac:dyDescent="0.3">
      <c r="A34" s="29"/>
      <c r="B34" s="11" t="str">
        <f>CONCATENATE("          ", "6004", " - ", "STAFF HOURLY")</f>
        <v xml:space="preserve">          6004 - STAFF HOURLY</v>
      </c>
      <c r="C34" s="11"/>
      <c r="D34" s="8"/>
      <c r="E34" s="3"/>
      <c r="F34" s="7">
        <f t="shared" si="12"/>
        <v>0</v>
      </c>
      <c r="G34" s="3"/>
      <c r="H34" s="8">
        <v>2610</v>
      </c>
      <c r="I34" s="3"/>
      <c r="J34" s="7">
        <f t="shared" si="13"/>
        <v>6.2191722067338626E-2</v>
      </c>
      <c r="K34" s="3"/>
      <c r="L34" s="8">
        <f t="shared" si="14"/>
        <v>-2610</v>
      </c>
      <c r="M34" s="3"/>
      <c r="N34" s="7">
        <f t="shared" si="15"/>
        <v>-1</v>
      </c>
      <c r="O34" s="11"/>
      <c r="P34" s="8"/>
      <c r="Q34" s="3"/>
      <c r="R34" s="7">
        <f t="shared" si="16"/>
        <v>0</v>
      </c>
      <c r="S34" s="3"/>
      <c r="T34" s="8">
        <v>2610</v>
      </c>
      <c r="U34" s="3"/>
      <c r="V34" s="7">
        <f t="shared" si="17"/>
        <v>6.2191722067338626E-2</v>
      </c>
      <c r="W34" s="3"/>
      <c r="X34" s="8">
        <f t="shared" si="18"/>
        <v>-2610</v>
      </c>
      <c r="Y34" s="3"/>
      <c r="Z34" s="7">
        <f t="shared" si="19"/>
        <v>-1</v>
      </c>
    </row>
    <row r="35" spans="1:26" s="24" customFormat="1" hidden="1" outlineLevel="2" x14ac:dyDescent="0.3">
      <c r="A35" s="29"/>
      <c r="B35" s="11" t="str">
        <f>CONCATENATE("          ", "6005", " - ", "TEMPORARY WAGES-HOURLY")</f>
        <v xml:space="preserve">          6005 - TEMPORARY WAGES-HOURLY</v>
      </c>
      <c r="C35" s="11"/>
      <c r="D35" s="8">
        <v>6179.64</v>
      </c>
      <c r="E35" s="3"/>
      <c r="F35" s="7">
        <f t="shared" si="12"/>
        <v>4.242655590264667E-2</v>
      </c>
      <c r="G35" s="3"/>
      <c r="H35" s="8">
        <v>0</v>
      </c>
      <c r="I35" s="3"/>
      <c r="J35" s="7">
        <f t="shared" si="13"/>
        <v>0</v>
      </c>
      <c r="K35" s="3"/>
      <c r="L35" s="8">
        <f t="shared" si="14"/>
        <v>6179.64</v>
      </c>
      <c r="M35" s="3"/>
      <c r="N35" s="7">
        <f t="shared" si="15"/>
        <v>0</v>
      </c>
      <c r="O35" s="11"/>
      <c r="P35" s="8">
        <v>6179.64</v>
      </c>
      <c r="Q35" s="3"/>
      <c r="R35" s="7">
        <f t="shared" si="16"/>
        <v>4.242655590264667E-2</v>
      </c>
      <c r="S35" s="3"/>
      <c r="T35" s="8">
        <v>0</v>
      </c>
      <c r="U35" s="3"/>
      <c r="V35" s="7">
        <f t="shared" si="17"/>
        <v>0</v>
      </c>
      <c r="W35" s="3"/>
      <c r="X35" s="8">
        <f t="shared" si="18"/>
        <v>6179.64</v>
      </c>
      <c r="Y35" s="3"/>
      <c r="Z35" s="7">
        <f t="shared" si="19"/>
        <v>0</v>
      </c>
    </row>
    <row r="36" spans="1:26" s="24" customFormat="1" hidden="1" outlineLevel="2" x14ac:dyDescent="0.3">
      <c r="A36" s="29"/>
      <c r="B36" s="11" t="str">
        <f>CONCATENATE("          ", "6006", " - ", "TEMPORARY PART TIME")</f>
        <v xml:space="preserve">          6006 - TEMPORARY PART TIME</v>
      </c>
      <c r="C36" s="11"/>
      <c r="D36" s="8"/>
      <c r="E36" s="3"/>
      <c r="F36" s="7">
        <f t="shared" si="12"/>
        <v>0</v>
      </c>
      <c r="G36" s="3"/>
      <c r="H36" s="8">
        <v>0</v>
      </c>
      <c r="I36" s="3"/>
      <c r="J36" s="7">
        <f t="shared" si="13"/>
        <v>0</v>
      </c>
      <c r="K36" s="3"/>
      <c r="L36" s="8">
        <f t="shared" si="14"/>
        <v>0</v>
      </c>
      <c r="M36" s="3"/>
      <c r="N36" s="7">
        <f t="shared" si="15"/>
        <v>0</v>
      </c>
      <c r="O36" s="11"/>
      <c r="P36" s="8"/>
      <c r="Q36" s="3"/>
      <c r="R36" s="7">
        <f t="shared" si="16"/>
        <v>0</v>
      </c>
      <c r="S36" s="3"/>
      <c r="T36" s="8">
        <v>0</v>
      </c>
      <c r="U36" s="3"/>
      <c r="V36" s="7">
        <f t="shared" si="17"/>
        <v>0</v>
      </c>
      <c r="W36" s="3"/>
      <c r="X36" s="8">
        <f t="shared" si="18"/>
        <v>0</v>
      </c>
      <c r="Y36" s="3"/>
      <c r="Z36" s="7">
        <f t="shared" si="19"/>
        <v>0</v>
      </c>
    </row>
    <row r="37" spans="1:26" s="24" customFormat="1" hidden="1" outlineLevel="2" x14ac:dyDescent="0.3">
      <c r="A37" s="29"/>
      <c r="B37" s="11" t="str">
        <f>CONCATENATE("          ", "6007", " - ", "STUDENT HOURLY")</f>
        <v xml:space="preserve">          6007 - STUDENT HOURLY</v>
      </c>
      <c r="C37" s="11"/>
      <c r="D37" s="8">
        <v>2078.1999999999998</v>
      </c>
      <c r="E37" s="3"/>
      <c r="F37" s="7">
        <f t="shared" si="12"/>
        <v>1.4267961964917097E-2</v>
      </c>
      <c r="G37" s="3"/>
      <c r="H37" s="8">
        <v>12915</v>
      </c>
      <c r="I37" s="3"/>
      <c r="J37" s="7">
        <f t="shared" si="13"/>
        <v>0.30774179712631355</v>
      </c>
      <c r="K37" s="3"/>
      <c r="L37" s="8">
        <f t="shared" si="14"/>
        <v>-10836.8</v>
      </c>
      <c r="M37" s="3"/>
      <c r="N37" s="7">
        <f t="shared" si="15"/>
        <v>-0.83908633372048003</v>
      </c>
      <c r="O37" s="11"/>
      <c r="P37" s="8">
        <v>2078.1999999999998</v>
      </c>
      <c r="Q37" s="3"/>
      <c r="R37" s="7">
        <f t="shared" si="16"/>
        <v>1.4267961964917097E-2</v>
      </c>
      <c r="S37" s="3"/>
      <c r="T37" s="8">
        <v>12915</v>
      </c>
      <c r="U37" s="3"/>
      <c r="V37" s="7">
        <f t="shared" si="17"/>
        <v>0.30774179712631355</v>
      </c>
      <c r="W37" s="3"/>
      <c r="X37" s="8">
        <f t="shared" si="18"/>
        <v>-10836.8</v>
      </c>
      <c r="Y37" s="3"/>
      <c r="Z37" s="7">
        <f t="shared" si="19"/>
        <v>-0.83908633372048003</v>
      </c>
    </row>
    <row r="38" spans="1:26" s="24" customFormat="1" hidden="1" outlineLevel="2" x14ac:dyDescent="0.3">
      <c r="A38" s="29"/>
      <c r="B38" s="11" t="str">
        <f>CONCATENATE("          ", "6008", " - ", "STUDENT HOURLY-FICA EXEMPT")</f>
        <v xml:space="preserve">          6008 - STUDENT HOURLY-FICA EXEMPT</v>
      </c>
      <c r="C38" s="11"/>
      <c r="D38" s="8"/>
      <c r="E38" s="3"/>
      <c r="F38" s="7">
        <f t="shared" si="12"/>
        <v>0</v>
      </c>
      <c r="G38" s="3"/>
      <c r="H38" s="8">
        <v>0</v>
      </c>
      <c r="I38" s="3"/>
      <c r="J38" s="7">
        <f t="shared" si="13"/>
        <v>0</v>
      </c>
      <c r="K38" s="3"/>
      <c r="L38" s="8">
        <f t="shared" si="14"/>
        <v>0</v>
      </c>
      <c r="M38" s="3"/>
      <c r="N38" s="7">
        <f t="shared" si="15"/>
        <v>0</v>
      </c>
      <c r="O38" s="11"/>
      <c r="P38" s="8"/>
      <c r="Q38" s="3"/>
      <c r="R38" s="7">
        <f t="shared" si="16"/>
        <v>0</v>
      </c>
      <c r="S38" s="3"/>
      <c r="T38" s="8">
        <v>0</v>
      </c>
      <c r="U38" s="3"/>
      <c r="V38" s="7">
        <f t="shared" si="17"/>
        <v>0</v>
      </c>
      <c r="W38" s="3"/>
      <c r="X38" s="8">
        <f t="shared" si="18"/>
        <v>0</v>
      </c>
      <c r="Y38" s="3"/>
      <c r="Z38" s="7">
        <f t="shared" si="19"/>
        <v>0</v>
      </c>
    </row>
    <row r="39" spans="1:26" s="24" customFormat="1" hidden="1" outlineLevel="2" x14ac:dyDescent="0.3">
      <c r="A39" s="29"/>
      <c r="B39" s="11" t="str">
        <f>CONCATENATE("          ", "6009", " - ", "TEMPORARY-SEASONAL")</f>
        <v xml:space="preserve">          6009 - TEMPORARY-SEASONAL</v>
      </c>
      <c r="C39" s="11"/>
      <c r="D39" s="8"/>
      <c r="E39" s="3"/>
      <c r="F39" s="7">
        <f t="shared" si="12"/>
        <v>0</v>
      </c>
      <c r="G39" s="3"/>
      <c r="H39" s="8">
        <v>0</v>
      </c>
      <c r="I39" s="3"/>
      <c r="J39" s="7">
        <f t="shared" si="13"/>
        <v>0</v>
      </c>
      <c r="K39" s="3"/>
      <c r="L39" s="8">
        <f t="shared" si="14"/>
        <v>0</v>
      </c>
      <c r="M39" s="3"/>
      <c r="N39" s="7">
        <f t="shared" si="15"/>
        <v>0</v>
      </c>
      <c r="O39" s="11"/>
      <c r="P39" s="8"/>
      <c r="Q39" s="3"/>
      <c r="R39" s="7">
        <f t="shared" si="16"/>
        <v>0</v>
      </c>
      <c r="S39" s="3"/>
      <c r="T39" s="8">
        <v>0</v>
      </c>
      <c r="U39" s="3"/>
      <c r="V39" s="7">
        <f t="shared" si="17"/>
        <v>0</v>
      </c>
      <c r="W39" s="3"/>
      <c r="X39" s="8">
        <f t="shared" si="18"/>
        <v>0</v>
      </c>
      <c r="Y39" s="3"/>
      <c r="Z39" s="7">
        <f t="shared" si="19"/>
        <v>0</v>
      </c>
    </row>
    <row r="40" spans="1:26" s="24" customFormat="1" hidden="1" outlineLevel="2" x14ac:dyDescent="0.3">
      <c r="A40" s="29"/>
      <c r="B40" s="11" t="str">
        <f>CONCATENATE("          ", "6010", " - ", "GRATUITY")</f>
        <v xml:space="preserve">          6010 - GRATUITY</v>
      </c>
      <c r="C40" s="11"/>
      <c r="D40" s="8"/>
      <c r="E40" s="3"/>
      <c r="F40" s="7">
        <f t="shared" si="12"/>
        <v>0</v>
      </c>
      <c r="G40" s="3"/>
      <c r="H40" s="8">
        <v>0</v>
      </c>
      <c r="I40" s="3"/>
      <c r="J40" s="7">
        <f t="shared" si="13"/>
        <v>0</v>
      </c>
      <c r="K40" s="3"/>
      <c r="L40" s="8">
        <f t="shared" si="14"/>
        <v>0</v>
      </c>
      <c r="M40" s="3"/>
      <c r="N40" s="7">
        <f t="shared" si="15"/>
        <v>0</v>
      </c>
      <c r="O40" s="11"/>
      <c r="P40" s="8"/>
      <c r="Q40" s="3"/>
      <c r="R40" s="7">
        <f t="shared" si="16"/>
        <v>0</v>
      </c>
      <c r="S40" s="3"/>
      <c r="T40" s="8">
        <v>0</v>
      </c>
      <c r="U40" s="3"/>
      <c r="V40" s="7">
        <f t="shared" si="17"/>
        <v>0</v>
      </c>
      <c r="W40" s="3"/>
      <c r="X40" s="8">
        <f t="shared" si="18"/>
        <v>0</v>
      </c>
      <c r="Y40" s="3"/>
      <c r="Z40" s="7">
        <f t="shared" si="19"/>
        <v>0</v>
      </c>
    </row>
    <row r="41" spans="1:26" s="27" customFormat="1" outlineLevel="1" collapsed="1" x14ac:dyDescent="0.3">
      <c r="A41" s="28"/>
      <c r="B41" s="14" t="str">
        <f>CONCATENATE("     ","Advertising/Promo                                 ")</f>
        <v xml:space="preserve">     Advertising/Promo                                 </v>
      </c>
      <c r="C41" s="14"/>
      <c r="D41" s="1">
        <f>SUM(OSRRefD22_2x_0)</f>
        <v>0</v>
      </c>
      <c r="E41" s="1"/>
      <c r="F41" s="5">
        <f t="shared" ref="F41:F57" si="20">IF(D$12=0,0,D41/D$12)</f>
        <v>0</v>
      </c>
      <c r="G41" s="1"/>
      <c r="H41" s="1">
        <f>SUM(OSRRefH22_2x_0)</f>
        <v>100</v>
      </c>
      <c r="I41" s="1"/>
      <c r="J41" s="5">
        <f t="shared" ref="J41:J57" si="21">IF(H$12=0,0,H41/H$12)</f>
        <v>2.3828246002811733E-3</v>
      </c>
      <c r="K41" s="1"/>
      <c r="L41" s="1">
        <f t="shared" ref="L41:L57" si="22">+D41-H41</f>
        <v>-100</v>
      </c>
      <c r="M41" s="1"/>
      <c r="N41" s="5">
        <f t="shared" ref="N41:N57" si="23">IF(H41=0,0,L41/H41)</f>
        <v>-1</v>
      </c>
      <c r="O41" s="14"/>
      <c r="P41" s="1">
        <f>SUM(OSRRefP22_2x_0)</f>
        <v>0</v>
      </c>
      <c r="Q41" s="1"/>
      <c r="R41" s="5">
        <f t="shared" ref="R41:R57" si="24">IF(P$12=0,0,P41/P$12)</f>
        <v>0</v>
      </c>
      <c r="S41" s="1"/>
      <c r="T41" s="1">
        <f>SUM(OSRRefT22_2x_0)</f>
        <v>100</v>
      </c>
      <c r="U41" s="1"/>
      <c r="V41" s="5">
        <f t="shared" ref="V41:V57" si="25">IF(T$12=0,0,T41/T$12)</f>
        <v>2.3828246002811733E-3</v>
      </c>
      <c r="W41" s="1"/>
      <c r="X41" s="1">
        <f t="shared" ref="X41:X57" si="26">+P41-T41</f>
        <v>-100</v>
      </c>
      <c r="Y41" s="1"/>
      <c r="Z41" s="5">
        <f t="shared" ref="Z41:Z57" si="27">IF(T41=0,0,X41/T41)</f>
        <v>-1</v>
      </c>
    </row>
    <row r="42" spans="1:26" s="24" customFormat="1" hidden="1" outlineLevel="2" x14ac:dyDescent="0.3">
      <c r="A42" s="29"/>
      <c r="B42" s="11" t="str">
        <f>CONCATENATE("          ", "6362", " - ", "ADVERTISING EXPENSE")</f>
        <v xml:space="preserve">          6362 - ADVERTISING EXPENSE</v>
      </c>
      <c r="C42" s="11"/>
      <c r="D42" s="8"/>
      <c r="E42" s="3"/>
      <c r="F42" s="7">
        <f t="shared" si="20"/>
        <v>0</v>
      </c>
      <c r="G42" s="3"/>
      <c r="H42" s="8">
        <v>100</v>
      </c>
      <c r="I42" s="3"/>
      <c r="J42" s="7">
        <f t="shared" si="21"/>
        <v>2.3828246002811733E-3</v>
      </c>
      <c r="K42" s="3"/>
      <c r="L42" s="8">
        <f t="shared" si="22"/>
        <v>-100</v>
      </c>
      <c r="M42" s="3"/>
      <c r="N42" s="7">
        <f t="shared" si="23"/>
        <v>-1</v>
      </c>
      <c r="O42" s="11"/>
      <c r="P42" s="8"/>
      <c r="Q42" s="3"/>
      <c r="R42" s="7">
        <f t="shared" si="24"/>
        <v>0</v>
      </c>
      <c r="S42" s="3"/>
      <c r="T42" s="8">
        <v>100</v>
      </c>
      <c r="U42" s="3"/>
      <c r="V42" s="7">
        <f t="shared" si="25"/>
        <v>2.3828246002811733E-3</v>
      </c>
      <c r="W42" s="3"/>
      <c r="X42" s="8">
        <f t="shared" si="26"/>
        <v>-100</v>
      </c>
      <c r="Y42" s="3"/>
      <c r="Z42" s="7">
        <f t="shared" si="27"/>
        <v>-1</v>
      </c>
    </row>
    <row r="43" spans="1:26" s="27" customFormat="1" outlineLevel="1" collapsed="1" x14ac:dyDescent="0.3">
      <c r="A43" s="28"/>
      <c r="B43" s="14" t="str">
        <f>CONCATENATE("     ","Bank/card Fees                                    ")</f>
        <v xml:space="preserve">     Bank/card Fees                                    </v>
      </c>
      <c r="C43" s="14"/>
      <c r="D43" s="1">
        <f>SUM(OSRRefD22_3x_0)</f>
        <v>44.12</v>
      </c>
      <c r="E43" s="1"/>
      <c r="F43" s="5">
        <f t="shared" si="20"/>
        <v>3.0290755552504203E-4</v>
      </c>
      <c r="G43" s="1"/>
      <c r="H43" s="1">
        <f>SUM(OSRRefH22_3x_0)</f>
        <v>1250</v>
      </c>
      <c r="I43" s="1"/>
      <c r="J43" s="5">
        <f t="shared" si="21"/>
        <v>2.9785307503514668E-2</v>
      </c>
      <c r="K43" s="1"/>
      <c r="L43" s="1">
        <f t="shared" si="22"/>
        <v>-1205.8800000000001</v>
      </c>
      <c r="M43" s="1"/>
      <c r="N43" s="5">
        <f t="shared" si="23"/>
        <v>-0.96470400000000012</v>
      </c>
      <c r="O43" s="14"/>
      <c r="P43" s="1">
        <f>SUM(OSRRefP22_3x_0)</f>
        <v>44.12</v>
      </c>
      <c r="Q43" s="1"/>
      <c r="R43" s="5">
        <f t="shared" si="24"/>
        <v>3.0290755552504203E-4</v>
      </c>
      <c r="S43" s="1"/>
      <c r="T43" s="1">
        <f>SUM(OSRRefT22_3x_0)</f>
        <v>1250</v>
      </c>
      <c r="U43" s="1"/>
      <c r="V43" s="5">
        <f t="shared" si="25"/>
        <v>2.9785307503514668E-2</v>
      </c>
      <c r="W43" s="1"/>
      <c r="X43" s="1">
        <f t="shared" si="26"/>
        <v>-1205.8800000000001</v>
      </c>
      <c r="Y43" s="1"/>
      <c r="Z43" s="5">
        <f t="shared" si="27"/>
        <v>-0.96470400000000012</v>
      </c>
    </row>
    <row r="44" spans="1:26" s="24" customFormat="1" hidden="1" outlineLevel="2" x14ac:dyDescent="0.3">
      <c r="A44" s="29"/>
      <c r="B44" s="11" t="str">
        <f>CONCATENATE("          ", "6381", " - ", "BANK/CREDIT CARD FEES")</f>
        <v xml:space="preserve">          6381 - BANK/CREDIT CARD FEES</v>
      </c>
      <c r="C44" s="11"/>
      <c r="D44" s="8">
        <v>44.12</v>
      </c>
      <c r="E44" s="3"/>
      <c r="F44" s="7">
        <f t="shared" si="20"/>
        <v>3.0290755552504203E-4</v>
      </c>
      <c r="G44" s="3"/>
      <c r="H44" s="8">
        <v>1250</v>
      </c>
      <c r="I44" s="3"/>
      <c r="J44" s="7">
        <f t="shared" si="21"/>
        <v>2.9785307503514668E-2</v>
      </c>
      <c r="K44" s="3"/>
      <c r="L44" s="8">
        <f t="shared" si="22"/>
        <v>-1205.8800000000001</v>
      </c>
      <c r="M44" s="3"/>
      <c r="N44" s="7">
        <f t="shared" si="23"/>
        <v>-0.96470400000000012</v>
      </c>
      <c r="O44" s="11"/>
      <c r="P44" s="8">
        <v>44.12</v>
      </c>
      <c r="Q44" s="3"/>
      <c r="R44" s="7">
        <f t="shared" si="24"/>
        <v>3.0290755552504203E-4</v>
      </c>
      <c r="S44" s="3"/>
      <c r="T44" s="8">
        <v>1250</v>
      </c>
      <c r="U44" s="3"/>
      <c r="V44" s="7">
        <f t="shared" si="25"/>
        <v>2.9785307503514668E-2</v>
      </c>
      <c r="W44" s="3"/>
      <c r="X44" s="8">
        <f t="shared" si="26"/>
        <v>-1205.8800000000001</v>
      </c>
      <c r="Y44" s="3"/>
      <c r="Z44" s="7">
        <f t="shared" si="27"/>
        <v>-0.96470400000000012</v>
      </c>
    </row>
    <row r="45" spans="1:26" s="27" customFormat="1" outlineLevel="1" collapsed="1" x14ac:dyDescent="0.3">
      <c r="A45" s="28"/>
      <c r="B45" s="14" t="str">
        <f>CONCATENATE("     ","Employees' Appreciation                           ")</f>
        <v xml:space="preserve">     Employees' Appreciation                           </v>
      </c>
      <c r="C45" s="14"/>
      <c r="D45" s="1">
        <f>SUM(OSRRefD22_4x_0)</f>
        <v>0</v>
      </c>
      <c r="E45" s="1"/>
      <c r="F45" s="5">
        <f t="shared" si="20"/>
        <v>0</v>
      </c>
      <c r="G45" s="1"/>
      <c r="H45" s="1">
        <f>SUM(OSRRefH22_4x_0)</f>
        <v>20</v>
      </c>
      <c r="I45" s="1"/>
      <c r="J45" s="5">
        <f t="shared" si="21"/>
        <v>4.7656492005623466E-4</v>
      </c>
      <c r="K45" s="1"/>
      <c r="L45" s="1">
        <f t="shared" si="22"/>
        <v>-20</v>
      </c>
      <c r="M45" s="1"/>
      <c r="N45" s="5">
        <f t="shared" si="23"/>
        <v>-1</v>
      </c>
      <c r="O45" s="14"/>
      <c r="P45" s="1">
        <f>SUM(OSRRefP22_4x_0)</f>
        <v>0</v>
      </c>
      <c r="Q45" s="1"/>
      <c r="R45" s="5">
        <f t="shared" si="24"/>
        <v>0</v>
      </c>
      <c r="S45" s="1"/>
      <c r="T45" s="1">
        <f>SUM(OSRRefT22_4x_0)</f>
        <v>20</v>
      </c>
      <c r="U45" s="1"/>
      <c r="V45" s="5">
        <f t="shared" si="25"/>
        <v>4.7656492005623466E-4</v>
      </c>
      <c r="W45" s="1"/>
      <c r="X45" s="1">
        <f t="shared" si="26"/>
        <v>-20</v>
      </c>
      <c r="Y45" s="1"/>
      <c r="Z45" s="5">
        <f t="shared" si="27"/>
        <v>-1</v>
      </c>
    </row>
    <row r="46" spans="1:26" s="24" customFormat="1" hidden="1" outlineLevel="2" x14ac:dyDescent="0.3">
      <c r="A46" s="29"/>
      <c r="B46" s="11" t="str">
        <f>CONCATENATE("          ", "6277", " - ", "EMPLOYEE APPRECIATION")</f>
        <v xml:space="preserve">          6277 - EMPLOYEE APPRECIATION</v>
      </c>
      <c r="C46" s="11"/>
      <c r="D46" s="8"/>
      <c r="E46" s="3"/>
      <c r="F46" s="7">
        <f t="shared" si="20"/>
        <v>0</v>
      </c>
      <c r="G46" s="3"/>
      <c r="H46" s="8">
        <v>20</v>
      </c>
      <c r="I46" s="3"/>
      <c r="J46" s="7">
        <f t="shared" si="21"/>
        <v>4.7656492005623466E-4</v>
      </c>
      <c r="K46" s="3"/>
      <c r="L46" s="8">
        <f t="shared" si="22"/>
        <v>-20</v>
      </c>
      <c r="M46" s="3"/>
      <c r="N46" s="7">
        <f t="shared" si="23"/>
        <v>-1</v>
      </c>
      <c r="O46" s="11"/>
      <c r="P46" s="8"/>
      <c r="Q46" s="3"/>
      <c r="R46" s="7">
        <f t="shared" si="24"/>
        <v>0</v>
      </c>
      <c r="S46" s="3"/>
      <c r="T46" s="8">
        <v>20</v>
      </c>
      <c r="U46" s="3"/>
      <c r="V46" s="7">
        <f t="shared" si="25"/>
        <v>4.7656492005623466E-4</v>
      </c>
      <c r="W46" s="3"/>
      <c r="X46" s="8">
        <f t="shared" si="26"/>
        <v>-20</v>
      </c>
      <c r="Y46" s="3"/>
      <c r="Z46" s="7">
        <f t="shared" si="27"/>
        <v>-1</v>
      </c>
    </row>
    <row r="47" spans="1:26" s="27" customFormat="1" outlineLevel="1" collapsed="1" x14ac:dyDescent="0.3">
      <c r="A47" s="28"/>
      <c r="B47" s="14" t="str">
        <f>CONCATENATE("     ","Freight out/Postage                               ")</f>
        <v xml:space="preserve">     Freight out/Postage                               </v>
      </c>
      <c r="C47" s="14"/>
      <c r="D47" s="1">
        <f>SUM(OSRRefD22_5x_0)</f>
        <v>0</v>
      </c>
      <c r="E47" s="1"/>
      <c r="F47" s="5">
        <f t="shared" si="20"/>
        <v>0</v>
      </c>
      <c r="G47" s="1"/>
      <c r="H47" s="1">
        <f>SUM(OSRRefH22_5x_0)</f>
        <v>10</v>
      </c>
      <c r="I47" s="1"/>
      <c r="J47" s="5">
        <f t="shared" si="21"/>
        <v>2.3828246002811733E-4</v>
      </c>
      <c r="K47" s="1"/>
      <c r="L47" s="1">
        <f t="shared" si="22"/>
        <v>-10</v>
      </c>
      <c r="M47" s="1"/>
      <c r="N47" s="5">
        <f t="shared" si="23"/>
        <v>-1</v>
      </c>
      <c r="O47" s="14"/>
      <c r="P47" s="1">
        <f>SUM(OSRRefP22_5x_0)</f>
        <v>0</v>
      </c>
      <c r="Q47" s="1"/>
      <c r="R47" s="5">
        <f t="shared" si="24"/>
        <v>0</v>
      </c>
      <c r="S47" s="1"/>
      <c r="T47" s="1">
        <f>SUM(OSRRefT22_5x_0)</f>
        <v>10</v>
      </c>
      <c r="U47" s="1"/>
      <c r="V47" s="5">
        <f t="shared" si="25"/>
        <v>2.3828246002811733E-4</v>
      </c>
      <c r="W47" s="1"/>
      <c r="X47" s="1">
        <f t="shared" si="26"/>
        <v>-10</v>
      </c>
      <c r="Y47" s="1"/>
      <c r="Z47" s="5">
        <f t="shared" si="27"/>
        <v>-1</v>
      </c>
    </row>
    <row r="48" spans="1:26" s="24" customFormat="1" hidden="1" outlineLevel="2" x14ac:dyDescent="0.3">
      <c r="A48" s="29"/>
      <c r="B48" s="11" t="str">
        <f>CONCATENATE("          ", "6307", " - ", "POSTAGE")</f>
        <v xml:space="preserve">          6307 - POSTAGE</v>
      </c>
      <c r="C48" s="11"/>
      <c r="D48" s="8"/>
      <c r="E48" s="3"/>
      <c r="F48" s="7">
        <f t="shared" si="20"/>
        <v>0</v>
      </c>
      <c r="G48" s="3"/>
      <c r="H48" s="8">
        <v>10</v>
      </c>
      <c r="I48" s="3"/>
      <c r="J48" s="7">
        <f t="shared" si="21"/>
        <v>2.3828246002811733E-4</v>
      </c>
      <c r="K48" s="3"/>
      <c r="L48" s="8">
        <f t="shared" si="22"/>
        <v>-10</v>
      </c>
      <c r="M48" s="3"/>
      <c r="N48" s="7">
        <f t="shared" si="23"/>
        <v>-1</v>
      </c>
      <c r="O48" s="11"/>
      <c r="P48" s="8"/>
      <c r="Q48" s="3"/>
      <c r="R48" s="7">
        <f t="shared" si="24"/>
        <v>0</v>
      </c>
      <c r="S48" s="3"/>
      <c r="T48" s="8">
        <v>10</v>
      </c>
      <c r="U48" s="3"/>
      <c r="V48" s="7">
        <f t="shared" si="25"/>
        <v>2.3828246002811733E-4</v>
      </c>
      <c r="W48" s="3"/>
      <c r="X48" s="8">
        <f t="shared" si="26"/>
        <v>-10</v>
      </c>
      <c r="Y48" s="3"/>
      <c r="Z48" s="7">
        <f t="shared" si="27"/>
        <v>-1</v>
      </c>
    </row>
    <row r="49" spans="1:26" s="27" customFormat="1" outlineLevel="1" collapsed="1" x14ac:dyDescent="0.3">
      <c r="A49" s="28"/>
      <c r="B49" s="14" t="str">
        <f>CONCATENATE("     ","General                                           ")</f>
        <v xml:space="preserve">     General                                           </v>
      </c>
      <c r="C49" s="14"/>
      <c r="D49" s="1">
        <f>SUM(OSRRefD22_6x_0)</f>
        <v>0</v>
      </c>
      <c r="E49" s="1"/>
      <c r="F49" s="5">
        <f t="shared" si="20"/>
        <v>0</v>
      </c>
      <c r="G49" s="1"/>
      <c r="H49" s="1">
        <f>SUM(OSRRefH22_6x_0)</f>
        <v>50</v>
      </c>
      <c r="I49" s="1"/>
      <c r="J49" s="5">
        <f t="shared" si="21"/>
        <v>1.1914123001405866E-3</v>
      </c>
      <c r="K49" s="1"/>
      <c r="L49" s="1">
        <f t="shared" si="22"/>
        <v>-50</v>
      </c>
      <c r="M49" s="1"/>
      <c r="N49" s="5">
        <f t="shared" si="23"/>
        <v>-1</v>
      </c>
      <c r="O49" s="14"/>
      <c r="P49" s="1">
        <f>SUM(OSRRefP22_6x_0)</f>
        <v>0</v>
      </c>
      <c r="Q49" s="1"/>
      <c r="R49" s="5">
        <f t="shared" si="24"/>
        <v>0</v>
      </c>
      <c r="S49" s="1"/>
      <c r="T49" s="1">
        <f>SUM(OSRRefT22_6x_0)</f>
        <v>50</v>
      </c>
      <c r="U49" s="1"/>
      <c r="V49" s="5">
        <f t="shared" si="25"/>
        <v>1.1914123001405866E-3</v>
      </c>
      <c r="W49" s="1"/>
      <c r="X49" s="1">
        <f t="shared" si="26"/>
        <v>-50</v>
      </c>
      <c r="Y49" s="1"/>
      <c r="Z49" s="5">
        <f t="shared" si="27"/>
        <v>-1</v>
      </c>
    </row>
    <row r="50" spans="1:26" s="24" customFormat="1" hidden="1" outlineLevel="2" x14ac:dyDescent="0.3">
      <c r="A50" s="29"/>
      <c r="B50" s="11" t="str">
        <f>CONCATENATE("          ", "6279", " - ", "GENERAL EXPENSE")</f>
        <v xml:space="preserve">          6279 - GENERAL EXPENSE</v>
      </c>
      <c r="C50" s="11"/>
      <c r="D50" s="8"/>
      <c r="E50" s="3"/>
      <c r="F50" s="7">
        <f t="shared" si="20"/>
        <v>0</v>
      </c>
      <c r="G50" s="3"/>
      <c r="H50" s="8">
        <v>50</v>
      </c>
      <c r="I50" s="3"/>
      <c r="J50" s="7">
        <f t="shared" si="21"/>
        <v>1.1914123001405866E-3</v>
      </c>
      <c r="K50" s="3"/>
      <c r="L50" s="8">
        <f t="shared" si="22"/>
        <v>-50</v>
      </c>
      <c r="M50" s="3"/>
      <c r="N50" s="7">
        <f t="shared" si="23"/>
        <v>-1</v>
      </c>
      <c r="O50" s="11"/>
      <c r="P50" s="8"/>
      <c r="Q50" s="3"/>
      <c r="R50" s="7">
        <f t="shared" si="24"/>
        <v>0</v>
      </c>
      <c r="S50" s="3"/>
      <c r="T50" s="8">
        <v>50</v>
      </c>
      <c r="U50" s="3"/>
      <c r="V50" s="7">
        <f t="shared" si="25"/>
        <v>1.1914123001405866E-3</v>
      </c>
      <c r="W50" s="3"/>
      <c r="X50" s="8">
        <f t="shared" si="26"/>
        <v>-50</v>
      </c>
      <c r="Y50" s="3"/>
      <c r="Z50" s="7">
        <f t="shared" si="27"/>
        <v>-1</v>
      </c>
    </row>
    <row r="51" spans="1:26" s="27" customFormat="1" outlineLevel="1" collapsed="1" x14ac:dyDescent="0.3">
      <c r="A51" s="28"/>
      <c r="B51" s="14" t="str">
        <f>CONCATENATE("     ","Insurance                                         ")</f>
        <v xml:space="preserve">     Insurance                                         </v>
      </c>
      <c r="C51" s="14"/>
      <c r="D51" s="1">
        <f>SUM(OSRRefD22_7x_0)</f>
        <v>39.43</v>
      </c>
      <c r="E51" s="1"/>
      <c r="F51" s="5">
        <f t="shared" si="20"/>
        <v>2.7070818028903916E-4</v>
      </c>
      <c r="G51" s="1"/>
      <c r="H51" s="1">
        <f>SUM(OSRRefH22_7x_0)</f>
        <v>40</v>
      </c>
      <c r="I51" s="1"/>
      <c r="J51" s="5">
        <f t="shared" si="21"/>
        <v>9.5312984011246933E-4</v>
      </c>
      <c r="K51" s="1"/>
      <c r="L51" s="1">
        <f t="shared" si="22"/>
        <v>-0.57000000000000028</v>
      </c>
      <c r="M51" s="1"/>
      <c r="N51" s="5">
        <f t="shared" si="23"/>
        <v>-1.4250000000000007E-2</v>
      </c>
      <c r="O51" s="14"/>
      <c r="P51" s="1">
        <f>SUM(OSRRefP22_7x_0)</f>
        <v>39.43</v>
      </c>
      <c r="Q51" s="1"/>
      <c r="R51" s="5">
        <f t="shared" si="24"/>
        <v>2.7070818028903916E-4</v>
      </c>
      <c r="S51" s="1"/>
      <c r="T51" s="1">
        <f>SUM(OSRRefT22_7x_0)</f>
        <v>40</v>
      </c>
      <c r="U51" s="1"/>
      <c r="V51" s="5">
        <f t="shared" si="25"/>
        <v>9.5312984011246933E-4</v>
      </c>
      <c r="W51" s="1"/>
      <c r="X51" s="1">
        <f t="shared" si="26"/>
        <v>-0.57000000000000028</v>
      </c>
      <c r="Y51" s="1"/>
      <c r="Z51" s="5">
        <f t="shared" si="27"/>
        <v>-1.4250000000000007E-2</v>
      </c>
    </row>
    <row r="52" spans="1:26" s="24" customFormat="1" hidden="1" outlineLevel="2" x14ac:dyDescent="0.3">
      <c r="A52" s="29"/>
      <c r="B52" s="11" t="str">
        <f>CONCATENATE("          ", "6314", " - ", "LIABILITY INSURANCE")</f>
        <v xml:space="preserve">          6314 - LIABILITY INSURANCE</v>
      </c>
      <c r="C52" s="11"/>
      <c r="D52" s="8">
        <v>39.43</v>
      </c>
      <c r="E52" s="3"/>
      <c r="F52" s="7">
        <f t="shared" si="20"/>
        <v>2.7070818028903916E-4</v>
      </c>
      <c r="G52" s="3"/>
      <c r="H52" s="8">
        <v>40</v>
      </c>
      <c r="I52" s="3"/>
      <c r="J52" s="7">
        <f t="shared" si="21"/>
        <v>9.5312984011246933E-4</v>
      </c>
      <c r="K52" s="3"/>
      <c r="L52" s="8">
        <f t="shared" si="22"/>
        <v>-0.57000000000000028</v>
      </c>
      <c r="M52" s="3"/>
      <c r="N52" s="7">
        <f t="shared" si="23"/>
        <v>-1.4250000000000007E-2</v>
      </c>
      <c r="O52" s="11"/>
      <c r="P52" s="8">
        <v>39.43</v>
      </c>
      <c r="Q52" s="3"/>
      <c r="R52" s="7">
        <f t="shared" si="24"/>
        <v>2.7070818028903916E-4</v>
      </c>
      <c r="S52" s="3"/>
      <c r="T52" s="8">
        <v>40</v>
      </c>
      <c r="U52" s="3"/>
      <c r="V52" s="7">
        <f t="shared" si="25"/>
        <v>9.5312984011246933E-4</v>
      </c>
      <c r="W52" s="3"/>
      <c r="X52" s="8">
        <f t="shared" si="26"/>
        <v>-0.57000000000000028</v>
      </c>
      <c r="Y52" s="3"/>
      <c r="Z52" s="7">
        <f t="shared" si="27"/>
        <v>-1.4250000000000007E-2</v>
      </c>
    </row>
    <row r="53" spans="1:26" s="27" customFormat="1" outlineLevel="1" collapsed="1" x14ac:dyDescent="0.3">
      <c r="A53" s="28"/>
      <c r="B53" s="14" t="str">
        <f>CONCATENATE("     ","Rent                                              ")</f>
        <v xml:space="preserve">     Rent                                              </v>
      </c>
      <c r="C53" s="14"/>
      <c r="D53" s="1">
        <f>SUM(OSRRefD22_8x_0)</f>
        <v>800</v>
      </c>
      <c r="E53" s="1"/>
      <c r="F53" s="5">
        <f t="shared" si="20"/>
        <v>5.4924307438810891E-3</v>
      </c>
      <c r="G53" s="1"/>
      <c r="H53" s="1">
        <f>SUM(OSRRefH22_8x_0)</f>
        <v>800</v>
      </c>
      <c r="I53" s="1"/>
      <c r="J53" s="5">
        <f t="shared" si="21"/>
        <v>1.9062596802249386E-2</v>
      </c>
      <c r="K53" s="1"/>
      <c r="L53" s="1">
        <f t="shared" si="22"/>
        <v>0</v>
      </c>
      <c r="M53" s="1"/>
      <c r="N53" s="5">
        <f t="shared" si="23"/>
        <v>0</v>
      </c>
      <c r="O53" s="14"/>
      <c r="P53" s="1">
        <f>SUM(OSRRefP22_8x_0)</f>
        <v>800</v>
      </c>
      <c r="Q53" s="1"/>
      <c r="R53" s="5">
        <f t="shared" si="24"/>
        <v>5.4924307438810891E-3</v>
      </c>
      <c r="S53" s="1"/>
      <c r="T53" s="1">
        <f>SUM(OSRRefT22_8x_0)</f>
        <v>800</v>
      </c>
      <c r="U53" s="1"/>
      <c r="V53" s="5">
        <f t="shared" si="25"/>
        <v>1.9062596802249386E-2</v>
      </c>
      <c r="W53" s="1"/>
      <c r="X53" s="1">
        <f t="shared" si="26"/>
        <v>0</v>
      </c>
      <c r="Y53" s="1"/>
      <c r="Z53" s="5">
        <f t="shared" si="27"/>
        <v>0</v>
      </c>
    </row>
    <row r="54" spans="1:26" s="24" customFormat="1" hidden="1" outlineLevel="2" x14ac:dyDescent="0.3">
      <c r="A54" s="29"/>
      <c r="B54" s="11" t="str">
        <f>CONCATENATE("          ", "6273", " - ", "RENT")</f>
        <v xml:space="preserve">          6273 - RENT</v>
      </c>
      <c r="C54" s="11"/>
      <c r="D54" s="8">
        <v>800</v>
      </c>
      <c r="E54" s="3"/>
      <c r="F54" s="7">
        <f t="shared" si="20"/>
        <v>5.4924307438810891E-3</v>
      </c>
      <c r="G54" s="3"/>
      <c r="H54" s="8">
        <v>800</v>
      </c>
      <c r="I54" s="3"/>
      <c r="J54" s="7">
        <f t="shared" si="21"/>
        <v>1.9062596802249386E-2</v>
      </c>
      <c r="K54" s="3"/>
      <c r="L54" s="8">
        <f t="shared" si="22"/>
        <v>0</v>
      </c>
      <c r="M54" s="3"/>
      <c r="N54" s="7">
        <f t="shared" si="23"/>
        <v>0</v>
      </c>
      <c r="O54" s="11"/>
      <c r="P54" s="8">
        <v>800</v>
      </c>
      <c r="Q54" s="3"/>
      <c r="R54" s="7">
        <f t="shared" si="24"/>
        <v>5.4924307438810891E-3</v>
      </c>
      <c r="S54" s="3"/>
      <c r="T54" s="8">
        <v>800</v>
      </c>
      <c r="U54" s="3"/>
      <c r="V54" s="7">
        <f t="shared" si="25"/>
        <v>1.9062596802249386E-2</v>
      </c>
      <c r="W54" s="3"/>
      <c r="X54" s="8">
        <f t="shared" si="26"/>
        <v>0</v>
      </c>
      <c r="Y54" s="3"/>
      <c r="Z54" s="7">
        <f t="shared" si="27"/>
        <v>0</v>
      </c>
    </row>
    <row r="55" spans="1:26" s="27" customFormat="1" outlineLevel="1" collapsed="1" x14ac:dyDescent="0.3">
      <c r="A55" s="28"/>
      <c r="B55" s="14" t="str">
        <f>CONCATENATE("     ","Repair and Maintenance                            ")</f>
        <v xml:space="preserve">     Repair and Maintenance                            </v>
      </c>
      <c r="C55" s="14"/>
      <c r="D55" s="1">
        <f>SUM(OSRRefD22_9x_0)</f>
        <v>122000.62</v>
      </c>
      <c r="E55" s="1"/>
      <c r="F55" s="5">
        <f t="shared" si="20"/>
        <v>0.83759994507569258</v>
      </c>
      <c r="G55" s="1"/>
      <c r="H55" s="1">
        <f>SUM(OSRRefH22_9x_0)</f>
        <v>3200</v>
      </c>
      <c r="I55" s="1"/>
      <c r="J55" s="5">
        <f t="shared" si="21"/>
        <v>7.6250387208997544E-2</v>
      </c>
      <c r="K55" s="1"/>
      <c r="L55" s="1">
        <f t="shared" si="22"/>
        <v>118800.62</v>
      </c>
      <c r="M55" s="1"/>
      <c r="N55" s="5">
        <f t="shared" si="23"/>
        <v>37.125193750000001</v>
      </c>
      <c r="O55" s="14"/>
      <c r="P55" s="1">
        <f>SUM(OSRRefP22_9x_0)</f>
        <v>122000.62</v>
      </c>
      <c r="Q55" s="1"/>
      <c r="R55" s="5">
        <f t="shared" si="24"/>
        <v>0.83759994507569258</v>
      </c>
      <c r="S55" s="1"/>
      <c r="T55" s="1">
        <f>SUM(OSRRefT22_9x_0)</f>
        <v>3200</v>
      </c>
      <c r="U55" s="1"/>
      <c r="V55" s="5">
        <f t="shared" si="25"/>
        <v>7.6250387208997544E-2</v>
      </c>
      <c r="W55" s="1"/>
      <c r="X55" s="1">
        <f t="shared" si="26"/>
        <v>118800.62</v>
      </c>
      <c r="Y55" s="1"/>
      <c r="Z55" s="5">
        <f t="shared" si="27"/>
        <v>37.125193750000001</v>
      </c>
    </row>
    <row r="56" spans="1:26" s="24" customFormat="1" hidden="1" outlineLevel="2" x14ac:dyDescent="0.3">
      <c r="A56" s="29"/>
      <c r="B56" s="11" t="str">
        <f>CONCATENATE("          ", "6372", " - ", "COMPUTER HARDWARE MAINTENANCE")</f>
        <v xml:space="preserve">          6372 - COMPUTER HARDWARE MAINTENANCE</v>
      </c>
      <c r="C56" s="11"/>
      <c r="D56" s="8"/>
      <c r="E56" s="3"/>
      <c r="F56" s="7">
        <f t="shared" si="20"/>
        <v>0</v>
      </c>
      <c r="G56" s="3"/>
      <c r="H56" s="8">
        <v>3200</v>
      </c>
      <c r="I56" s="3"/>
      <c r="J56" s="7">
        <f t="shared" si="21"/>
        <v>7.6250387208997544E-2</v>
      </c>
      <c r="K56" s="3"/>
      <c r="L56" s="8">
        <f t="shared" si="22"/>
        <v>-3200</v>
      </c>
      <c r="M56" s="3"/>
      <c r="N56" s="7">
        <f t="shared" si="23"/>
        <v>-1</v>
      </c>
      <c r="O56" s="11"/>
      <c r="P56" s="8"/>
      <c r="Q56" s="3"/>
      <c r="R56" s="7">
        <f t="shared" si="24"/>
        <v>0</v>
      </c>
      <c r="S56" s="3"/>
      <c r="T56" s="8">
        <v>3200</v>
      </c>
      <c r="U56" s="3"/>
      <c r="V56" s="7">
        <f t="shared" si="25"/>
        <v>7.6250387208997544E-2</v>
      </c>
      <c r="W56" s="3"/>
      <c r="X56" s="8">
        <f t="shared" si="26"/>
        <v>-3200</v>
      </c>
      <c r="Y56" s="3"/>
      <c r="Z56" s="7">
        <f t="shared" si="27"/>
        <v>-1</v>
      </c>
    </row>
    <row r="57" spans="1:26" s="24" customFormat="1" hidden="1" outlineLevel="2" x14ac:dyDescent="0.3">
      <c r="A57" s="29"/>
      <c r="B57" s="11" t="str">
        <f>CONCATENATE("          ", "6373", " - ", "MAINTENANCE CONTRACTS")</f>
        <v xml:space="preserve">          6373 - MAINTENANCE CONTRACTS</v>
      </c>
      <c r="C57" s="11"/>
      <c r="D57" s="8">
        <v>122000.62</v>
      </c>
      <c r="E57" s="3"/>
      <c r="F57" s="7">
        <f t="shared" si="20"/>
        <v>0.83759994507569258</v>
      </c>
      <c r="G57" s="3"/>
      <c r="H57" s="8"/>
      <c r="I57" s="3"/>
      <c r="J57" s="7">
        <f t="shared" si="21"/>
        <v>0</v>
      </c>
      <c r="K57" s="3"/>
      <c r="L57" s="8">
        <f t="shared" si="22"/>
        <v>122000.62</v>
      </c>
      <c r="M57" s="3"/>
      <c r="N57" s="7">
        <f t="shared" si="23"/>
        <v>0</v>
      </c>
      <c r="O57" s="11"/>
      <c r="P57" s="8">
        <v>122000.62</v>
      </c>
      <c r="Q57" s="3"/>
      <c r="R57" s="7">
        <f t="shared" si="24"/>
        <v>0.83759994507569258</v>
      </c>
      <c r="S57" s="3"/>
      <c r="T57" s="8"/>
      <c r="U57" s="3"/>
      <c r="V57" s="7">
        <f t="shared" si="25"/>
        <v>0</v>
      </c>
      <c r="W57" s="3"/>
      <c r="X57" s="8">
        <f t="shared" si="26"/>
        <v>122000.62</v>
      </c>
      <c r="Y57" s="3"/>
      <c r="Z57" s="7">
        <f t="shared" si="27"/>
        <v>0</v>
      </c>
    </row>
    <row r="58" spans="1:26" s="27" customFormat="1" outlineLevel="1" collapsed="1" x14ac:dyDescent="0.3">
      <c r="A58" s="28"/>
      <c r="B58" s="14" t="str">
        <f>CONCATENATE("     ","Subscriptions &amp; Dues                              ")</f>
        <v xml:space="preserve">     Subscriptions &amp; Dues                              </v>
      </c>
      <c r="C58" s="14"/>
      <c r="D58" s="1">
        <f>SUM(OSRRefD22_10x_0)</f>
        <v>0</v>
      </c>
      <c r="E58" s="1"/>
      <c r="F58" s="5">
        <f t="shared" ref="F58:F62" si="28">IF(D$12=0,0,D58/D$12)</f>
        <v>0</v>
      </c>
      <c r="G58" s="1"/>
      <c r="H58" s="1">
        <f>SUM(OSRRefH22_10x_0)</f>
        <v>85</v>
      </c>
      <c r="I58" s="1"/>
      <c r="J58" s="5">
        <f t="shared" ref="J58:J62" si="29">IF(H$12=0,0,H58/H$12)</f>
        <v>2.0254009102389971E-3</v>
      </c>
      <c r="K58" s="1"/>
      <c r="L58" s="1">
        <f t="shared" ref="L58:L62" si="30">+D58-H58</f>
        <v>-85</v>
      </c>
      <c r="M58" s="1"/>
      <c r="N58" s="5">
        <f t="shared" ref="N58:N62" si="31">IF(H58=0,0,L58/H58)</f>
        <v>-1</v>
      </c>
      <c r="O58" s="14"/>
      <c r="P58" s="1">
        <f>SUM(OSRRefP22_10x_0)</f>
        <v>0</v>
      </c>
      <c r="Q58" s="1"/>
      <c r="R58" s="5">
        <f t="shared" ref="R58:R62" si="32">IF(P$12=0,0,P58/P$12)</f>
        <v>0</v>
      </c>
      <c r="S58" s="1"/>
      <c r="T58" s="1">
        <f>SUM(OSRRefT22_10x_0)</f>
        <v>85</v>
      </c>
      <c r="U58" s="1"/>
      <c r="V58" s="5">
        <f t="shared" ref="V58:V62" si="33">IF(T$12=0,0,T58/T$12)</f>
        <v>2.0254009102389971E-3</v>
      </c>
      <c r="W58" s="1"/>
      <c r="X58" s="1">
        <f t="shared" ref="X58:X62" si="34">+P58-T58</f>
        <v>-85</v>
      </c>
      <c r="Y58" s="1"/>
      <c r="Z58" s="5">
        <f t="shared" ref="Z58:Z62" si="35">IF(T58=0,0,X58/T58)</f>
        <v>-1</v>
      </c>
    </row>
    <row r="59" spans="1:26" s="24" customFormat="1" hidden="1" outlineLevel="2" x14ac:dyDescent="0.3">
      <c r="A59" s="29"/>
      <c r="B59" s="11" t="str">
        <f>CONCATENATE("          ", "6258", " - ", "MEMBERSHIP DUES")</f>
        <v xml:space="preserve">          6258 - MEMBERSHIP DUES</v>
      </c>
      <c r="C59" s="11"/>
      <c r="D59" s="8"/>
      <c r="E59" s="3"/>
      <c r="F59" s="7">
        <f t="shared" si="28"/>
        <v>0</v>
      </c>
      <c r="G59" s="3"/>
      <c r="H59" s="8">
        <v>85</v>
      </c>
      <c r="I59" s="3"/>
      <c r="J59" s="7">
        <f t="shared" si="29"/>
        <v>2.0254009102389971E-3</v>
      </c>
      <c r="K59" s="3"/>
      <c r="L59" s="8">
        <f t="shared" si="30"/>
        <v>-85</v>
      </c>
      <c r="M59" s="3"/>
      <c r="N59" s="7">
        <f t="shared" si="31"/>
        <v>-1</v>
      </c>
      <c r="O59" s="11"/>
      <c r="P59" s="8"/>
      <c r="Q59" s="3"/>
      <c r="R59" s="7">
        <f t="shared" si="32"/>
        <v>0</v>
      </c>
      <c r="S59" s="3"/>
      <c r="T59" s="8">
        <v>85</v>
      </c>
      <c r="U59" s="3"/>
      <c r="V59" s="7">
        <f t="shared" si="33"/>
        <v>2.0254009102389971E-3</v>
      </c>
      <c r="W59" s="3"/>
      <c r="X59" s="8">
        <f t="shared" si="34"/>
        <v>-85</v>
      </c>
      <c r="Y59" s="3"/>
      <c r="Z59" s="7">
        <f t="shared" si="35"/>
        <v>-1</v>
      </c>
    </row>
    <row r="60" spans="1:26" s="27" customFormat="1" outlineLevel="1" collapsed="1" x14ac:dyDescent="0.3">
      <c r="A60" s="28"/>
      <c r="B60" s="14" t="str">
        <f>CONCATENATE("     ","Supplies                                          ")</f>
        <v xml:space="preserve">     Supplies                                          </v>
      </c>
      <c r="C60" s="14"/>
      <c r="D60" s="1">
        <f>SUM(OSRRefD22_11x_0)</f>
        <v>356.71</v>
      </c>
      <c r="E60" s="1"/>
      <c r="F60" s="5">
        <f t="shared" si="28"/>
        <v>2.449006213312279E-3</v>
      </c>
      <c r="G60" s="1"/>
      <c r="H60" s="1">
        <f>SUM(OSRRefH22_11x_0)</f>
        <v>5800</v>
      </c>
      <c r="I60" s="1"/>
      <c r="J60" s="5">
        <f t="shared" si="29"/>
        <v>0.13820382681630805</v>
      </c>
      <c r="K60" s="1"/>
      <c r="L60" s="1">
        <f t="shared" si="30"/>
        <v>-5443.29</v>
      </c>
      <c r="M60" s="1"/>
      <c r="N60" s="5">
        <f t="shared" si="31"/>
        <v>-0.93849827586206891</v>
      </c>
      <c r="O60" s="14"/>
      <c r="P60" s="1">
        <f>SUM(OSRRefP22_11x_0)</f>
        <v>356.71</v>
      </c>
      <c r="Q60" s="1"/>
      <c r="R60" s="5">
        <f t="shared" si="32"/>
        <v>2.449006213312279E-3</v>
      </c>
      <c r="S60" s="1"/>
      <c r="T60" s="1">
        <f>SUM(OSRRefT22_11x_0)</f>
        <v>5800</v>
      </c>
      <c r="U60" s="1"/>
      <c r="V60" s="5">
        <f t="shared" si="33"/>
        <v>0.13820382681630805</v>
      </c>
      <c r="W60" s="1"/>
      <c r="X60" s="1">
        <f t="shared" si="34"/>
        <v>-5443.29</v>
      </c>
      <c r="Y60" s="1"/>
      <c r="Z60" s="5">
        <f t="shared" si="35"/>
        <v>-0.93849827586206891</v>
      </c>
    </row>
    <row r="61" spans="1:26" s="24" customFormat="1" hidden="1" outlineLevel="2" x14ac:dyDescent="0.3">
      <c r="A61" s="29"/>
      <c r="B61" s="11" t="str">
        <f>CONCATENATE("          ", "6234", " - ", "EXPENDABLE SUPPLIES &amp; EQUIPMEN")</f>
        <v xml:space="preserve">          6234 - EXPENDABLE SUPPLIES &amp; EQUIPMEN</v>
      </c>
      <c r="C61" s="11"/>
      <c r="D61" s="8"/>
      <c r="E61" s="3"/>
      <c r="F61" s="7">
        <f t="shared" si="28"/>
        <v>0</v>
      </c>
      <c r="G61" s="3"/>
      <c r="H61" s="8">
        <v>5800</v>
      </c>
      <c r="I61" s="3"/>
      <c r="J61" s="7">
        <f t="shared" si="29"/>
        <v>0.13820382681630805</v>
      </c>
      <c r="K61" s="3"/>
      <c r="L61" s="8">
        <f t="shared" si="30"/>
        <v>-5800</v>
      </c>
      <c r="M61" s="3"/>
      <c r="N61" s="7">
        <f t="shared" si="31"/>
        <v>-1</v>
      </c>
      <c r="O61" s="11"/>
      <c r="P61" s="8"/>
      <c r="Q61" s="3"/>
      <c r="R61" s="7">
        <f t="shared" si="32"/>
        <v>0</v>
      </c>
      <c r="S61" s="3"/>
      <c r="T61" s="8">
        <v>5800</v>
      </c>
      <c r="U61" s="3"/>
      <c r="V61" s="7">
        <f t="shared" si="33"/>
        <v>0.13820382681630805</v>
      </c>
      <c r="W61" s="3"/>
      <c r="X61" s="8">
        <f t="shared" si="34"/>
        <v>-5800</v>
      </c>
      <c r="Y61" s="3"/>
      <c r="Z61" s="7">
        <f t="shared" si="35"/>
        <v>-1</v>
      </c>
    </row>
    <row r="62" spans="1:26" s="24" customFormat="1" hidden="1" outlineLevel="2" x14ac:dyDescent="0.3">
      <c r="A62" s="29"/>
      <c r="B62" s="11" t="str">
        <f>CONCATENATE("          ", "6241", " - ", "OFFICE EXPENSE")</f>
        <v xml:space="preserve">          6241 - OFFICE EXPENSE</v>
      </c>
      <c r="C62" s="11"/>
      <c r="D62" s="8">
        <v>356.71</v>
      </c>
      <c r="E62" s="3"/>
      <c r="F62" s="7">
        <f t="shared" si="28"/>
        <v>2.449006213312279E-3</v>
      </c>
      <c r="G62" s="3"/>
      <c r="H62" s="8"/>
      <c r="I62" s="3"/>
      <c r="J62" s="7">
        <f t="shared" si="29"/>
        <v>0</v>
      </c>
      <c r="K62" s="3"/>
      <c r="L62" s="8">
        <f t="shared" si="30"/>
        <v>356.71</v>
      </c>
      <c r="M62" s="3"/>
      <c r="N62" s="7">
        <f t="shared" si="31"/>
        <v>0</v>
      </c>
      <c r="O62" s="11"/>
      <c r="P62" s="8">
        <v>356.71</v>
      </c>
      <c r="Q62" s="3"/>
      <c r="R62" s="7">
        <f t="shared" si="32"/>
        <v>2.449006213312279E-3</v>
      </c>
      <c r="S62" s="3"/>
      <c r="T62" s="8"/>
      <c r="U62" s="3"/>
      <c r="V62" s="7">
        <f t="shared" si="33"/>
        <v>0</v>
      </c>
      <c r="W62" s="3"/>
      <c r="X62" s="8">
        <f t="shared" si="34"/>
        <v>356.71</v>
      </c>
      <c r="Y62" s="3"/>
      <c r="Z62" s="7">
        <f t="shared" si="35"/>
        <v>0</v>
      </c>
    </row>
    <row r="63" spans="1:26" s="27" customFormat="1" outlineLevel="1" collapsed="1" x14ac:dyDescent="0.3">
      <c r="A63" s="28"/>
      <c r="B63" s="14" t="str">
        <f>CONCATENATE("     ","Telephone/Data Lines                              ")</f>
        <v xml:space="preserve">     Telephone/Data Lines                              </v>
      </c>
      <c r="C63" s="14"/>
      <c r="D63" s="1">
        <f>SUM(OSRRefD22_12x_0)</f>
        <v>-250.25</v>
      </c>
      <c r="E63" s="1"/>
      <c r="F63" s="5">
        <f t="shared" ref="F63:F64" si="36">IF(D$12=0,0,D63/D$12)</f>
        <v>-1.718100992070303E-3</v>
      </c>
      <c r="G63" s="1"/>
      <c r="H63" s="1">
        <f>SUM(OSRRefH22_12x_0)</f>
        <v>350</v>
      </c>
      <c r="I63" s="1"/>
      <c r="J63" s="5">
        <f t="shared" ref="J63:J64" si="37">IF(H$12=0,0,H63/H$12)</f>
        <v>8.339886100984106E-3</v>
      </c>
      <c r="K63" s="1"/>
      <c r="L63" s="1">
        <f t="shared" ref="L63:L64" si="38">+D63-H63</f>
        <v>-600.25</v>
      </c>
      <c r="M63" s="1"/>
      <c r="N63" s="5">
        <f t="shared" ref="N63:N64" si="39">IF(H63=0,0,L63/H63)</f>
        <v>-1.7150000000000001</v>
      </c>
      <c r="O63" s="14"/>
      <c r="P63" s="1">
        <f>SUM(OSRRefP22_12x_0)</f>
        <v>-250.25</v>
      </c>
      <c r="Q63" s="1"/>
      <c r="R63" s="5">
        <f t="shared" ref="R63:R64" si="40">IF(P$12=0,0,P63/P$12)</f>
        <v>-1.718100992070303E-3</v>
      </c>
      <c r="S63" s="1"/>
      <c r="T63" s="1">
        <f>SUM(OSRRefT22_12x_0)</f>
        <v>350</v>
      </c>
      <c r="U63" s="1"/>
      <c r="V63" s="5">
        <f t="shared" ref="V63:V64" si="41">IF(T$12=0,0,T63/T$12)</f>
        <v>8.339886100984106E-3</v>
      </c>
      <c r="W63" s="1"/>
      <c r="X63" s="1">
        <f t="shared" ref="X63:X64" si="42">+P63-T63</f>
        <v>-600.25</v>
      </c>
      <c r="Y63" s="1"/>
      <c r="Z63" s="5">
        <f t="shared" ref="Z63:Z64" si="43">IF(T63=0,0,X63/T63)</f>
        <v>-1.7150000000000001</v>
      </c>
    </row>
    <row r="64" spans="1:26" s="24" customFormat="1" hidden="1" outlineLevel="2" x14ac:dyDescent="0.3">
      <c r="A64" s="29"/>
      <c r="B64" s="11" t="str">
        <f>CONCATENATE("          ", "6309", " - ", "TELEPHONE")</f>
        <v xml:space="preserve">          6309 - TELEPHONE</v>
      </c>
      <c r="C64" s="11"/>
      <c r="D64" s="8">
        <v>-250.25</v>
      </c>
      <c r="E64" s="3"/>
      <c r="F64" s="7">
        <f t="shared" si="36"/>
        <v>-1.718100992070303E-3</v>
      </c>
      <c r="G64" s="3"/>
      <c r="H64" s="8">
        <v>350</v>
      </c>
      <c r="I64" s="3"/>
      <c r="J64" s="7">
        <f t="shared" si="37"/>
        <v>8.339886100984106E-3</v>
      </c>
      <c r="K64" s="3"/>
      <c r="L64" s="8">
        <f t="shared" si="38"/>
        <v>-600.25</v>
      </c>
      <c r="M64" s="3"/>
      <c r="N64" s="7">
        <f t="shared" si="39"/>
        <v>-1.7150000000000001</v>
      </c>
      <c r="O64" s="11"/>
      <c r="P64" s="8">
        <v>-250.25</v>
      </c>
      <c r="Q64" s="3"/>
      <c r="R64" s="7">
        <f t="shared" si="40"/>
        <v>-1.718100992070303E-3</v>
      </c>
      <c r="S64" s="3"/>
      <c r="T64" s="8">
        <v>350</v>
      </c>
      <c r="U64" s="3"/>
      <c r="V64" s="7">
        <f t="shared" si="41"/>
        <v>8.339886100984106E-3</v>
      </c>
      <c r="W64" s="3"/>
      <c r="X64" s="8">
        <f t="shared" si="42"/>
        <v>-600.25</v>
      </c>
      <c r="Y64" s="3"/>
      <c r="Z64" s="7">
        <f t="shared" si="43"/>
        <v>-1.7150000000000001</v>
      </c>
    </row>
    <row r="65" spans="1:26" s="62" customFormat="1" x14ac:dyDescent="0.3">
      <c r="A65" s="36"/>
      <c r="B65" s="36"/>
      <c r="C65" s="36"/>
      <c r="D65" s="1"/>
      <c r="E65" s="1"/>
      <c r="F65" s="5"/>
      <c r="G65" s="1"/>
      <c r="H65" s="1"/>
      <c r="I65" s="1"/>
      <c r="J65" s="5"/>
      <c r="K65" s="1"/>
      <c r="L65" s="1"/>
      <c r="M65" s="1"/>
      <c r="N65" s="5"/>
      <c r="O65" s="36"/>
      <c r="P65" s="1"/>
      <c r="Q65" s="1"/>
      <c r="R65" s="5"/>
      <c r="S65" s="1"/>
      <c r="T65" s="1"/>
      <c r="U65" s="1"/>
      <c r="V65" s="5"/>
      <c r="W65" s="1"/>
      <c r="X65" s="1"/>
      <c r="Y65" s="1"/>
      <c r="Z65" s="5"/>
    </row>
    <row r="66" spans="1:26" s="23" customFormat="1" collapsed="1" x14ac:dyDescent="0.3">
      <c r="A66" s="10"/>
      <c r="B66" s="25" t="s">
        <v>293</v>
      </c>
      <c r="C66" s="10"/>
      <c r="D66" s="4">
        <f>SUM(OSRRefD25x_0)</f>
        <v>108.16</v>
      </c>
      <c r="E66" s="4"/>
      <c r="F66" s="12">
        <f t="shared" ref="F66:F67" si="44">IF(D$12=0,0,D66/D$12)</f>
        <v>7.4257663657272324E-4</v>
      </c>
      <c r="G66" s="4"/>
      <c r="H66" s="4">
        <f>SUM(OSRRefH25x_0)</f>
        <v>2400</v>
      </c>
      <c r="I66" s="4"/>
      <c r="J66" s="12">
        <f t="shared" ref="J66:J67" si="45">IF(H$12=0,0,H66/H$12)</f>
        <v>5.7187790406748158E-2</v>
      </c>
      <c r="K66" s="4"/>
      <c r="L66" s="4">
        <f t="shared" ref="L66:L67" si="46">+D66-H66</f>
        <v>-2291.84</v>
      </c>
      <c r="M66" s="4"/>
      <c r="N66" s="12">
        <f t="shared" ref="N66:N67" si="47">IF(H66=0,0,L66/H66)</f>
        <v>-0.95493333333333341</v>
      </c>
      <c r="O66" s="10"/>
      <c r="P66" s="4">
        <f>SUM(OSRRefP25x_0)</f>
        <v>108.16</v>
      </c>
      <c r="Q66" s="4"/>
      <c r="R66" s="12">
        <f t="shared" ref="R66:R67" si="48">IF(P$12=0,0,P66/P$12)</f>
        <v>7.4257663657272324E-4</v>
      </c>
      <c r="S66" s="4"/>
      <c r="T66" s="4">
        <f>SUM(OSRRefT25x_0)</f>
        <v>2400</v>
      </c>
      <c r="U66" s="4"/>
      <c r="V66" s="12">
        <f t="shared" ref="V66:V67" si="49">IF(T$12=0,0,T66/T$12)</f>
        <v>5.7187790406748158E-2</v>
      </c>
      <c r="W66" s="4"/>
      <c r="X66" s="4">
        <f t="shared" ref="X66:X67" si="50">+P66-T66</f>
        <v>-2291.84</v>
      </c>
      <c r="Y66" s="4"/>
      <c r="Z66" s="12">
        <f t="shared" ref="Z66:Z67" si="51">IF(T66=0,0,X66/T66)</f>
        <v>-0.95493333333333341</v>
      </c>
    </row>
    <row r="67" spans="1:26" s="24" customFormat="1" hidden="1" outlineLevel="1" x14ac:dyDescent="0.3">
      <c r="A67" s="44"/>
      <c r="B67" s="11" t="str">
        <f>CONCATENATE("          ", "9150", " - ", "MISC. INCOME")</f>
        <v xml:space="preserve">          9150 - MISC. INCOME</v>
      </c>
      <c r="C67" s="11"/>
      <c r="D67" s="3">
        <f>--108.16</f>
        <v>108.16</v>
      </c>
      <c r="E67" s="3"/>
      <c r="F67" s="19">
        <f t="shared" si="44"/>
        <v>7.4257663657272324E-4</v>
      </c>
      <c r="G67" s="3"/>
      <c r="H67" s="3">
        <v>2400</v>
      </c>
      <c r="I67" s="3"/>
      <c r="J67" s="19">
        <f t="shared" si="45"/>
        <v>5.7187790406748158E-2</v>
      </c>
      <c r="K67" s="3"/>
      <c r="L67" s="3">
        <f t="shared" si="46"/>
        <v>-2291.84</v>
      </c>
      <c r="M67" s="3"/>
      <c r="N67" s="19">
        <f t="shared" si="47"/>
        <v>-0.95493333333333341</v>
      </c>
      <c r="O67" s="11"/>
      <c r="P67" s="3">
        <f>--108.16</f>
        <v>108.16</v>
      </c>
      <c r="Q67" s="3"/>
      <c r="R67" s="19">
        <f t="shared" si="48"/>
        <v>7.4257663657272324E-4</v>
      </c>
      <c r="S67" s="3"/>
      <c r="T67" s="3">
        <v>2400</v>
      </c>
      <c r="U67" s="3"/>
      <c r="V67" s="19">
        <f t="shared" si="49"/>
        <v>5.7187790406748158E-2</v>
      </c>
      <c r="W67" s="3"/>
      <c r="X67" s="3">
        <f t="shared" si="50"/>
        <v>-2291.84</v>
      </c>
      <c r="Y67" s="3"/>
      <c r="Z67" s="19">
        <f t="shared" si="51"/>
        <v>-0.95493333333333341</v>
      </c>
    </row>
    <row r="68" spans="1:26" x14ac:dyDescent="0.3">
      <c r="A68" s="9"/>
      <c r="B68" s="10"/>
      <c r="C68" s="10"/>
      <c r="D68" s="2"/>
      <c r="E68" s="2"/>
      <c r="F68" s="6"/>
      <c r="G68" s="2"/>
      <c r="H68" s="2"/>
      <c r="I68" s="2"/>
      <c r="J68" s="6"/>
      <c r="K68" s="2"/>
      <c r="L68" s="2"/>
      <c r="M68" s="2"/>
      <c r="N68" s="6"/>
      <c r="O68" s="10"/>
      <c r="P68" s="2"/>
      <c r="Q68" s="2"/>
      <c r="R68" s="6"/>
      <c r="S68" s="2"/>
      <c r="T68" s="2"/>
      <c r="U68" s="2"/>
      <c r="V68" s="6"/>
      <c r="W68" s="2"/>
      <c r="X68" s="2"/>
      <c r="Y68" s="2"/>
      <c r="Z68" s="6"/>
    </row>
    <row r="69" spans="1:26" s="23" customFormat="1" x14ac:dyDescent="0.3">
      <c r="A69" s="10"/>
      <c r="B69" s="26" t="s">
        <v>277</v>
      </c>
      <c r="C69" s="26"/>
      <c r="D69" s="21">
        <f>+D17-D19+D66</f>
        <v>0.14000000001047397</v>
      </c>
      <c r="E69" s="13"/>
      <c r="F69" s="22">
        <f>IF(D$12=0,0,D69/D$12)</f>
        <v>9.6117538025110001E-7</v>
      </c>
      <c r="G69" s="13"/>
      <c r="H69" s="21">
        <f>+H17-H19+H66</f>
        <v>4288.920138527872</v>
      </c>
      <c r="I69" s="13"/>
      <c r="J69" s="22">
        <f>IF(H$12=0,0,H69/H$12)</f>
        <v>0.10219744414725551</v>
      </c>
      <c r="K69" s="16"/>
      <c r="L69" s="21">
        <f>+D69-H69</f>
        <v>-4288.7801385278617</v>
      </c>
      <c r="M69" s="16"/>
      <c r="N69" s="22">
        <f>IF(H69=0,0,L69/H69)</f>
        <v>-0.99996735775078849</v>
      </c>
      <c r="O69" s="25"/>
      <c r="P69" s="21">
        <f>+P17-P19+P66</f>
        <v>0.14000000001047397</v>
      </c>
      <c r="Q69" s="13"/>
      <c r="R69" s="22">
        <f>IF(P$12=0,0,P69/P$12)</f>
        <v>9.6117538025110001E-7</v>
      </c>
      <c r="S69" s="13"/>
      <c r="T69" s="21">
        <f>+T17-T19+T66</f>
        <v>4288.920138527872</v>
      </c>
      <c r="U69" s="13"/>
      <c r="V69" s="22">
        <f>IF(T$12=0,0,T69/T$12)</f>
        <v>0.10219744414725551</v>
      </c>
      <c r="W69" s="16"/>
      <c r="X69" s="21">
        <f>+P69-T69</f>
        <v>-4288.7801385278617</v>
      </c>
      <c r="Y69" s="16"/>
      <c r="Z69" s="22">
        <f>IF(T69=0,0,X69/T69)</f>
        <v>-0.99996735775078849</v>
      </c>
    </row>
    <row r="70" spans="1:26" x14ac:dyDescent="0.3">
      <c r="A70" s="9"/>
      <c r="B70" s="10"/>
      <c r="C70" s="9"/>
      <c r="D70" s="2"/>
      <c r="E70" s="2"/>
      <c r="F70" s="6"/>
      <c r="G70" s="2"/>
      <c r="H70" s="2"/>
      <c r="I70" s="2"/>
      <c r="J70" s="6"/>
      <c r="K70" s="2"/>
      <c r="L70" s="2"/>
      <c r="M70" s="2"/>
      <c r="N70" s="6"/>
      <c r="P70" s="2"/>
      <c r="Q70" s="2"/>
      <c r="R70" s="6"/>
      <c r="S70" s="2"/>
      <c r="T70" s="2"/>
      <c r="U70" s="2"/>
      <c r="V70" s="6"/>
      <c r="W70" s="2"/>
      <c r="X70" s="2"/>
      <c r="Y70" s="2"/>
      <c r="Z70" s="6"/>
    </row>
    <row r="71" spans="1:26" s="23" customFormat="1" x14ac:dyDescent="0.3">
      <c r="A71" s="52"/>
      <c r="B71" s="10" t="s">
        <v>128</v>
      </c>
      <c r="C71" s="10"/>
      <c r="D71" s="4">
        <v>67292.009999999995</v>
      </c>
      <c r="E71" s="4"/>
      <c r="F71" s="12">
        <f>IF(D$12=0,0,D71/D$12)</f>
        <v>0.46199588067694203</v>
      </c>
      <c r="G71" s="4"/>
      <c r="H71" s="4">
        <v>15198</v>
      </c>
      <c r="I71" s="4"/>
      <c r="J71" s="12">
        <f>IF(H$12=0,0,H71/H$12)</f>
        <v>0.36214168275073272</v>
      </c>
      <c r="K71" s="4"/>
      <c r="L71" s="4">
        <f>+D71-H71</f>
        <v>52094.009999999995</v>
      </c>
      <c r="M71" s="4"/>
      <c r="N71" s="12">
        <f>IF(H71=0,0,L71/H71)</f>
        <v>3.4276885116462688</v>
      </c>
      <c r="O71" s="10"/>
      <c r="P71" s="4">
        <v>67292.009999999995</v>
      </c>
      <c r="Q71" s="4"/>
      <c r="R71" s="12">
        <f>IF(P$12=0,0,P71/P$12)</f>
        <v>0.46199588067694203</v>
      </c>
      <c r="S71" s="4"/>
      <c r="T71" s="4">
        <v>15198</v>
      </c>
      <c r="U71" s="4"/>
      <c r="V71" s="12">
        <f>IF(T$12=0,0,T71/T$12)</f>
        <v>0.36214168275073272</v>
      </c>
      <c r="W71" s="4"/>
      <c r="X71" s="4">
        <f>+P71-T71</f>
        <v>52094.009999999995</v>
      </c>
      <c r="Y71" s="4"/>
      <c r="Z71" s="12">
        <f>IF(T71=0,0,X71/T71)</f>
        <v>3.4276885116462688</v>
      </c>
    </row>
    <row r="72" spans="1:26" x14ac:dyDescent="0.3">
      <c r="A72" s="9"/>
      <c r="B72" s="10"/>
      <c r="C72" s="10"/>
      <c r="D72" s="2"/>
      <c r="E72" s="2"/>
      <c r="F72" s="6"/>
      <c r="G72" s="2"/>
      <c r="H72" s="2"/>
      <c r="I72" s="2"/>
      <c r="J72" s="6"/>
      <c r="K72" s="2"/>
      <c r="L72" s="2"/>
      <c r="M72" s="2"/>
      <c r="N72" s="6"/>
      <c r="O72" s="10"/>
      <c r="P72" s="2"/>
      <c r="Q72" s="2"/>
      <c r="R72" s="6"/>
      <c r="S72" s="2"/>
      <c r="T72" s="2"/>
      <c r="U72" s="2"/>
      <c r="V72" s="6"/>
      <c r="W72" s="2"/>
      <c r="X72" s="2"/>
      <c r="Y72" s="2"/>
      <c r="Z72" s="6"/>
    </row>
    <row r="73" spans="1:26" s="23" customFormat="1" ht="15" thickBot="1" x14ac:dyDescent="0.35">
      <c r="A73" s="10"/>
      <c r="B73" s="26" t="s">
        <v>126</v>
      </c>
      <c r="C73" s="26"/>
      <c r="D73" s="35">
        <f>+D69-D71</f>
        <v>-67291.869999999981</v>
      </c>
      <c r="E73" s="13"/>
      <c r="F73" s="30">
        <f>IF(D$12=0,0,D73/D$12)</f>
        <v>-0.4619949195015618</v>
      </c>
      <c r="G73" s="13"/>
      <c r="H73" s="35">
        <f>+H69-H71</f>
        <v>-10909.079861472128</v>
      </c>
      <c r="I73" s="13"/>
      <c r="J73" s="30">
        <f>IF(H$12=0,0,H73/H$12)</f>
        <v>-0.25994423860347721</v>
      </c>
      <c r="K73" s="16"/>
      <c r="L73" s="35">
        <f>D73-H73</f>
        <v>-56382.790138527853</v>
      </c>
      <c r="M73" s="16"/>
      <c r="N73" s="30">
        <f>IF(H73=0,0,L73/H73)</f>
        <v>5.1684276634234179</v>
      </c>
      <c r="O73" s="25"/>
      <c r="P73" s="35">
        <f>+P69-P71</f>
        <v>-67291.869999999981</v>
      </c>
      <c r="Q73" s="13"/>
      <c r="R73" s="30">
        <f>IF(P$12=0,0,P73/P$12)</f>
        <v>-0.4619949195015618</v>
      </c>
      <c r="S73" s="13"/>
      <c r="T73" s="35">
        <f>+T69-T71</f>
        <v>-10909.079861472128</v>
      </c>
      <c r="U73" s="13"/>
      <c r="V73" s="30">
        <f>IF(T$12=0,0,T73/T$12)</f>
        <v>-0.25994423860347721</v>
      </c>
      <c r="W73" s="16"/>
      <c r="X73" s="35">
        <f>P73-T73</f>
        <v>-56382.790138527853</v>
      </c>
      <c r="Y73" s="16"/>
      <c r="Z73" s="30">
        <f>IF(T73=0,0,X73/T73)</f>
        <v>5.1684276634234179</v>
      </c>
    </row>
    <row r="74" spans="1:26" ht="15" thickTop="1" x14ac:dyDescent="0.3">
      <c r="A74" s="9"/>
      <c r="B74" s="9"/>
      <c r="C74" s="9"/>
      <c r="D74" s="2"/>
      <c r="E74" s="2"/>
      <c r="F74" s="6"/>
      <c r="G74" s="2"/>
      <c r="H74" s="2"/>
      <c r="I74" s="2"/>
      <c r="J74" s="6"/>
      <c r="K74" s="2"/>
      <c r="L74" s="2"/>
      <c r="M74" s="2"/>
      <c r="N74" s="6"/>
      <c r="P74" s="2"/>
      <c r="Q74" s="2"/>
      <c r="R74" s="6"/>
      <c r="S74" s="2"/>
      <c r="T74" s="2"/>
      <c r="U74" s="2"/>
      <c r="V74" s="6"/>
      <c r="W74" s="2"/>
      <c r="X74" s="2"/>
      <c r="Y74" s="2"/>
      <c r="Z74" s="6"/>
    </row>
    <row r="75" spans="1:26" x14ac:dyDescent="0.3">
      <c r="A75" s="9"/>
      <c r="B75" s="9"/>
      <c r="C75" s="9"/>
      <c r="D75" s="2"/>
      <c r="E75" s="2"/>
      <c r="F75" s="6"/>
      <c r="G75" s="2"/>
      <c r="H75" s="2"/>
      <c r="I75" s="2"/>
      <c r="J75" s="6"/>
      <c r="K75" s="2"/>
      <c r="L75" s="2"/>
      <c r="M75" s="2"/>
      <c r="N75" s="6"/>
      <c r="P75" s="2"/>
      <c r="Q75" s="2"/>
      <c r="R75" s="6"/>
      <c r="S75" s="2"/>
      <c r="T75" s="2"/>
      <c r="U75" s="2"/>
      <c r="V75" s="6"/>
      <c r="W75" s="2"/>
      <c r="X75" s="2"/>
      <c r="Y75" s="2"/>
      <c r="Z75" s="6"/>
    </row>
    <row r="76" spans="1:26" s="23" customFormat="1" ht="15" thickBot="1" x14ac:dyDescent="0.35">
      <c r="A76" s="10"/>
      <c r="B76" s="26" t="s">
        <v>294</v>
      </c>
      <c r="C76" s="26"/>
      <c r="D76" s="33">
        <f>SUM(D73:D75)</f>
        <v>-67291.869999999981</v>
      </c>
      <c r="E76" s="13"/>
      <c r="F76" s="31">
        <f>IF(D$12=0,0,D76/D$12)</f>
        <v>-0.4619949195015618</v>
      </c>
      <c r="G76" s="13"/>
      <c r="H76" s="33">
        <f>SUM(H73:H75)</f>
        <v>-10909.079861472128</v>
      </c>
      <c r="I76" s="13"/>
      <c r="J76" s="31">
        <f>IF(H$12=0,0,H76/H$12)</f>
        <v>-0.25994423860347721</v>
      </c>
      <c r="K76" s="16"/>
      <c r="L76" s="33">
        <f>+D76-H76</f>
        <v>-56382.790138527853</v>
      </c>
      <c r="M76" s="16"/>
      <c r="N76" s="31">
        <f>IF(H76=0,0,L76/H76)</f>
        <v>5.1684276634234179</v>
      </c>
      <c r="O76" s="25"/>
      <c r="P76" s="33">
        <f>SUM(P73:P75)</f>
        <v>-67291.869999999981</v>
      </c>
      <c r="Q76" s="13"/>
      <c r="R76" s="31">
        <f>IF(P$12=0,0,P76/P$12)</f>
        <v>-0.4619949195015618</v>
      </c>
      <c r="S76" s="13"/>
      <c r="T76" s="33">
        <f>SUM(T73:T75)</f>
        <v>-10909.079861472128</v>
      </c>
      <c r="U76" s="13"/>
      <c r="V76" s="31">
        <f>IF(T$12=0,0,T76/T$12)</f>
        <v>-0.25994423860347721</v>
      </c>
      <c r="W76" s="16"/>
      <c r="X76" s="33">
        <f>+P76-T76</f>
        <v>-56382.790138527853</v>
      </c>
      <c r="Y76" s="16"/>
      <c r="Z76" s="31">
        <f>IF(T76=0,0,X76/T76)</f>
        <v>5.1684276634234179</v>
      </c>
    </row>
    <row r="77" spans="1:26" ht="15" thickTop="1" x14ac:dyDescent="0.3">
      <c r="A77" s="9"/>
      <c r="C77" s="9"/>
      <c r="D77" s="18"/>
      <c r="E77" s="18"/>
      <c r="G77" s="18"/>
      <c r="H77" s="18"/>
      <c r="I77" s="18"/>
      <c r="J77" s="43"/>
      <c r="K77" s="18"/>
      <c r="L77" s="18"/>
      <c r="M77" s="18"/>
      <c r="P77" s="18"/>
      <c r="Q77" s="18"/>
      <c r="R77" s="43"/>
      <c r="S77" s="18"/>
      <c r="T77" s="18"/>
      <c r="U77" s="18"/>
      <c r="V77" s="43"/>
      <c r="W77" s="18"/>
      <c r="X77" s="18"/>
    </row>
    <row r="78" spans="1:26" x14ac:dyDescent="0.3">
      <c r="A78" s="9"/>
      <c r="B78" s="54">
        <v>44462.645478043982</v>
      </c>
      <c r="D78" s="18"/>
      <c r="E78" s="18"/>
      <c r="G78" s="18"/>
      <c r="H78" s="18"/>
      <c r="I78" s="18"/>
      <c r="J78" s="43"/>
      <c r="K78" s="18"/>
      <c r="L78" s="18"/>
      <c r="M78" s="18"/>
      <c r="P78" s="18"/>
      <c r="Q78" s="18"/>
      <c r="R78" s="43"/>
      <c r="S78" s="18"/>
      <c r="T78" s="18"/>
      <c r="U78" s="18"/>
      <c r="V78" s="43"/>
      <c r="W78" s="18"/>
      <c r="X78" s="18"/>
    </row>
    <row r="79" spans="1:26" x14ac:dyDescent="0.3">
      <c r="A79" s="9"/>
      <c r="B79" s="59" t="s">
        <v>56</v>
      </c>
      <c r="D79" s="18"/>
      <c r="E79" s="18"/>
      <c r="G79" s="18"/>
      <c r="H79" s="18"/>
      <c r="I79" s="18"/>
      <c r="J79" s="43"/>
      <c r="K79" s="18"/>
      <c r="L79" s="18"/>
      <c r="M79" s="18"/>
      <c r="P79" s="18"/>
      <c r="Q79" s="18"/>
      <c r="R79" s="43"/>
      <c r="S79" s="18"/>
      <c r="T79" s="18"/>
      <c r="U79" s="18"/>
      <c r="V79" s="43"/>
      <c r="W79" s="18"/>
      <c r="X79" s="18"/>
    </row>
    <row r="80" spans="1:26" x14ac:dyDescent="0.3">
      <c r="A80" s="9"/>
      <c r="B80" s="55"/>
      <c r="D80" s="18"/>
      <c r="E80" s="18"/>
      <c r="G80" s="18"/>
      <c r="H80" s="18"/>
      <c r="I80" s="18"/>
      <c r="J80" s="43"/>
      <c r="K80" s="18"/>
      <c r="L80" s="18"/>
      <c r="M80" s="18"/>
      <c r="P80" s="18"/>
      <c r="Q80" s="18"/>
      <c r="R80" s="43"/>
      <c r="S80" s="18"/>
      <c r="T80" s="18"/>
      <c r="U80" s="18"/>
      <c r="V80" s="43"/>
      <c r="W80" s="18"/>
      <c r="X80" s="18"/>
    </row>
    <row r="81" spans="4:24" x14ac:dyDescent="0.3">
      <c r="D81" s="18"/>
      <c r="E81" s="18"/>
      <c r="G81" s="18"/>
      <c r="H81" s="18"/>
      <c r="I81" s="18"/>
      <c r="J81" s="43"/>
      <c r="K81" s="18"/>
      <c r="L81" s="18"/>
      <c r="M81" s="18"/>
      <c r="P81" s="18"/>
      <c r="Q81" s="18"/>
      <c r="R81" s="43"/>
      <c r="S81" s="18"/>
      <c r="T81" s="18"/>
      <c r="U81" s="18"/>
      <c r="V81" s="43"/>
      <c r="W81" s="18"/>
      <c r="X81" s="18"/>
    </row>
  </sheetData>
  <pageMargins left="0.25" right="0.25" top="0.75" bottom="0.75" header="0.3" footer="0.3"/>
  <pageSetup scale="55" fitToWidth="2" orientation="landscape"/>
  <drawing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>
    <tabColor rgb="FF92D050"/>
    <outlinePr summaryBelow="0" summaryRight="0"/>
  </sheetPr>
  <dimension ref="A2:Z8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50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7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50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7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7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7" customWidth="1" outlineLevel="1"/>
  </cols>
  <sheetData>
    <row r="2" spans="1:26" x14ac:dyDescent="0.3">
      <c r="D2" s="57" t="s">
        <v>23</v>
      </c>
    </row>
    <row r="3" spans="1:26" x14ac:dyDescent="0.3">
      <c r="D3" s="57" t="s">
        <v>237</v>
      </c>
      <c r="E3" s="17"/>
      <c r="F3" s="51"/>
      <c r="G3" s="17"/>
      <c r="H3" s="17"/>
      <c r="I3" s="17"/>
      <c r="J3" s="39"/>
      <c r="K3" s="17"/>
      <c r="L3" s="17"/>
      <c r="M3" s="17"/>
      <c r="N3" s="51"/>
      <c r="O3" s="61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3">
      <c r="D4" s="57" t="str">
        <f>CONCATENATE("Period ",RIGHT(202201,2),", ",2022)</f>
        <v>Period 01, 2022</v>
      </c>
      <c r="E4" s="17"/>
      <c r="F4" s="51"/>
      <c r="G4" s="17"/>
      <c r="H4" s="17"/>
      <c r="I4" s="17"/>
      <c r="J4" s="39"/>
      <c r="K4" s="17"/>
      <c r="L4" s="17"/>
      <c r="M4" s="17"/>
      <c r="N4" s="51"/>
      <c r="O4" s="61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3">
      <c r="A5" s="23"/>
      <c r="D5" s="64">
        <v>44408</v>
      </c>
      <c r="E5" s="17"/>
      <c r="F5" s="51"/>
      <c r="G5" s="17"/>
      <c r="H5" s="17"/>
      <c r="I5" s="17"/>
      <c r="J5" s="39"/>
      <c r="K5" s="17"/>
      <c r="L5" s="17"/>
      <c r="M5" s="17"/>
      <c r="N5" s="51"/>
      <c r="O5" s="61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3">
      <c r="A6" s="23"/>
      <c r="B6" s="47"/>
      <c r="C6" s="47"/>
      <c r="D6" s="23" t="str">
        <f>CONCATENATE("Department ","501", " - ", "ID Card Services")</f>
        <v>Department 501 - ID Card Services</v>
      </c>
      <c r="E6" s="17"/>
      <c r="F6" s="51"/>
      <c r="G6" s="17"/>
      <c r="H6" s="17"/>
      <c r="I6" s="17"/>
      <c r="J6" s="39"/>
      <c r="K6" s="17"/>
      <c r="L6" s="17"/>
      <c r="M6" s="17"/>
      <c r="N6" s="51"/>
      <c r="O6" s="60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3">
      <c r="B7" s="63"/>
    </row>
    <row r="8" spans="1:26" x14ac:dyDescent="0.3">
      <c r="B8" s="63"/>
    </row>
    <row r="9" spans="1:26" x14ac:dyDescent="0.3">
      <c r="B9" s="9"/>
      <c r="C9" s="9"/>
      <c r="D9" s="15" t="s">
        <v>292</v>
      </c>
      <c r="E9" s="15"/>
      <c r="F9" s="38"/>
      <c r="G9" s="15"/>
      <c r="H9" s="15"/>
      <c r="I9" s="15"/>
      <c r="J9" s="49"/>
      <c r="K9" s="15"/>
      <c r="L9" s="15"/>
      <c r="M9" s="15"/>
      <c r="N9" s="38"/>
      <c r="P9" s="15" t="s">
        <v>39</v>
      </c>
      <c r="Q9" s="15"/>
      <c r="R9" s="38"/>
      <c r="S9" s="15"/>
      <c r="T9" s="15"/>
      <c r="U9" s="15"/>
      <c r="V9" s="49"/>
      <c r="W9" s="15"/>
      <c r="X9" s="15"/>
      <c r="Y9" s="15"/>
      <c r="Z9" s="38"/>
    </row>
    <row r="10" spans="1:26" x14ac:dyDescent="0.3">
      <c r="A10" s="10"/>
      <c r="B10" s="53"/>
      <c r="C10" s="10"/>
      <c r="D10" s="42" t="s">
        <v>57</v>
      </c>
      <c r="E10" s="34"/>
      <c r="F10" s="40" t="s">
        <v>40</v>
      </c>
      <c r="G10" s="34"/>
      <c r="H10" s="45" t="s">
        <v>238</v>
      </c>
      <c r="I10" s="34"/>
      <c r="J10" s="48" t="s">
        <v>58</v>
      </c>
      <c r="K10" s="10"/>
      <c r="L10" s="42" t="s">
        <v>127</v>
      </c>
      <c r="M10" s="10"/>
      <c r="N10" s="40" t="s">
        <v>258</v>
      </c>
      <c r="O10" s="10"/>
      <c r="P10" s="56" t="s">
        <v>57</v>
      </c>
      <c r="Q10" s="34"/>
      <c r="R10" s="40" t="s">
        <v>40</v>
      </c>
      <c r="S10" s="34"/>
      <c r="T10" s="45" t="s">
        <v>238</v>
      </c>
      <c r="U10" s="34"/>
      <c r="V10" s="48" t="s">
        <v>58</v>
      </c>
      <c r="W10" s="10"/>
      <c r="X10" s="42" t="s">
        <v>127</v>
      </c>
      <c r="Y10" s="10"/>
      <c r="Z10" s="40" t="s">
        <v>258</v>
      </c>
    </row>
    <row r="11" spans="1:26" ht="15.6" x14ac:dyDescent="0.3">
      <c r="A11" s="9"/>
      <c r="B11" s="58"/>
      <c r="C11" s="9"/>
      <c r="D11" s="9"/>
      <c r="E11" s="9"/>
      <c r="F11" s="6"/>
      <c r="G11" s="9"/>
      <c r="H11" s="9"/>
      <c r="I11" s="9"/>
      <c r="J11" s="46"/>
      <c r="K11" s="9"/>
      <c r="L11" s="9"/>
      <c r="M11" s="9"/>
      <c r="N11" s="6"/>
      <c r="P11" s="9"/>
      <c r="Q11" s="9"/>
      <c r="R11" s="6"/>
      <c r="S11" s="9"/>
      <c r="T11" s="9"/>
      <c r="U11" s="9"/>
      <c r="V11" s="46"/>
      <c r="W11" s="9"/>
      <c r="X11" s="9"/>
      <c r="Y11" s="9"/>
      <c r="Z11" s="6"/>
    </row>
    <row r="12" spans="1:26" s="23" customFormat="1" collapsed="1" x14ac:dyDescent="0.3">
      <c r="A12" s="10"/>
      <c r="B12" s="25" t="s">
        <v>140</v>
      </c>
      <c r="C12" s="10"/>
      <c r="D12" s="4">
        <f>SUM(OSRRefD13x_0)</f>
        <v>145655</v>
      </c>
      <c r="E12" s="4"/>
      <c r="F12" s="12"/>
      <c r="G12" s="4"/>
      <c r="H12" s="4">
        <f>SUM(OSRRefH13x_0)</f>
        <v>41967</v>
      </c>
      <c r="I12" s="4"/>
      <c r="J12" s="12"/>
      <c r="K12" s="4"/>
      <c r="L12" s="4">
        <f t="shared" ref="L12:L13" si="0">+D12-H12</f>
        <v>103688</v>
      </c>
      <c r="M12" s="4"/>
      <c r="N12" s="12">
        <f t="shared" ref="N12:N13" si="1">IF(H12=0,0,L12/H12)</f>
        <v>2.4707031715395429</v>
      </c>
      <c r="O12" s="10"/>
      <c r="P12" s="4">
        <f>SUM(OSRRefP13x_0)</f>
        <v>145655</v>
      </c>
      <c r="Q12" s="4"/>
      <c r="R12" s="12"/>
      <c r="S12" s="4"/>
      <c r="T12" s="4">
        <f>SUM(OSRRefT13x_0)</f>
        <v>41967</v>
      </c>
      <c r="U12" s="4"/>
      <c r="V12" s="12"/>
      <c r="W12" s="4"/>
      <c r="X12" s="4">
        <f t="shared" ref="X12:X13" si="2">+P12-T12</f>
        <v>103688</v>
      </c>
      <c r="Y12" s="4"/>
      <c r="Z12" s="12">
        <f t="shared" ref="Z12:Z13" si="3">IF(T12=0,0,X12/T12)</f>
        <v>2.4707031715395429</v>
      </c>
    </row>
    <row r="13" spans="1:26" s="24" customFormat="1" hidden="1" outlineLevel="1" x14ac:dyDescent="0.3">
      <c r="A13" s="44"/>
      <c r="B13" s="11" t="str">
        <f>CONCATENATE("          ", "4100", " - ", "NON-TAXABLE SALES")</f>
        <v xml:space="preserve">          4100 - NON-TAXABLE SALES</v>
      </c>
      <c r="C13" s="11"/>
      <c r="D13" s="3">
        <f>--145655</f>
        <v>145655</v>
      </c>
      <c r="E13" s="3"/>
      <c r="F13" s="19"/>
      <c r="G13" s="3"/>
      <c r="H13" s="3">
        <v>41967</v>
      </c>
      <c r="I13" s="3"/>
      <c r="J13" s="19"/>
      <c r="K13" s="3"/>
      <c r="L13" s="3">
        <f t="shared" si="0"/>
        <v>103688</v>
      </c>
      <c r="M13" s="3"/>
      <c r="N13" s="19">
        <f t="shared" si="1"/>
        <v>2.4707031715395429</v>
      </c>
      <c r="O13" s="11"/>
      <c r="P13" s="3">
        <f>--145655</f>
        <v>145655</v>
      </c>
      <c r="Q13" s="3"/>
      <c r="R13" s="19"/>
      <c r="S13" s="3"/>
      <c r="T13" s="3">
        <v>41967</v>
      </c>
      <c r="U13" s="3"/>
      <c r="V13" s="19"/>
      <c r="W13" s="3"/>
      <c r="X13" s="3">
        <f t="shared" si="2"/>
        <v>103688</v>
      </c>
      <c r="Y13" s="3"/>
      <c r="Z13" s="19">
        <f t="shared" si="3"/>
        <v>2.4707031715395429</v>
      </c>
    </row>
    <row r="14" spans="1:26" x14ac:dyDescent="0.3">
      <c r="A14" s="9"/>
      <c r="B14" s="10"/>
      <c r="C14" s="9"/>
      <c r="D14" s="2"/>
      <c r="E14" s="2"/>
      <c r="F14" s="6"/>
      <c r="G14" s="2"/>
      <c r="H14" s="2"/>
      <c r="I14" s="2"/>
      <c r="J14" s="6"/>
      <c r="K14" s="2"/>
      <c r="L14" s="2"/>
      <c r="M14" s="2"/>
      <c r="N14" s="6"/>
      <c r="P14" s="2"/>
      <c r="Q14" s="2"/>
      <c r="R14" s="6"/>
      <c r="S14" s="2"/>
      <c r="T14" s="2"/>
      <c r="U14" s="2"/>
      <c r="V14" s="6"/>
      <c r="W14" s="2"/>
      <c r="X14" s="2"/>
      <c r="Y14" s="2"/>
      <c r="Z14" s="6"/>
    </row>
    <row r="15" spans="1:26" s="23" customFormat="1" x14ac:dyDescent="0.3">
      <c r="A15" s="10"/>
      <c r="B15" s="25" t="s">
        <v>257</v>
      </c>
      <c r="C15" s="10"/>
      <c r="D15" s="4">
        <f>SUM(0)</f>
        <v>0</v>
      </c>
      <c r="E15" s="4"/>
      <c r="F15" s="12">
        <f>IF(D$12=0,0,D15/D$12)</f>
        <v>0</v>
      </c>
      <c r="G15" s="4"/>
      <c r="H15" s="4">
        <f>SUM(0)</f>
        <v>0</v>
      </c>
      <c r="I15" s="4"/>
      <c r="J15" s="12">
        <f>IF(H$12=0,0,H15/H$12)</f>
        <v>0</v>
      </c>
      <c r="K15" s="4"/>
      <c r="L15" s="4">
        <f>+D15-H15</f>
        <v>0</v>
      </c>
      <c r="M15" s="4"/>
      <c r="N15" s="12">
        <f>IF(H15=0,0,L15/H15)</f>
        <v>0</v>
      </c>
      <c r="O15" s="10"/>
      <c r="P15" s="4">
        <f>SUM(0)</f>
        <v>0</v>
      </c>
      <c r="Q15" s="4"/>
      <c r="R15" s="12">
        <f>IF(P$12=0,0,P15/P$12)</f>
        <v>0</v>
      </c>
      <c r="S15" s="4"/>
      <c r="T15" s="4">
        <f>SUM(0)</f>
        <v>0</v>
      </c>
      <c r="U15" s="4"/>
      <c r="V15" s="12">
        <f>IF(T$12=0,0,T15/T$12)</f>
        <v>0</v>
      </c>
      <c r="W15" s="4"/>
      <c r="X15" s="4">
        <f>+P15-T15</f>
        <v>0</v>
      </c>
      <c r="Y15" s="4"/>
      <c r="Z15" s="12">
        <f>IF(T15=0,0,X15/T15)</f>
        <v>0</v>
      </c>
    </row>
    <row r="16" spans="1:26" x14ac:dyDescent="0.3">
      <c r="A16" s="9"/>
      <c r="B16" s="10"/>
      <c r="C16" s="10"/>
      <c r="D16" s="2"/>
      <c r="E16" s="2"/>
      <c r="F16" s="6"/>
      <c r="G16" s="2"/>
      <c r="H16" s="2"/>
      <c r="I16" s="2"/>
      <c r="J16" s="6"/>
      <c r="K16" s="2"/>
      <c r="L16" s="2"/>
      <c r="M16" s="2"/>
      <c r="N16" s="6"/>
      <c r="O16" s="10"/>
      <c r="P16" s="2"/>
      <c r="Q16" s="2"/>
      <c r="R16" s="6"/>
      <c r="S16" s="2"/>
      <c r="T16" s="2"/>
      <c r="U16" s="2"/>
      <c r="V16" s="6"/>
      <c r="W16" s="2"/>
      <c r="X16" s="2"/>
      <c r="Y16" s="2"/>
      <c r="Z16" s="6"/>
    </row>
    <row r="17" spans="1:26" s="23" customFormat="1" x14ac:dyDescent="0.3">
      <c r="A17" s="10"/>
      <c r="B17" s="26" t="s">
        <v>108</v>
      </c>
      <c r="C17" s="26"/>
      <c r="D17" s="21">
        <f>D12-D15</f>
        <v>145655</v>
      </c>
      <c r="E17" s="13"/>
      <c r="F17" s="22">
        <f>IF(D$12=0,0,D17/D$12)</f>
        <v>1</v>
      </c>
      <c r="G17" s="13"/>
      <c r="H17" s="21">
        <f>H12-H15</f>
        <v>41967</v>
      </c>
      <c r="I17" s="13"/>
      <c r="J17" s="22">
        <f>IF(H$12=0,0,H17/H$12)</f>
        <v>1</v>
      </c>
      <c r="K17" s="16"/>
      <c r="L17" s="21">
        <f>+D17-H17</f>
        <v>103688</v>
      </c>
      <c r="M17" s="16"/>
      <c r="N17" s="22">
        <f>IF(H17=0,0,L17/H17)</f>
        <v>2.4707031715395429</v>
      </c>
      <c r="O17" s="25"/>
      <c r="P17" s="21">
        <f>P12-P15</f>
        <v>145655</v>
      </c>
      <c r="Q17" s="13"/>
      <c r="R17" s="22">
        <f>IF(P$12=0,0,P17/P$12)</f>
        <v>1</v>
      </c>
      <c r="S17" s="13"/>
      <c r="T17" s="21">
        <f>T12-T15</f>
        <v>41967</v>
      </c>
      <c r="U17" s="13"/>
      <c r="V17" s="22">
        <f>IF(T$12=0,0,T17/T$12)</f>
        <v>1</v>
      </c>
      <c r="W17" s="16"/>
      <c r="X17" s="21">
        <f>+P17-T17</f>
        <v>103688</v>
      </c>
      <c r="Y17" s="16"/>
      <c r="Z17" s="22">
        <f>IF(T17=0,0,X17/T17)</f>
        <v>2.4707031715395429</v>
      </c>
    </row>
    <row r="18" spans="1:26" x14ac:dyDescent="0.3">
      <c r="A18" s="9"/>
      <c r="B18" s="10"/>
      <c r="C18" s="9"/>
      <c r="D18" s="1"/>
      <c r="E18" s="1"/>
      <c r="F18" s="5"/>
      <c r="G18" s="1"/>
      <c r="H18" s="1"/>
      <c r="I18" s="1"/>
      <c r="J18" s="5"/>
      <c r="K18" s="1"/>
      <c r="L18" s="1"/>
      <c r="M18" s="1"/>
      <c r="N18" s="5"/>
      <c r="O18" s="36"/>
      <c r="P18" s="1"/>
      <c r="Q18" s="1"/>
      <c r="R18" s="5"/>
      <c r="S18" s="1"/>
      <c r="T18" s="1"/>
      <c r="U18" s="1"/>
      <c r="V18" s="5"/>
      <c r="W18" s="1"/>
      <c r="X18" s="1"/>
      <c r="Y18" s="1"/>
      <c r="Z18" s="5"/>
    </row>
    <row r="19" spans="1:26" s="23" customFormat="1" x14ac:dyDescent="0.3">
      <c r="A19" s="10"/>
      <c r="B19" s="25" t="s">
        <v>295</v>
      </c>
      <c r="C19" s="10"/>
      <c r="D19" s="20">
        <f>SUM(OSRRefD22x_0)</f>
        <v>145763.01999999999</v>
      </c>
      <c r="E19" s="20"/>
      <c r="F19" s="32">
        <f t="shared" ref="F19:F29" si="4">IF(D$12=0,0,D19/D$12)</f>
        <v>1.0007416154611926</v>
      </c>
      <c r="G19" s="20"/>
      <c r="H19" s="20">
        <f>SUM(OSRRefH22x_0)</f>
        <v>40078.079861472128</v>
      </c>
      <c r="I19" s="20"/>
      <c r="J19" s="32">
        <f t="shared" ref="J19:J29" si="5">IF(H$12=0,0,H19/H$12)</f>
        <v>0.95499034625949264</v>
      </c>
      <c r="K19" s="4"/>
      <c r="L19" s="20">
        <f t="shared" ref="L19:L29" si="6">+D19-H19</f>
        <v>105684.94013852786</v>
      </c>
      <c r="M19" s="4"/>
      <c r="N19" s="32">
        <f t="shared" ref="N19:N29" si="7">IF(H19=0,0,L19/H19)</f>
        <v>2.636976135179693</v>
      </c>
      <c r="O19" s="10"/>
      <c r="P19" s="20">
        <f>SUM(OSRRefP22x_0)</f>
        <v>145763.01999999999</v>
      </c>
      <c r="Q19" s="20"/>
      <c r="R19" s="32">
        <f t="shared" ref="R19:R29" si="8">IF(P$12=0,0,P19/P$12)</f>
        <v>1.0007416154611926</v>
      </c>
      <c r="S19" s="20"/>
      <c r="T19" s="20">
        <f>SUM(OSRRefT22x_0)</f>
        <v>40078.079861472128</v>
      </c>
      <c r="U19" s="20"/>
      <c r="V19" s="32">
        <f t="shared" ref="V19:V29" si="9">IF(T$12=0,0,T19/T$12)</f>
        <v>0.95499034625949264</v>
      </c>
      <c r="W19" s="4"/>
      <c r="X19" s="20">
        <f t="shared" ref="X19:X29" si="10">+P19-T19</f>
        <v>105684.94013852786</v>
      </c>
      <c r="Y19" s="4"/>
      <c r="Z19" s="32">
        <f t="shared" ref="Z19:Z29" si="11">IF(T19=0,0,X19/T19)</f>
        <v>2.636976135179693</v>
      </c>
    </row>
    <row r="20" spans="1:26" s="27" customFormat="1" outlineLevel="1" collapsed="1" x14ac:dyDescent="0.3">
      <c r="A20" s="28"/>
      <c r="B20" s="14" t="str">
        <f>CONCATENATE("     ","*Benefits                                         ")</f>
        <v xml:space="preserve">     *Benefits                                         </v>
      </c>
      <c r="C20" s="14"/>
      <c r="D20" s="1">
        <f>SUM(OSRRefD22_0x_0)</f>
        <v>3801.83</v>
      </c>
      <c r="E20" s="1"/>
      <c r="F20" s="5">
        <f t="shared" si="4"/>
        <v>2.6101609968761801E-2</v>
      </c>
      <c r="G20" s="1"/>
      <c r="H20" s="1">
        <f>SUM(OSRRefH22_0x_0)</f>
        <v>4881.7820585875061</v>
      </c>
      <c r="I20" s="1"/>
      <c r="J20" s="5">
        <f t="shared" si="5"/>
        <v>0.11632430382413578</v>
      </c>
      <c r="K20" s="1"/>
      <c r="L20" s="1">
        <f t="shared" si="6"/>
        <v>-1079.9520585875061</v>
      </c>
      <c r="M20" s="1"/>
      <c r="N20" s="5">
        <f t="shared" si="7"/>
        <v>-0.22122086681189929</v>
      </c>
      <c r="O20" s="14"/>
      <c r="P20" s="1">
        <f>SUM(OSRRefP22_0x_0)</f>
        <v>3801.83</v>
      </c>
      <c r="Q20" s="1"/>
      <c r="R20" s="5">
        <f t="shared" si="8"/>
        <v>2.6101609968761801E-2</v>
      </c>
      <c r="S20" s="1"/>
      <c r="T20" s="1">
        <f>SUM(OSRRefT22_0x_0)</f>
        <v>4881.7820585875061</v>
      </c>
      <c r="U20" s="1"/>
      <c r="V20" s="5">
        <f t="shared" si="9"/>
        <v>0.11632430382413578</v>
      </c>
      <c r="W20" s="1"/>
      <c r="X20" s="1">
        <f t="shared" si="10"/>
        <v>-1079.9520585875061</v>
      </c>
      <c r="Y20" s="1"/>
      <c r="Z20" s="5">
        <f t="shared" si="11"/>
        <v>-0.22122086681189929</v>
      </c>
    </row>
    <row r="21" spans="1:26" s="24" customFormat="1" hidden="1" outlineLevel="2" x14ac:dyDescent="0.3">
      <c r="A21" s="29"/>
      <c r="B21" s="11" t="str">
        <f>CONCATENATE("          ", "6111", " - ", "F.I.C.A.")</f>
        <v xml:space="preserve">          6111 - F.I.C.A.</v>
      </c>
      <c r="C21" s="11"/>
      <c r="D21" s="8">
        <v>1188.3599999999999</v>
      </c>
      <c r="E21" s="3"/>
      <c r="F21" s="7">
        <f t="shared" si="4"/>
        <v>8.1587312484981619E-3</v>
      </c>
      <c r="G21" s="3"/>
      <c r="H21" s="8">
        <v>1829.8764298471201</v>
      </c>
      <c r="I21" s="3"/>
      <c r="J21" s="7">
        <f t="shared" si="5"/>
        <v>4.3602745725144047E-2</v>
      </c>
      <c r="K21" s="3"/>
      <c r="L21" s="8">
        <f t="shared" si="6"/>
        <v>-641.51642984712021</v>
      </c>
      <c r="M21" s="3"/>
      <c r="N21" s="7">
        <f t="shared" si="7"/>
        <v>-0.35057909888522731</v>
      </c>
      <c r="O21" s="11"/>
      <c r="P21" s="8">
        <v>1188.3599999999999</v>
      </c>
      <c r="Q21" s="3"/>
      <c r="R21" s="7">
        <f t="shared" si="8"/>
        <v>8.1587312484981619E-3</v>
      </c>
      <c r="S21" s="3"/>
      <c r="T21" s="8">
        <v>1829.8764298471201</v>
      </c>
      <c r="U21" s="3"/>
      <c r="V21" s="7">
        <f t="shared" si="9"/>
        <v>4.3602745725144047E-2</v>
      </c>
      <c r="W21" s="3"/>
      <c r="X21" s="8">
        <f t="shared" si="10"/>
        <v>-641.51642984712021</v>
      </c>
      <c r="Y21" s="3"/>
      <c r="Z21" s="7">
        <f t="shared" si="11"/>
        <v>-0.35057909888522731</v>
      </c>
    </row>
    <row r="22" spans="1:26" s="24" customFormat="1" hidden="1" outlineLevel="2" x14ac:dyDescent="0.3">
      <c r="A22" s="29"/>
      <c r="B22" s="11" t="str">
        <f>CONCATENATE("          ", "6112", " - ", "COMPENSATION INSURANCE")</f>
        <v xml:space="preserve">          6112 - COMPENSATION INSURANCE</v>
      </c>
      <c r="C22" s="11"/>
      <c r="D22" s="8">
        <v>157.99</v>
      </c>
      <c r="E22" s="3"/>
      <c r="F22" s="7">
        <f t="shared" si="4"/>
        <v>1.0846864165322166E-3</v>
      </c>
      <c r="G22" s="3"/>
      <c r="H22" s="8">
        <v>373.00499550000001</v>
      </c>
      <c r="I22" s="3"/>
      <c r="J22" s="7">
        <f t="shared" si="5"/>
        <v>8.8880547930516845E-3</v>
      </c>
      <c r="K22" s="3"/>
      <c r="L22" s="8">
        <f t="shared" si="6"/>
        <v>-215.0149955</v>
      </c>
      <c r="M22" s="3"/>
      <c r="N22" s="7">
        <f t="shared" si="7"/>
        <v>-0.57643998899205084</v>
      </c>
      <c r="O22" s="11"/>
      <c r="P22" s="8">
        <v>157.99</v>
      </c>
      <c r="Q22" s="3"/>
      <c r="R22" s="7">
        <f t="shared" si="8"/>
        <v>1.0846864165322166E-3</v>
      </c>
      <c r="S22" s="3"/>
      <c r="T22" s="8">
        <v>373.00499550000001</v>
      </c>
      <c r="U22" s="3"/>
      <c r="V22" s="7">
        <f t="shared" si="9"/>
        <v>8.8880547930516845E-3</v>
      </c>
      <c r="W22" s="3"/>
      <c r="X22" s="8">
        <f t="shared" si="10"/>
        <v>-215.0149955</v>
      </c>
      <c r="Y22" s="3"/>
      <c r="Z22" s="7">
        <f t="shared" si="11"/>
        <v>-0.57643998899205084</v>
      </c>
    </row>
    <row r="23" spans="1:26" s="24" customFormat="1" hidden="1" outlineLevel="2" x14ac:dyDescent="0.3">
      <c r="A23" s="29"/>
      <c r="B23" s="11" t="str">
        <f>CONCATENATE("          ", "6113", " - ", "GROUP INSURANCE")</f>
        <v xml:space="preserve">          6113 - GROUP INSURANCE</v>
      </c>
      <c r="C23" s="11"/>
      <c r="D23" s="8">
        <v>1054.3499999999999</v>
      </c>
      <c r="E23" s="3"/>
      <c r="F23" s="7">
        <f t="shared" si="4"/>
        <v>7.2386804435137821E-3</v>
      </c>
      <c r="G23" s="3"/>
      <c r="H23" s="8">
        <v>1022.5</v>
      </c>
      <c r="I23" s="3"/>
      <c r="J23" s="7">
        <f t="shared" si="5"/>
        <v>2.4364381537874995E-2</v>
      </c>
      <c r="K23" s="3"/>
      <c r="L23" s="8">
        <f t="shared" si="6"/>
        <v>31.849999999999909</v>
      </c>
      <c r="M23" s="3"/>
      <c r="N23" s="7">
        <f t="shared" si="7"/>
        <v>3.114914425427864E-2</v>
      </c>
      <c r="O23" s="11"/>
      <c r="P23" s="8">
        <v>1054.3499999999999</v>
      </c>
      <c r="Q23" s="3"/>
      <c r="R23" s="7">
        <f t="shared" si="8"/>
        <v>7.2386804435137821E-3</v>
      </c>
      <c r="S23" s="3"/>
      <c r="T23" s="8">
        <v>1022.5</v>
      </c>
      <c r="U23" s="3"/>
      <c r="V23" s="7">
        <f t="shared" si="9"/>
        <v>2.4364381537874995E-2</v>
      </c>
      <c r="W23" s="3"/>
      <c r="X23" s="8">
        <f t="shared" si="10"/>
        <v>31.849999999999909</v>
      </c>
      <c r="Y23" s="3"/>
      <c r="Z23" s="7">
        <f t="shared" si="11"/>
        <v>3.114914425427864E-2</v>
      </c>
    </row>
    <row r="24" spans="1:26" s="24" customFormat="1" hidden="1" outlineLevel="2" x14ac:dyDescent="0.3">
      <c r="A24" s="29"/>
      <c r="B24" s="11" t="str">
        <f>CONCATENATE("          ", "6114", " - ", "STATE UNEMPLOYMENT INSURANCE")</f>
        <v xml:space="preserve">          6114 - STATE UNEMPLOYMENT INSURANCE</v>
      </c>
      <c r="C24" s="11"/>
      <c r="D24" s="8">
        <v>31.34</v>
      </c>
      <c r="E24" s="3"/>
      <c r="F24" s="7">
        <f t="shared" si="4"/>
        <v>2.1516597439154165E-4</v>
      </c>
      <c r="G24" s="3"/>
      <c r="H24" s="8">
        <v>50.212210932692301</v>
      </c>
      <c r="I24" s="3"/>
      <c r="J24" s="7">
        <f t="shared" si="5"/>
        <v>1.196468914449265E-3</v>
      </c>
      <c r="K24" s="3"/>
      <c r="L24" s="8">
        <f t="shared" si="6"/>
        <v>-18.872210932692301</v>
      </c>
      <c r="M24" s="3"/>
      <c r="N24" s="7">
        <f t="shared" si="7"/>
        <v>-0.37584903317620955</v>
      </c>
      <c r="O24" s="11"/>
      <c r="P24" s="8">
        <v>31.34</v>
      </c>
      <c r="Q24" s="3"/>
      <c r="R24" s="7">
        <f t="shared" si="8"/>
        <v>2.1516597439154165E-4</v>
      </c>
      <c r="S24" s="3"/>
      <c r="T24" s="8">
        <v>50.212210932692301</v>
      </c>
      <c r="U24" s="3"/>
      <c r="V24" s="7">
        <f t="shared" si="9"/>
        <v>1.196468914449265E-3</v>
      </c>
      <c r="W24" s="3"/>
      <c r="X24" s="8">
        <f t="shared" si="10"/>
        <v>-18.872210932692301</v>
      </c>
      <c r="Y24" s="3"/>
      <c r="Z24" s="7">
        <f t="shared" si="11"/>
        <v>-0.37584903317620955</v>
      </c>
    </row>
    <row r="25" spans="1:26" s="24" customFormat="1" hidden="1" outlineLevel="2" x14ac:dyDescent="0.3">
      <c r="A25" s="29"/>
      <c r="B25" s="11" t="str">
        <f>CONCATENATE("          ", "6115", " - ", "P.E.R.S.")</f>
        <v xml:space="preserve">          6115 - P.E.R.S.</v>
      </c>
      <c r="C25" s="11"/>
      <c r="D25" s="8">
        <v>586.58000000000004</v>
      </c>
      <c r="E25" s="3"/>
      <c r="F25" s="7">
        <f t="shared" si="4"/>
        <v>4.0271875321822113E-3</v>
      </c>
      <c r="G25" s="3"/>
      <c r="H25" s="8">
        <v>721.15959057692396</v>
      </c>
      <c r="I25" s="3"/>
      <c r="J25" s="7">
        <f t="shared" si="5"/>
        <v>1.7183968131553935E-2</v>
      </c>
      <c r="K25" s="3"/>
      <c r="L25" s="8">
        <f t="shared" si="6"/>
        <v>-134.57959057692392</v>
      </c>
      <c r="M25" s="3"/>
      <c r="N25" s="7">
        <f t="shared" si="7"/>
        <v>-0.18661554576187628</v>
      </c>
      <c r="O25" s="11"/>
      <c r="P25" s="8">
        <v>586.58000000000004</v>
      </c>
      <c r="Q25" s="3"/>
      <c r="R25" s="7">
        <f t="shared" si="8"/>
        <v>4.0271875321822113E-3</v>
      </c>
      <c r="S25" s="3"/>
      <c r="T25" s="8">
        <v>721.15959057692396</v>
      </c>
      <c r="U25" s="3"/>
      <c r="V25" s="7">
        <f t="shared" si="9"/>
        <v>1.7183968131553935E-2</v>
      </c>
      <c r="W25" s="3"/>
      <c r="X25" s="8">
        <f t="shared" si="10"/>
        <v>-134.57959057692392</v>
      </c>
      <c r="Y25" s="3"/>
      <c r="Z25" s="7">
        <f t="shared" si="11"/>
        <v>-0.18661554576187628</v>
      </c>
    </row>
    <row r="26" spans="1:26" s="24" customFormat="1" hidden="1" outlineLevel="2" x14ac:dyDescent="0.3">
      <c r="A26" s="29"/>
      <c r="B26" s="11" t="str">
        <f>CONCATENATE("          ", "6116", " - ", "EDUCATIONAL BENEFITS")</f>
        <v xml:space="preserve">          6116 - EDUCATIONAL BENEFITS</v>
      </c>
      <c r="C26" s="11"/>
      <c r="D26" s="8"/>
      <c r="E26" s="3"/>
      <c r="F26" s="7">
        <f t="shared" si="4"/>
        <v>0</v>
      </c>
      <c r="G26" s="3"/>
      <c r="H26" s="8">
        <v>0</v>
      </c>
      <c r="I26" s="3"/>
      <c r="J26" s="7">
        <f t="shared" si="5"/>
        <v>0</v>
      </c>
      <c r="K26" s="3"/>
      <c r="L26" s="8">
        <f t="shared" si="6"/>
        <v>0</v>
      </c>
      <c r="M26" s="3"/>
      <c r="N26" s="7">
        <f t="shared" si="7"/>
        <v>0</v>
      </c>
      <c r="O26" s="11"/>
      <c r="P26" s="8"/>
      <c r="Q26" s="3"/>
      <c r="R26" s="7">
        <f t="shared" si="8"/>
        <v>0</v>
      </c>
      <c r="S26" s="3"/>
      <c r="T26" s="8">
        <v>0</v>
      </c>
      <c r="U26" s="3"/>
      <c r="V26" s="7">
        <f t="shared" si="9"/>
        <v>0</v>
      </c>
      <c r="W26" s="3"/>
      <c r="X26" s="8">
        <f t="shared" si="10"/>
        <v>0</v>
      </c>
      <c r="Y26" s="3"/>
      <c r="Z26" s="7">
        <f t="shared" si="11"/>
        <v>0</v>
      </c>
    </row>
    <row r="27" spans="1:26" s="24" customFormat="1" hidden="1" outlineLevel="2" x14ac:dyDescent="0.3">
      <c r="A27" s="29"/>
      <c r="B27" s="11" t="str">
        <f>CONCATENATE("          ", "6117", " - ", "RETIREMENT STAFF HOURLY")</f>
        <v xml:space="preserve">          6117 - RETIREMENT STAFF HOURLY</v>
      </c>
      <c r="C27" s="11"/>
      <c r="D27" s="8">
        <v>102.54</v>
      </c>
      <c r="E27" s="3"/>
      <c r="F27" s="7">
        <f t="shared" si="4"/>
        <v>7.039923105969586E-4</v>
      </c>
      <c r="G27" s="3"/>
      <c r="H27" s="8"/>
      <c r="I27" s="3"/>
      <c r="J27" s="7">
        <f t="shared" si="5"/>
        <v>0</v>
      </c>
      <c r="K27" s="3"/>
      <c r="L27" s="8">
        <f t="shared" si="6"/>
        <v>102.54</v>
      </c>
      <c r="M27" s="3"/>
      <c r="N27" s="7">
        <f t="shared" si="7"/>
        <v>0</v>
      </c>
      <c r="O27" s="11"/>
      <c r="P27" s="8">
        <v>102.54</v>
      </c>
      <c r="Q27" s="3"/>
      <c r="R27" s="7">
        <f t="shared" si="8"/>
        <v>7.039923105969586E-4</v>
      </c>
      <c r="S27" s="3"/>
      <c r="T27" s="8"/>
      <c r="U27" s="3"/>
      <c r="V27" s="7">
        <f t="shared" si="9"/>
        <v>0</v>
      </c>
      <c r="W27" s="3"/>
      <c r="X27" s="8">
        <f t="shared" si="10"/>
        <v>102.54</v>
      </c>
      <c r="Y27" s="3"/>
      <c r="Z27" s="7">
        <f t="shared" si="11"/>
        <v>0</v>
      </c>
    </row>
    <row r="28" spans="1:26" s="24" customFormat="1" hidden="1" outlineLevel="2" x14ac:dyDescent="0.3">
      <c r="A28" s="29"/>
      <c r="B28" s="11" t="str">
        <f>CONCATENATE("          ", "6118", " - ", "VACATION")</f>
        <v xml:space="preserve">          6118 - VACATION</v>
      </c>
      <c r="C28" s="11"/>
      <c r="D28" s="8">
        <v>413.76</v>
      </c>
      <c r="E28" s="3"/>
      <c r="F28" s="7">
        <f t="shared" si="4"/>
        <v>2.840685180735299E-3</v>
      </c>
      <c r="G28" s="3"/>
      <c r="H28" s="8">
        <v>251.56729903846201</v>
      </c>
      <c r="I28" s="3"/>
      <c r="J28" s="7">
        <f t="shared" si="5"/>
        <v>5.994407487751376E-3</v>
      </c>
      <c r="K28" s="3"/>
      <c r="L28" s="8">
        <f t="shared" si="6"/>
        <v>162.19270096153798</v>
      </c>
      <c r="M28" s="3"/>
      <c r="N28" s="7">
        <f t="shared" si="7"/>
        <v>0.6447288720810268</v>
      </c>
      <c r="O28" s="11"/>
      <c r="P28" s="8">
        <v>413.76</v>
      </c>
      <c r="Q28" s="3"/>
      <c r="R28" s="7">
        <f t="shared" si="8"/>
        <v>2.840685180735299E-3</v>
      </c>
      <c r="S28" s="3"/>
      <c r="T28" s="8">
        <v>251.56729903846201</v>
      </c>
      <c r="U28" s="3"/>
      <c r="V28" s="7">
        <f t="shared" si="9"/>
        <v>5.994407487751376E-3</v>
      </c>
      <c r="W28" s="3"/>
      <c r="X28" s="8">
        <f t="shared" si="10"/>
        <v>162.19270096153798</v>
      </c>
      <c r="Y28" s="3"/>
      <c r="Z28" s="7">
        <f t="shared" si="11"/>
        <v>0.6447288720810268</v>
      </c>
    </row>
    <row r="29" spans="1:26" s="24" customFormat="1" hidden="1" outlineLevel="2" x14ac:dyDescent="0.3">
      <c r="A29" s="29"/>
      <c r="B29" s="11" t="str">
        <f>CONCATENATE("          ", "6119", " - ", "SICK LEAVE")</f>
        <v xml:space="preserve">          6119 - SICK LEAVE</v>
      </c>
      <c r="C29" s="11"/>
      <c r="D29" s="8">
        <v>266.91000000000003</v>
      </c>
      <c r="E29" s="3"/>
      <c r="F29" s="7">
        <f t="shared" si="4"/>
        <v>1.8324808623116269E-3</v>
      </c>
      <c r="G29" s="3"/>
      <c r="H29" s="8">
        <v>633.46153269230797</v>
      </c>
      <c r="I29" s="3"/>
      <c r="J29" s="7">
        <f t="shared" si="5"/>
        <v>1.5094277234310482E-2</v>
      </c>
      <c r="K29" s="3"/>
      <c r="L29" s="8">
        <f t="shared" si="6"/>
        <v>-366.55153269230794</v>
      </c>
      <c r="M29" s="3"/>
      <c r="N29" s="7">
        <f t="shared" si="7"/>
        <v>-0.57864844789297321</v>
      </c>
      <c r="O29" s="11"/>
      <c r="P29" s="8">
        <v>266.91000000000003</v>
      </c>
      <c r="Q29" s="3"/>
      <c r="R29" s="7">
        <f t="shared" si="8"/>
        <v>1.8324808623116269E-3</v>
      </c>
      <c r="S29" s="3"/>
      <c r="T29" s="8">
        <v>633.46153269230797</v>
      </c>
      <c r="U29" s="3"/>
      <c r="V29" s="7">
        <f t="shared" si="9"/>
        <v>1.5094277234310482E-2</v>
      </c>
      <c r="W29" s="3"/>
      <c r="X29" s="8">
        <f t="shared" si="10"/>
        <v>-366.55153269230794</v>
      </c>
      <c r="Y29" s="3"/>
      <c r="Z29" s="7">
        <f t="shared" si="11"/>
        <v>-0.57864844789297321</v>
      </c>
    </row>
    <row r="30" spans="1:26" s="27" customFormat="1" outlineLevel="1" collapsed="1" x14ac:dyDescent="0.3">
      <c r="A30" s="28"/>
      <c r="B30" s="14" t="str">
        <f>CONCATENATE("     ","*Payroll                                          ")</f>
        <v xml:space="preserve">     *Payroll                                          </v>
      </c>
      <c r="C30" s="14"/>
      <c r="D30" s="1">
        <f>SUM(OSRRefD22_1x_0)</f>
        <v>18970.560000000001</v>
      </c>
      <c r="E30" s="1"/>
      <c r="F30" s="5">
        <f t="shared" ref="F30:F40" si="12">IF(D$12=0,0,D30/D$12)</f>
        <v>0.13024310871580105</v>
      </c>
      <c r="G30" s="1"/>
      <c r="H30" s="1">
        <f>SUM(OSRRefH22_1x_0)</f>
        <v>23491.297802884619</v>
      </c>
      <c r="I30" s="1"/>
      <c r="J30" s="5">
        <f t="shared" ref="J30:J40" si="13">IF(H$12=0,0,H30/H$12)</f>
        <v>0.55975642297244543</v>
      </c>
      <c r="K30" s="1"/>
      <c r="L30" s="1">
        <f t="shared" ref="L30:L40" si="14">+D30-H30</f>
        <v>-4520.7378028846178</v>
      </c>
      <c r="M30" s="1"/>
      <c r="N30" s="5">
        <f t="shared" ref="N30:N40" si="15">IF(H30=0,0,L30/H30)</f>
        <v>-0.19244308427819143</v>
      </c>
      <c r="O30" s="14"/>
      <c r="P30" s="1">
        <f>SUM(OSRRefP22_1x_0)</f>
        <v>18970.560000000001</v>
      </c>
      <c r="Q30" s="1"/>
      <c r="R30" s="5">
        <f t="shared" ref="R30:R40" si="16">IF(P$12=0,0,P30/P$12)</f>
        <v>0.13024310871580105</v>
      </c>
      <c r="S30" s="1"/>
      <c r="T30" s="1">
        <f>SUM(OSRRefT22_1x_0)</f>
        <v>23491.297802884619</v>
      </c>
      <c r="U30" s="1"/>
      <c r="V30" s="5">
        <f t="shared" ref="V30:V40" si="17">IF(T$12=0,0,T30/T$12)</f>
        <v>0.55975642297244543</v>
      </c>
      <c r="W30" s="1"/>
      <c r="X30" s="1">
        <f t="shared" ref="X30:X40" si="18">+P30-T30</f>
        <v>-4520.7378028846178</v>
      </c>
      <c r="Y30" s="1"/>
      <c r="Z30" s="5">
        <f t="shared" ref="Z30:Z40" si="19">IF(T30=0,0,X30/T30)</f>
        <v>-0.19244308427819143</v>
      </c>
    </row>
    <row r="31" spans="1:26" s="24" customFormat="1" hidden="1" outlineLevel="2" x14ac:dyDescent="0.3">
      <c r="A31" s="29"/>
      <c r="B31" s="11" t="str">
        <f>CONCATENATE("          ", "6001", " - ", "ADMINISTRATIVE SALARIES")</f>
        <v xml:space="preserve">          6001 - ADMINISTRATIVE SALARIES</v>
      </c>
      <c r="C31" s="11"/>
      <c r="D31" s="8">
        <v>5599.1</v>
      </c>
      <c r="E31" s="3"/>
      <c r="F31" s="7">
        <f t="shared" si="12"/>
        <v>3.8440836222580758E-2</v>
      </c>
      <c r="G31" s="3"/>
      <c r="H31" s="8">
        <v>5174.7596153846198</v>
      </c>
      <c r="I31" s="3"/>
      <c r="J31" s="7">
        <f t="shared" si="13"/>
        <v>0.12330544512080015</v>
      </c>
      <c r="K31" s="3"/>
      <c r="L31" s="8">
        <f t="shared" si="14"/>
        <v>424.34038461538057</v>
      </c>
      <c r="M31" s="3"/>
      <c r="N31" s="7">
        <f t="shared" si="15"/>
        <v>8.2001951038230214E-2</v>
      </c>
      <c r="O31" s="11"/>
      <c r="P31" s="8">
        <v>5599.1</v>
      </c>
      <c r="Q31" s="3"/>
      <c r="R31" s="7">
        <f t="shared" si="16"/>
        <v>3.8440836222580758E-2</v>
      </c>
      <c r="S31" s="3"/>
      <c r="T31" s="8">
        <v>5174.7596153846198</v>
      </c>
      <c r="U31" s="3"/>
      <c r="V31" s="7">
        <f t="shared" si="17"/>
        <v>0.12330544512080015</v>
      </c>
      <c r="W31" s="3"/>
      <c r="X31" s="8">
        <f t="shared" si="18"/>
        <v>424.34038461538057</v>
      </c>
      <c r="Y31" s="3"/>
      <c r="Z31" s="7">
        <f t="shared" si="19"/>
        <v>8.2001951038230214E-2</v>
      </c>
    </row>
    <row r="32" spans="1:26" s="24" customFormat="1" hidden="1" outlineLevel="2" x14ac:dyDescent="0.3">
      <c r="A32" s="29"/>
      <c r="B32" s="11" t="str">
        <f>CONCATENATE("          ", "6002", " - ", "STAFF SALARIES")</f>
        <v xml:space="preserve">          6002 - STAFF SALARIES</v>
      </c>
      <c r="C32" s="11"/>
      <c r="D32" s="8">
        <v>5113.62</v>
      </c>
      <c r="E32" s="3"/>
      <c r="F32" s="7">
        <f t="shared" si="12"/>
        <v>3.5107754625656518E-2</v>
      </c>
      <c r="G32" s="3"/>
      <c r="H32" s="8">
        <v>2791.5381874999998</v>
      </c>
      <c r="I32" s="3"/>
      <c r="J32" s="7">
        <f t="shared" si="13"/>
        <v>6.6517458657993175E-2</v>
      </c>
      <c r="K32" s="3"/>
      <c r="L32" s="8">
        <f t="shared" si="14"/>
        <v>2322.0818125000001</v>
      </c>
      <c r="M32" s="3"/>
      <c r="N32" s="7">
        <f t="shared" si="15"/>
        <v>0.83182878274703886</v>
      </c>
      <c r="O32" s="11"/>
      <c r="P32" s="8">
        <v>5113.62</v>
      </c>
      <c r="Q32" s="3"/>
      <c r="R32" s="7">
        <f t="shared" si="16"/>
        <v>3.5107754625656518E-2</v>
      </c>
      <c r="S32" s="3"/>
      <c r="T32" s="8">
        <v>2791.5381874999998</v>
      </c>
      <c r="U32" s="3"/>
      <c r="V32" s="7">
        <f t="shared" si="17"/>
        <v>6.6517458657993175E-2</v>
      </c>
      <c r="W32" s="3"/>
      <c r="X32" s="8">
        <f t="shared" si="18"/>
        <v>2322.0818125000001</v>
      </c>
      <c r="Y32" s="3"/>
      <c r="Z32" s="7">
        <f t="shared" si="19"/>
        <v>0.83182878274703886</v>
      </c>
    </row>
    <row r="33" spans="1:26" s="24" customFormat="1" hidden="1" outlineLevel="2" x14ac:dyDescent="0.3">
      <c r="A33" s="29"/>
      <c r="B33" s="11" t="str">
        <f>CONCATENATE("          ", "6003", " - ", "STAFF HOURLY-9 MONTH")</f>
        <v xml:space="preserve">          6003 - STAFF HOURLY-9 MONTH</v>
      </c>
      <c r="C33" s="11"/>
      <c r="D33" s="8"/>
      <c r="E33" s="3"/>
      <c r="F33" s="7">
        <f t="shared" si="12"/>
        <v>0</v>
      </c>
      <c r="G33" s="3"/>
      <c r="H33" s="8">
        <v>0</v>
      </c>
      <c r="I33" s="3"/>
      <c r="J33" s="7">
        <f t="shared" si="13"/>
        <v>0</v>
      </c>
      <c r="K33" s="3"/>
      <c r="L33" s="8">
        <f t="shared" si="14"/>
        <v>0</v>
      </c>
      <c r="M33" s="3"/>
      <c r="N33" s="7">
        <f t="shared" si="15"/>
        <v>0</v>
      </c>
      <c r="O33" s="11"/>
      <c r="P33" s="8"/>
      <c r="Q33" s="3"/>
      <c r="R33" s="7">
        <f t="shared" si="16"/>
        <v>0</v>
      </c>
      <c r="S33" s="3"/>
      <c r="T33" s="8">
        <v>0</v>
      </c>
      <c r="U33" s="3"/>
      <c r="V33" s="7">
        <f t="shared" si="17"/>
        <v>0</v>
      </c>
      <c r="W33" s="3"/>
      <c r="X33" s="8">
        <f t="shared" si="18"/>
        <v>0</v>
      </c>
      <c r="Y33" s="3"/>
      <c r="Z33" s="7">
        <f t="shared" si="19"/>
        <v>0</v>
      </c>
    </row>
    <row r="34" spans="1:26" s="24" customFormat="1" hidden="1" outlineLevel="2" x14ac:dyDescent="0.3">
      <c r="A34" s="29"/>
      <c r="B34" s="11" t="str">
        <f>CONCATENATE("          ", "6004", " - ", "STAFF HOURLY")</f>
        <v xml:space="preserve">          6004 - STAFF HOURLY</v>
      </c>
      <c r="C34" s="11"/>
      <c r="D34" s="8"/>
      <c r="E34" s="3"/>
      <c r="F34" s="7">
        <f t="shared" si="12"/>
        <v>0</v>
      </c>
      <c r="G34" s="3"/>
      <c r="H34" s="8">
        <v>2610</v>
      </c>
      <c r="I34" s="3"/>
      <c r="J34" s="7">
        <f t="shared" si="13"/>
        <v>6.2191722067338626E-2</v>
      </c>
      <c r="K34" s="3"/>
      <c r="L34" s="8">
        <f t="shared" si="14"/>
        <v>-2610</v>
      </c>
      <c r="M34" s="3"/>
      <c r="N34" s="7">
        <f t="shared" si="15"/>
        <v>-1</v>
      </c>
      <c r="O34" s="11"/>
      <c r="P34" s="8"/>
      <c r="Q34" s="3"/>
      <c r="R34" s="7">
        <f t="shared" si="16"/>
        <v>0</v>
      </c>
      <c r="S34" s="3"/>
      <c r="T34" s="8">
        <v>2610</v>
      </c>
      <c r="U34" s="3"/>
      <c r="V34" s="7">
        <f t="shared" si="17"/>
        <v>6.2191722067338626E-2</v>
      </c>
      <c r="W34" s="3"/>
      <c r="X34" s="8">
        <f t="shared" si="18"/>
        <v>-2610</v>
      </c>
      <c r="Y34" s="3"/>
      <c r="Z34" s="7">
        <f t="shared" si="19"/>
        <v>-1</v>
      </c>
    </row>
    <row r="35" spans="1:26" s="24" customFormat="1" hidden="1" outlineLevel="2" x14ac:dyDescent="0.3">
      <c r="A35" s="29"/>
      <c r="B35" s="11" t="str">
        <f>CONCATENATE("          ", "6005", " - ", "TEMPORARY WAGES-HOURLY")</f>
        <v xml:space="preserve">          6005 - TEMPORARY WAGES-HOURLY</v>
      </c>
      <c r="C35" s="11"/>
      <c r="D35" s="8">
        <v>6179.64</v>
      </c>
      <c r="E35" s="3"/>
      <c r="F35" s="7">
        <f t="shared" si="12"/>
        <v>4.242655590264667E-2</v>
      </c>
      <c r="G35" s="3"/>
      <c r="H35" s="8">
        <v>0</v>
      </c>
      <c r="I35" s="3"/>
      <c r="J35" s="7">
        <f t="shared" si="13"/>
        <v>0</v>
      </c>
      <c r="K35" s="3"/>
      <c r="L35" s="8">
        <f t="shared" si="14"/>
        <v>6179.64</v>
      </c>
      <c r="M35" s="3"/>
      <c r="N35" s="7">
        <f t="shared" si="15"/>
        <v>0</v>
      </c>
      <c r="O35" s="11"/>
      <c r="P35" s="8">
        <v>6179.64</v>
      </c>
      <c r="Q35" s="3"/>
      <c r="R35" s="7">
        <f t="shared" si="16"/>
        <v>4.242655590264667E-2</v>
      </c>
      <c r="S35" s="3"/>
      <c r="T35" s="8">
        <v>0</v>
      </c>
      <c r="U35" s="3"/>
      <c r="V35" s="7">
        <f t="shared" si="17"/>
        <v>0</v>
      </c>
      <c r="W35" s="3"/>
      <c r="X35" s="8">
        <f t="shared" si="18"/>
        <v>6179.64</v>
      </c>
      <c r="Y35" s="3"/>
      <c r="Z35" s="7">
        <f t="shared" si="19"/>
        <v>0</v>
      </c>
    </row>
    <row r="36" spans="1:26" s="24" customFormat="1" hidden="1" outlineLevel="2" x14ac:dyDescent="0.3">
      <c r="A36" s="29"/>
      <c r="B36" s="11" t="str">
        <f>CONCATENATE("          ", "6006", " - ", "TEMPORARY PART TIME")</f>
        <v xml:space="preserve">          6006 - TEMPORARY PART TIME</v>
      </c>
      <c r="C36" s="11"/>
      <c r="D36" s="8"/>
      <c r="E36" s="3"/>
      <c r="F36" s="7">
        <f t="shared" si="12"/>
        <v>0</v>
      </c>
      <c r="G36" s="3"/>
      <c r="H36" s="8">
        <v>0</v>
      </c>
      <c r="I36" s="3"/>
      <c r="J36" s="7">
        <f t="shared" si="13"/>
        <v>0</v>
      </c>
      <c r="K36" s="3"/>
      <c r="L36" s="8">
        <f t="shared" si="14"/>
        <v>0</v>
      </c>
      <c r="M36" s="3"/>
      <c r="N36" s="7">
        <f t="shared" si="15"/>
        <v>0</v>
      </c>
      <c r="O36" s="11"/>
      <c r="P36" s="8"/>
      <c r="Q36" s="3"/>
      <c r="R36" s="7">
        <f t="shared" si="16"/>
        <v>0</v>
      </c>
      <c r="S36" s="3"/>
      <c r="T36" s="8">
        <v>0</v>
      </c>
      <c r="U36" s="3"/>
      <c r="V36" s="7">
        <f t="shared" si="17"/>
        <v>0</v>
      </c>
      <c r="W36" s="3"/>
      <c r="X36" s="8">
        <f t="shared" si="18"/>
        <v>0</v>
      </c>
      <c r="Y36" s="3"/>
      <c r="Z36" s="7">
        <f t="shared" si="19"/>
        <v>0</v>
      </c>
    </row>
    <row r="37" spans="1:26" s="24" customFormat="1" hidden="1" outlineLevel="2" x14ac:dyDescent="0.3">
      <c r="A37" s="29"/>
      <c r="B37" s="11" t="str">
        <f>CONCATENATE("          ", "6007", " - ", "STUDENT HOURLY")</f>
        <v xml:space="preserve">          6007 - STUDENT HOURLY</v>
      </c>
      <c r="C37" s="11"/>
      <c r="D37" s="8">
        <v>2078.1999999999998</v>
      </c>
      <c r="E37" s="3"/>
      <c r="F37" s="7">
        <f t="shared" si="12"/>
        <v>1.4267961964917097E-2</v>
      </c>
      <c r="G37" s="3"/>
      <c r="H37" s="8">
        <v>12915</v>
      </c>
      <c r="I37" s="3"/>
      <c r="J37" s="7">
        <f t="shared" si="13"/>
        <v>0.30774179712631355</v>
      </c>
      <c r="K37" s="3"/>
      <c r="L37" s="8">
        <f t="shared" si="14"/>
        <v>-10836.8</v>
      </c>
      <c r="M37" s="3"/>
      <c r="N37" s="7">
        <f t="shared" si="15"/>
        <v>-0.83908633372048003</v>
      </c>
      <c r="O37" s="11"/>
      <c r="P37" s="8">
        <v>2078.1999999999998</v>
      </c>
      <c r="Q37" s="3"/>
      <c r="R37" s="7">
        <f t="shared" si="16"/>
        <v>1.4267961964917097E-2</v>
      </c>
      <c r="S37" s="3"/>
      <c r="T37" s="8">
        <v>12915</v>
      </c>
      <c r="U37" s="3"/>
      <c r="V37" s="7">
        <f t="shared" si="17"/>
        <v>0.30774179712631355</v>
      </c>
      <c r="W37" s="3"/>
      <c r="X37" s="8">
        <f t="shared" si="18"/>
        <v>-10836.8</v>
      </c>
      <c r="Y37" s="3"/>
      <c r="Z37" s="7">
        <f t="shared" si="19"/>
        <v>-0.83908633372048003</v>
      </c>
    </row>
    <row r="38" spans="1:26" s="24" customFormat="1" hidden="1" outlineLevel="2" x14ac:dyDescent="0.3">
      <c r="A38" s="29"/>
      <c r="B38" s="11" t="str">
        <f>CONCATENATE("          ", "6008", " - ", "STUDENT HOURLY-FICA EXEMPT")</f>
        <v xml:space="preserve">          6008 - STUDENT HOURLY-FICA EXEMPT</v>
      </c>
      <c r="C38" s="11"/>
      <c r="D38" s="8"/>
      <c r="E38" s="3"/>
      <c r="F38" s="7">
        <f t="shared" si="12"/>
        <v>0</v>
      </c>
      <c r="G38" s="3"/>
      <c r="H38" s="8">
        <v>0</v>
      </c>
      <c r="I38" s="3"/>
      <c r="J38" s="7">
        <f t="shared" si="13"/>
        <v>0</v>
      </c>
      <c r="K38" s="3"/>
      <c r="L38" s="8">
        <f t="shared" si="14"/>
        <v>0</v>
      </c>
      <c r="M38" s="3"/>
      <c r="N38" s="7">
        <f t="shared" si="15"/>
        <v>0</v>
      </c>
      <c r="O38" s="11"/>
      <c r="P38" s="8"/>
      <c r="Q38" s="3"/>
      <c r="R38" s="7">
        <f t="shared" si="16"/>
        <v>0</v>
      </c>
      <c r="S38" s="3"/>
      <c r="T38" s="8">
        <v>0</v>
      </c>
      <c r="U38" s="3"/>
      <c r="V38" s="7">
        <f t="shared" si="17"/>
        <v>0</v>
      </c>
      <c r="W38" s="3"/>
      <c r="X38" s="8">
        <f t="shared" si="18"/>
        <v>0</v>
      </c>
      <c r="Y38" s="3"/>
      <c r="Z38" s="7">
        <f t="shared" si="19"/>
        <v>0</v>
      </c>
    </row>
    <row r="39" spans="1:26" s="24" customFormat="1" hidden="1" outlineLevel="2" x14ac:dyDescent="0.3">
      <c r="A39" s="29"/>
      <c r="B39" s="11" t="str">
        <f>CONCATENATE("          ", "6009", " - ", "TEMPORARY-SEASONAL")</f>
        <v xml:space="preserve">          6009 - TEMPORARY-SEASONAL</v>
      </c>
      <c r="C39" s="11"/>
      <c r="D39" s="8"/>
      <c r="E39" s="3"/>
      <c r="F39" s="7">
        <f t="shared" si="12"/>
        <v>0</v>
      </c>
      <c r="G39" s="3"/>
      <c r="H39" s="8">
        <v>0</v>
      </c>
      <c r="I39" s="3"/>
      <c r="J39" s="7">
        <f t="shared" si="13"/>
        <v>0</v>
      </c>
      <c r="K39" s="3"/>
      <c r="L39" s="8">
        <f t="shared" si="14"/>
        <v>0</v>
      </c>
      <c r="M39" s="3"/>
      <c r="N39" s="7">
        <f t="shared" si="15"/>
        <v>0</v>
      </c>
      <c r="O39" s="11"/>
      <c r="P39" s="8"/>
      <c r="Q39" s="3"/>
      <c r="R39" s="7">
        <f t="shared" si="16"/>
        <v>0</v>
      </c>
      <c r="S39" s="3"/>
      <c r="T39" s="8">
        <v>0</v>
      </c>
      <c r="U39" s="3"/>
      <c r="V39" s="7">
        <f t="shared" si="17"/>
        <v>0</v>
      </c>
      <c r="W39" s="3"/>
      <c r="X39" s="8">
        <f t="shared" si="18"/>
        <v>0</v>
      </c>
      <c r="Y39" s="3"/>
      <c r="Z39" s="7">
        <f t="shared" si="19"/>
        <v>0</v>
      </c>
    </row>
    <row r="40" spans="1:26" s="24" customFormat="1" hidden="1" outlineLevel="2" x14ac:dyDescent="0.3">
      <c r="A40" s="29"/>
      <c r="B40" s="11" t="str">
        <f>CONCATENATE("          ", "6010", " - ", "GRATUITY")</f>
        <v xml:space="preserve">          6010 - GRATUITY</v>
      </c>
      <c r="C40" s="11"/>
      <c r="D40" s="8"/>
      <c r="E40" s="3"/>
      <c r="F40" s="7">
        <f t="shared" si="12"/>
        <v>0</v>
      </c>
      <c r="G40" s="3"/>
      <c r="H40" s="8">
        <v>0</v>
      </c>
      <c r="I40" s="3"/>
      <c r="J40" s="7">
        <f t="shared" si="13"/>
        <v>0</v>
      </c>
      <c r="K40" s="3"/>
      <c r="L40" s="8">
        <f t="shared" si="14"/>
        <v>0</v>
      </c>
      <c r="M40" s="3"/>
      <c r="N40" s="7">
        <f t="shared" si="15"/>
        <v>0</v>
      </c>
      <c r="O40" s="11"/>
      <c r="P40" s="8"/>
      <c r="Q40" s="3"/>
      <c r="R40" s="7">
        <f t="shared" si="16"/>
        <v>0</v>
      </c>
      <c r="S40" s="3"/>
      <c r="T40" s="8">
        <v>0</v>
      </c>
      <c r="U40" s="3"/>
      <c r="V40" s="7">
        <f t="shared" si="17"/>
        <v>0</v>
      </c>
      <c r="W40" s="3"/>
      <c r="X40" s="8">
        <f t="shared" si="18"/>
        <v>0</v>
      </c>
      <c r="Y40" s="3"/>
      <c r="Z40" s="7">
        <f t="shared" si="19"/>
        <v>0</v>
      </c>
    </row>
    <row r="41" spans="1:26" s="27" customFormat="1" outlineLevel="1" collapsed="1" x14ac:dyDescent="0.3">
      <c r="A41" s="28"/>
      <c r="B41" s="14" t="str">
        <f>CONCATENATE("     ","Advertising/Promo                                 ")</f>
        <v xml:space="preserve">     Advertising/Promo                                 </v>
      </c>
      <c r="C41" s="14"/>
      <c r="D41" s="1">
        <f>SUM(OSRRefD22_2x_0)</f>
        <v>0</v>
      </c>
      <c r="E41" s="1"/>
      <c r="F41" s="5">
        <f t="shared" ref="F41:F57" si="20">IF(D$12=0,0,D41/D$12)</f>
        <v>0</v>
      </c>
      <c r="G41" s="1"/>
      <c r="H41" s="1">
        <f>SUM(OSRRefH22_2x_0)</f>
        <v>100</v>
      </c>
      <c r="I41" s="1"/>
      <c r="J41" s="5">
        <f t="shared" ref="J41:J57" si="21">IF(H$12=0,0,H41/H$12)</f>
        <v>2.3828246002811733E-3</v>
      </c>
      <c r="K41" s="1"/>
      <c r="L41" s="1">
        <f t="shared" ref="L41:L57" si="22">+D41-H41</f>
        <v>-100</v>
      </c>
      <c r="M41" s="1"/>
      <c r="N41" s="5">
        <f t="shared" ref="N41:N57" si="23">IF(H41=0,0,L41/H41)</f>
        <v>-1</v>
      </c>
      <c r="O41" s="14"/>
      <c r="P41" s="1">
        <f>SUM(OSRRefP22_2x_0)</f>
        <v>0</v>
      </c>
      <c r="Q41" s="1"/>
      <c r="R41" s="5">
        <f t="shared" ref="R41:R57" si="24">IF(P$12=0,0,P41/P$12)</f>
        <v>0</v>
      </c>
      <c r="S41" s="1"/>
      <c r="T41" s="1">
        <f>SUM(OSRRefT22_2x_0)</f>
        <v>100</v>
      </c>
      <c r="U41" s="1"/>
      <c r="V41" s="5">
        <f t="shared" ref="V41:V57" si="25">IF(T$12=0,0,T41/T$12)</f>
        <v>2.3828246002811733E-3</v>
      </c>
      <c r="W41" s="1"/>
      <c r="X41" s="1">
        <f t="shared" ref="X41:X57" si="26">+P41-T41</f>
        <v>-100</v>
      </c>
      <c r="Y41" s="1"/>
      <c r="Z41" s="5">
        <f t="shared" ref="Z41:Z57" si="27">IF(T41=0,0,X41/T41)</f>
        <v>-1</v>
      </c>
    </row>
    <row r="42" spans="1:26" s="24" customFormat="1" hidden="1" outlineLevel="2" x14ac:dyDescent="0.3">
      <c r="A42" s="29"/>
      <c r="B42" s="11" t="str">
        <f>CONCATENATE("          ", "6362", " - ", "ADVERTISING EXPENSE")</f>
        <v xml:space="preserve">          6362 - ADVERTISING EXPENSE</v>
      </c>
      <c r="C42" s="11"/>
      <c r="D42" s="8"/>
      <c r="E42" s="3"/>
      <c r="F42" s="7">
        <f t="shared" si="20"/>
        <v>0</v>
      </c>
      <c r="G42" s="3"/>
      <c r="H42" s="8">
        <v>100</v>
      </c>
      <c r="I42" s="3"/>
      <c r="J42" s="7">
        <f t="shared" si="21"/>
        <v>2.3828246002811733E-3</v>
      </c>
      <c r="K42" s="3"/>
      <c r="L42" s="8">
        <f t="shared" si="22"/>
        <v>-100</v>
      </c>
      <c r="M42" s="3"/>
      <c r="N42" s="7">
        <f t="shared" si="23"/>
        <v>-1</v>
      </c>
      <c r="O42" s="11"/>
      <c r="P42" s="8"/>
      <c r="Q42" s="3"/>
      <c r="R42" s="7">
        <f t="shared" si="24"/>
        <v>0</v>
      </c>
      <c r="S42" s="3"/>
      <c r="T42" s="8">
        <v>100</v>
      </c>
      <c r="U42" s="3"/>
      <c r="V42" s="7">
        <f t="shared" si="25"/>
        <v>2.3828246002811733E-3</v>
      </c>
      <c r="W42" s="3"/>
      <c r="X42" s="8">
        <f t="shared" si="26"/>
        <v>-100</v>
      </c>
      <c r="Y42" s="3"/>
      <c r="Z42" s="7">
        <f t="shared" si="27"/>
        <v>-1</v>
      </c>
    </row>
    <row r="43" spans="1:26" s="27" customFormat="1" outlineLevel="1" collapsed="1" x14ac:dyDescent="0.3">
      <c r="A43" s="28"/>
      <c r="B43" s="14" t="str">
        <f>CONCATENATE("     ","Bank/card Fees                                    ")</f>
        <v xml:space="preserve">     Bank/card Fees                                    </v>
      </c>
      <c r="C43" s="14"/>
      <c r="D43" s="1">
        <f>SUM(OSRRefD22_3x_0)</f>
        <v>44.12</v>
      </c>
      <c r="E43" s="1"/>
      <c r="F43" s="5">
        <f t="shared" si="20"/>
        <v>3.0290755552504203E-4</v>
      </c>
      <c r="G43" s="1"/>
      <c r="H43" s="1">
        <f>SUM(OSRRefH22_3x_0)</f>
        <v>1250</v>
      </c>
      <c r="I43" s="1"/>
      <c r="J43" s="5">
        <f t="shared" si="21"/>
        <v>2.9785307503514668E-2</v>
      </c>
      <c r="K43" s="1"/>
      <c r="L43" s="1">
        <f t="shared" si="22"/>
        <v>-1205.8800000000001</v>
      </c>
      <c r="M43" s="1"/>
      <c r="N43" s="5">
        <f t="shared" si="23"/>
        <v>-0.96470400000000012</v>
      </c>
      <c r="O43" s="14"/>
      <c r="P43" s="1">
        <f>SUM(OSRRefP22_3x_0)</f>
        <v>44.12</v>
      </c>
      <c r="Q43" s="1"/>
      <c r="R43" s="5">
        <f t="shared" si="24"/>
        <v>3.0290755552504203E-4</v>
      </c>
      <c r="S43" s="1"/>
      <c r="T43" s="1">
        <f>SUM(OSRRefT22_3x_0)</f>
        <v>1250</v>
      </c>
      <c r="U43" s="1"/>
      <c r="V43" s="5">
        <f t="shared" si="25"/>
        <v>2.9785307503514668E-2</v>
      </c>
      <c r="W43" s="1"/>
      <c r="X43" s="1">
        <f t="shared" si="26"/>
        <v>-1205.8800000000001</v>
      </c>
      <c r="Y43" s="1"/>
      <c r="Z43" s="5">
        <f t="shared" si="27"/>
        <v>-0.96470400000000012</v>
      </c>
    </row>
    <row r="44" spans="1:26" s="24" customFormat="1" hidden="1" outlineLevel="2" x14ac:dyDescent="0.3">
      <c r="A44" s="29"/>
      <c r="B44" s="11" t="str">
        <f>CONCATENATE("          ", "6381", " - ", "BANK/CREDIT CARD FEES")</f>
        <v xml:space="preserve">          6381 - BANK/CREDIT CARD FEES</v>
      </c>
      <c r="C44" s="11"/>
      <c r="D44" s="8">
        <v>44.12</v>
      </c>
      <c r="E44" s="3"/>
      <c r="F44" s="7">
        <f t="shared" si="20"/>
        <v>3.0290755552504203E-4</v>
      </c>
      <c r="G44" s="3"/>
      <c r="H44" s="8">
        <v>1250</v>
      </c>
      <c r="I44" s="3"/>
      <c r="J44" s="7">
        <f t="shared" si="21"/>
        <v>2.9785307503514668E-2</v>
      </c>
      <c r="K44" s="3"/>
      <c r="L44" s="8">
        <f t="shared" si="22"/>
        <v>-1205.8800000000001</v>
      </c>
      <c r="M44" s="3"/>
      <c r="N44" s="7">
        <f t="shared" si="23"/>
        <v>-0.96470400000000012</v>
      </c>
      <c r="O44" s="11"/>
      <c r="P44" s="8">
        <v>44.12</v>
      </c>
      <c r="Q44" s="3"/>
      <c r="R44" s="7">
        <f t="shared" si="24"/>
        <v>3.0290755552504203E-4</v>
      </c>
      <c r="S44" s="3"/>
      <c r="T44" s="8">
        <v>1250</v>
      </c>
      <c r="U44" s="3"/>
      <c r="V44" s="7">
        <f t="shared" si="25"/>
        <v>2.9785307503514668E-2</v>
      </c>
      <c r="W44" s="3"/>
      <c r="X44" s="8">
        <f t="shared" si="26"/>
        <v>-1205.8800000000001</v>
      </c>
      <c r="Y44" s="3"/>
      <c r="Z44" s="7">
        <f t="shared" si="27"/>
        <v>-0.96470400000000012</v>
      </c>
    </row>
    <row r="45" spans="1:26" s="27" customFormat="1" outlineLevel="1" collapsed="1" x14ac:dyDescent="0.3">
      <c r="A45" s="28"/>
      <c r="B45" s="14" t="str">
        <f>CONCATENATE("     ","Employees' Appreciation                           ")</f>
        <v xml:space="preserve">     Employees' Appreciation                           </v>
      </c>
      <c r="C45" s="14"/>
      <c r="D45" s="1">
        <f>SUM(OSRRefD22_4x_0)</f>
        <v>0</v>
      </c>
      <c r="E45" s="1"/>
      <c r="F45" s="5">
        <f t="shared" si="20"/>
        <v>0</v>
      </c>
      <c r="G45" s="1"/>
      <c r="H45" s="1">
        <f>SUM(OSRRefH22_4x_0)</f>
        <v>20</v>
      </c>
      <c r="I45" s="1"/>
      <c r="J45" s="5">
        <f t="shared" si="21"/>
        <v>4.7656492005623466E-4</v>
      </c>
      <c r="K45" s="1"/>
      <c r="L45" s="1">
        <f t="shared" si="22"/>
        <v>-20</v>
      </c>
      <c r="M45" s="1"/>
      <c r="N45" s="5">
        <f t="shared" si="23"/>
        <v>-1</v>
      </c>
      <c r="O45" s="14"/>
      <c r="P45" s="1">
        <f>SUM(OSRRefP22_4x_0)</f>
        <v>0</v>
      </c>
      <c r="Q45" s="1"/>
      <c r="R45" s="5">
        <f t="shared" si="24"/>
        <v>0</v>
      </c>
      <c r="S45" s="1"/>
      <c r="T45" s="1">
        <f>SUM(OSRRefT22_4x_0)</f>
        <v>20</v>
      </c>
      <c r="U45" s="1"/>
      <c r="V45" s="5">
        <f t="shared" si="25"/>
        <v>4.7656492005623466E-4</v>
      </c>
      <c r="W45" s="1"/>
      <c r="X45" s="1">
        <f t="shared" si="26"/>
        <v>-20</v>
      </c>
      <c r="Y45" s="1"/>
      <c r="Z45" s="5">
        <f t="shared" si="27"/>
        <v>-1</v>
      </c>
    </row>
    <row r="46" spans="1:26" s="24" customFormat="1" hidden="1" outlineLevel="2" x14ac:dyDescent="0.3">
      <c r="A46" s="29"/>
      <c r="B46" s="11" t="str">
        <f>CONCATENATE("          ", "6277", " - ", "EMPLOYEE APPRECIATION")</f>
        <v xml:space="preserve">          6277 - EMPLOYEE APPRECIATION</v>
      </c>
      <c r="C46" s="11"/>
      <c r="D46" s="8"/>
      <c r="E46" s="3"/>
      <c r="F46" s="7">
        <f t="shared" si="20"/>
        <v>0</v>
      </c>
      <c r="G46" s="3"/>
      <c r="H46" s="8">
        <v>20</v>
      </c>
      <c r="I46" s="3"/>
      <c r="J46" s="7">
        <f t="shared" si="21"/>
        <v>4.7656492005623466E-4</v>
      </c>
      <c r="K46" s="3"/>
      <c r="L46" s="8">
        <f t="shared" si="22"/>
        <v>-20</v>
      </c>
      <c r="M46" s="3"/>
      <c r="N46" s="7">
        <f t="shared" si="23"/>
        <v>-1</v>
      </c>
      <c r="O46" s="11"/>
      <c r="P46" s="8"/>
      <c r="Q46" s="3"/>
      <c r="R46" s="7">
        <f t="shared" si="24"/>
        <v>0</v>
      </c>
      <c r="S46" s="3"/>
      <c r="T46" s="8">
        <v>20</v>
      </c>
      <c r="U46" s="3"/>
      <c r="V46" s="7">
        <f t="shared" si="25"/>
        <v>4.7656492005623466E-4</v>
      </c>
      <c r="W46" s="3"/>
      <c r="X46" s="8">
        <f t="shared" si="26"/>
        <v>-20</v>
      </c>
      <c r="Y46" s="3"/>
      <c r="Z46" s="7">
        <f t="shared" si="27"/>
        <v>-1</v>
      </c>
    </row>
    <row r="47" spans="1:26" s="27" customFormat="1" outlineLevel="1" collapsed="1" x14ac:dyDescent="0.3">
      <c r="A47" s="28"/>
      <c r="B47" s="14" t="str">
        <f>CONCATENATE("     ","Freight out/Postage                               ")</f>
        <v xml:space="preserve">     Freight out/Postage                               </v>
      </c>
      <c r="C47" s="14"/>
      <c r="D47" s="1">
        <f>SUM(OSRRefD22_5x_0)</f>
        <v>0</v>
      </c>
      <c r="E47" s="1"/>
      <c r="F47" s="5">
        <f t="shared" si="20"/>
        <v>0</v>
      </c>
      <c r="G47" s="1"/>
      <c r="H47" s="1">
        <f>SUM(OSRRefH22_5x_0)</f>
        <v>10</v>
      </c>
      <c r="I47" s="1"/>
      <c r="J47" s="5">
        <f t="shared" si="21"/>
        <v>2.3828246002811733E-4</v>
      </c>
      <c r="K47" s="1"/>
      <c r="L47" s="1">
        <f t="shared" si="22"/>
        <v>-10</v>
      </c>
      <c r="M47" s="1"/>
      <c r="N47" s="5">
        <f t="shared" si="23"/>
        <v>-1</v>
      </c>
      <c r="O47" s="14"/>
      <c r="P47" s="1">
        <f>SUM(OSRRefP22_5x_0)</f>
        <v>0</v>
      </c>
      <c r="Q47" s="1"/>
      <c r="R47" s="5">
        <f t="shared" si="24"/>
        <v>0</v>
      </c>
      <c r="S47" s="1"/>
      <c r="T47" s="1">
        <f>SUM(OSRRefT22_5x_0)</f>
        <v>10</v>
      </c>
      <c r="U47" s="1"/>
      <c r="V47" s="5">
        <f t="shared" si="25"/>
        <v>2.3828246002811733E-4</v>
      </c>
      <c r="W47" s="1"/>
      <c r="X47" s="1">
        <f t="shared" si="26"/>
        <v>-10</v>
      </c>
      <c r="Y47" s="1"/>
      <c r="Z47" s="5">
        <f t="shared" si="27"/>
        <v>-1</v>
      </c>
    </row>
    <row r="48" spans="1:26" s="24" customFormat="1" hidden="1" outlineLevel="2" x14ac:dyDescent="0.3">
      <c r="A48" s="29"/>
      <c r="B48" s="11" t="str">
        <f>CONCATENATE("          ", "6307", " - ", "POSTAGE")</f>
        <v xml:space="preserve">          6307 - POSTAGE</v>
      </c>
      <c r="C48" s="11"/>
      <c r="D48" s="8"/>
      <c r="E48" s="3"/>
      <c r="F48" s="7">
        <f t="shared" si="20"/>
        <v>0</v>
      </c>
      <c r="G48" s="3"/>
      <c r="H48" s="8">
        <v>10</v>
      </c>
      <c r="I48" s="3"/>
      <c r="J48" s="7">
        <f t="shared" si="21"/>
        <v>2.3828246002811733E-4</v>
      </c>
      <c r="K48" s="3"/>
      <c r="L48" s="8">
        <f t="shared" si="22"/>
        <v>-10</v>
      </c>
      <c r="M48" s="3"/>
      <c r="N48" s="7">
        <f t="shared" si="23"/>
        <v>-1</v>
      </c>
      <c r="O48" s="11"/>
      <c r="P48" s="8"/>
      <c r="Q48" s="3"/>
      <c r="R48" s="7">
        <f t="shared" si="24"/>
        <v>0</v>
      </c>
      <c r="S48" s="3"/>
      <c r="T48" s="8">
        <v>10</v>
      </c>
      <c r="U48" s="3"/>
      <c r="V48" s="7">
        <f t="shared" si="25"/>
        <v>2.3828246002811733E-4</v>
      </c>
      <c r="W48" s="3"/>
      <c r="X48" s="8">
        <f t="shared" si="26"/>
        <v>-10</v>
      </c>
      <c r="Y48" s="3"/>
      <c r="Z48" s="7">
        <f t="shared" si="27"/>
        <v>-1</v>
      </c>
    </row>
    <row r="49" spans="1:26" s="27" customFormat="1" outlineLevel="1" collapsed="1" x14ac:dyDescent="0.3">
      <c r="A49" s="28"/>
      <c r="B49" s="14" t="str">
        <f>CONCATENATE("     ","General                                           ")</f>
        <v xml:space="preserve">     General                                           </v>
      </c>
      <c r="C49" s="14"/>
      <c r="D49" s="1">
        <f>SUM(OSRRefD22_6x_0)</f>
        <v>0</v>
      </c>
      <c r="E49" s="1"/>
      <c r="F49" s="5">
        <f t="shared" si="20"/>
        <v>0</v>
      </c>
      <c r="G49" s="1"/>
      <c r="H49" s="1">
        <f>SUM(OSRRefH22_6x_0)</f>
        <v>50</v>
      </c>
      <c r="I49" s="1"/>
      <c r="J49" s="5">
        <f t="shared" si="21"/>
        <v>1.1914123001405866E-3</v>
      </c>
      <c r="K49" s="1"/>
      <c r="L49" s="1">
        <f t="shared" si="22"/>
        <v>-50</v>
      </c>
      <c r="M49" s="1"/>
      <c r="N49" s="5">
        <f t="shared" si="23"/>
        <v>-1</v>
      </c>
      <c r="O49" s="14"/>
      <c r="P49" s="1">
        <f>SUM(OSRRefP22_6x_0)</f>
        <v>0</v>
      </c>
      <c r="Q49" s="1"/>
      <c r="R49" s="5">
        <f t="shared" si="24"/>
        <v>0</v>
      </c>
      <c r="S49" s="1"/>
      <c r="T49" s="1">
        <f>SUM(OSRRefT22_6x_0)</f>
        <v>50</v>
      </c>
      <c r="U49" s="1"/>
      <c r="V49" s="5">
        <f t="shared" si="25"/>
        <v>1.1914123001405866E-3</v>
      </c>
      <c r="W49" s="1"/>
      <c r="X49" s="1">
        <f t="shared" si="26"/>
        <v>-50</v>
      </c>
      <c r="Y49" s="1"/>
      <c r="Z49" s="5">
        <f t="shared" si="27"/>
        <v>-1</v>
      </c>
    </row>
    <row r="50" spans="1:26" s="24" customFormat="1" hidden="1" outlineLevel="2" x14ac:dyDescent="0.3">
      <c r="A50" s="29"/>
      <c r="B50" s="11" t="str">
        <f>CONCATENATE("          ", "6279", " - ", "GENERAL EXPENSE")</f>
        <v xml:space="preserve">          6279 - GENERAL EXPENSE</v>
      </c>
      <c r="C50" s="11"/>
      <c r="D50" s="8"/>
      <c r="E50" s="3"/>
      <c r="F50" s="7">
        <f t="shared" si="20"/>
        <v>0</v>
      </c>
      <c r="G50" s="3"/>
      <c r="H50" s="8">
        <v>50</v>
      </c>
      <c r="I50" s="3"/>
      <c r="J50" s="7">
        <f t="shared" si="21"/>
        <v>1.1914123001405866E-3</v>
      </c>
      <c r="K50" s="3"/>
      <c r="L50" s="8">
        <f t="shared" si="22"/>
        <v>-50</v>
      </c>
      <c r="M50" s="3"/>
      <c r="N50" s="7">
        <f t="shared" si="23"/>
        <v>-1</v>
      </c>
      <c r="O50" s="11"/>
      <c r="P50" s="8"/>
      <c r="Q50" s="3"/>
      <c r="R50" s="7">
        <f t="shared" si="24"/>
        <v>0</v>
      </c>
      <c r="S50" s="3"/>
      <c r="T50" s="8">
        <v>50</v>
      </c>
      <c r="U50" s="3"/>
      <c r="V50" s="7">
        <f t="shared" si="25"/>
        <v>1.1914123001405866E-3</v>
      </c>
      <c r="W50" s="3"/>
      <c r="X50" s="8">
        <f t="shared" si="26"/>
        <v>-50</v>
      </c>
      <c r="Y50" s="3"/>
      <c r="Z50" s="7">
        <f t="shared" si="27"/>
        <v>-1</v>
      </c>
    </row>
    <row r="51" spans="1:26" s="27" customFormat="1" outlineLevel="1" collapsed="1" x14ac:dyDescent="0.3">
      <c r="A51" s="28"/>
      <c r="B51" s="14" t="str">
        <f>CONCATENATE("     ","Insurance                                         ")</f>
        <v xml:space="preserve">     Insurance                                         </v>
      </c>
      <c r="C51" s="14"/>
      <c r="D51" s="1">
        <f>SUM(OSRRefD22_7x_0)</f>
        <v>39.43</v>
      </c>
      <c r="E51" s="1"/>
      <c r="F51" s="5">
        <f t="shared" si="20"/>
        <v>2.7070818028903916E-4</v>
      </c>
      <c r="G51" s="1"/>
      <c r="H51" s="1">
        <f>SUM(OSRRefH22_7x_0)</f>
        <v>40</v>
      </c>
      <c r="I51" s="1"/>
      <c r="J51" s="5">
        <f t="shared" si="21"/>
        <v>9.5312984011246933E-4</v>
      </c>
      <c r="K51" s="1"/>
      <c r="L51" s="1">
        <f t="shared" si="22"/>
        <v>-0.57000000000000028</v>
      </c>
      <c r="M51" s="1"/>
      <c r="N51" s="5">
        <f t="shared" si="23"/>
        <v>-1.4250000000000007E-2</v>
      </c>
      <c r="O51" s="14"/>
      <c r="P51" s="1">
        <f>SUM(OSRRefP22_7x_0)</f>
        <v>39.43</v>
      </c>
      <c r="Q51" s="1"/>
      <c r="R51" s="5">
        <f t="shared" si="24"/>
        <v>2.7070818028903916E-4</v>
      </c>
      <c r="S51" s="1"/>
      <c r="T51" s="1">
        <f>SUM(OSRRefT22_7x_0)</f>
        <v>40</v>
      </c>
      <c r="U51" s="1"/>
      <c r="V51" s="5">
        <f t="shared" si="25"/>
        <v>9.5312984011246933E-4</v>
      </c>
      <c r="W51" s="1"/>
      <c r="X51" s="1">
        <f t="shared" si="26"/>
        <v>-0.57000000000000028</v>
      </c>
      <c r="Y51" s="1"/>
      <c r="Z51" s="5">
        <f t="shared" si="27"/>
        <v>-1.4250000000000007E-2</v>
      </c>
    </row>
    <row r="52" spans="1:26" s="24" customFormat="1" hidden="1" outlineLevel="2" x14ac:dyDescent="0.3">
      <c r="A52" s="29"/>
      <c r="B52" s="11" t="str">
        <f>CONCATENATE("          ", "6314", " - ", "LIABILITY INSURANCE")</f>
        <v xml:space="preserve">          6314 - LIABILITY INSURANCE</v>
      </c>
      <c r="C52" s="11"/>
      <c r="D52" s="8">
        <v>39.43</v>
      </c>
      <c r="E52" s="3"/>
      <c r="F52" s="7">
        <f t="shared" si="20"/>
        <v>2.7070818028903916E-4</v>
      </c>
      <c r="G52" s="3"/>
      <c r="H52" s="8">
        <v>40</v>
      </c>
      <c r="I52" s="3"/>
      <c r="J52" s="7">
        <f t="shared" si="21"/>
        <v>9.5312984011246933E-4</v>
      </c>
      <c r="K52" s="3"/>
      <c r="L52" s="8">
        <f t="shared" si="22"/>
        <v>-0.57000000000000028</v>
      </c>
      <c r="M52" s="3"/>
      <c r="N52" s="7">
        <f t="shared" si="23"/>
        <v>-1.4250000000000007E-2</v>
      </c>
      <c r="O52" s="11"/>
      <c r="P52" s="8">
        <v>39.43</v>
      </c>
      <c r="Q52" s="3"/>
      <c r="R52" s="7">
        <f t="shared" si="24"/>
        <v>2.7070818028903916E-4</v>
      </c>
      <c r="S52" s="3"/>
      <c r="T52" s="8">
        <v>40</v>
      </c>
      <c r="U52" s="3"/>
      <c r="V52" s="7">
        <f t="shared" si="25"/>
        <v>9.5312984011246933E-4</v>
      </c>
      <c r="W52" s="3"/>
      <c r="X52" s="8">
        <f t="shared" si="26"/>
        <v>-0.57000000000000028</v>
      </c>
      <c r="Y52" s="3"/>
      <c r="Z52" s="7">
        <f t="shared" si="27"/>
        <v>-1.4250000000000007E-2</v>
      </c>
    </row>
    <row r="53" spans="1:26" s="27" customFormat="1" outlineLevel="1" collapsed="1" x14ac:dyDescent="0.3">
      <c r="A53" s="28"/>
      <c r="B53" s="14" t="str">
        <f>CONCATENATE("     ","Rent                                              ")</f>
        <v xml:space="preserve">     Rent                                              </v>
      </c>
      <c r="C53" s="14"/>
      <c r="D53" s="1">
        <f>SUM(OSRRefD22_8x_0)</f>
        <v>800</v>
      </c>
      <c r="E53" s="1"/>
      <c r="F53" s="5">
        <f t="shared" si="20"/>
        <v>5.4924307438810891E-3</v>
      </c>
      <c r="G53" s="1"/>
      <c r="H53" s="1">
        <f>SUM(OSRRefH22_8x_0)</f>
        <v>800</v>
      </c>
      <c r="I53" s="1"/>
      <c r="J53" s="5">
        <f t="shared" si="21"/>
        <v>1.9062596802249386E-2</v>
      </c>
      <c r="K53" s="1"/>
      <c r="L53" s="1">
        <f t="shared" si="22"/>
        <v>0</v>
      </c>
      <c r="M53" s="1"/>
      <c r="N53" s="5">
        <f t="shared" si="23"/>
        <v>0</v>
      </c>
      <c r="O53" s="14"/>
      <c r="P53" s="1">
        <f>SUM(OSRRefP22_8x_0)</f>
        <v>800</v>
      </c>
      <c r="Q53" s="1"/>
      <c r="R53" s="5">
        <f t="shared" si="24"/>
        <v>5.4924307438810891E-3</v>
      </c>
      <c r="S53" s="1"/>
      <c r="T53" s="1">
        <f>SUM(OSRRefT22_8x_0)</f>
        <v>800</v>
      </c>
      <c r="U53" s="1"/>
      <c r="V53" s="5">
        <f t="shared" si="25"/>
        <v>1.9062596802249386E-2</v>
      </c>
      <c r="W53" s="1"/>
      <c r="X53" s="1">
        <f t="shared" si="26"/>
        <v>0</v>
      </c>
      <c r="Y53" s="1"/>
      <c r="Z53" s="5">
        <f t="shared" si="27"/>
        <v>0</v>
      </c>
    </row>
    <row r="54" spans="1:26" s="24" customFormat="1" hidden="1" outlineLevel="2" x14ac:dyDescent="0.3">
      <c r="A54" s="29"/>
      <c r="B54" s="11" t="str">
        <f>CONCATENATE("          ", "6273", " - ", "RENT")</f>
        <v xml:space="preserve">          6273 - RENT</v>
      </c>
      <c r="C54" s="11"/>
      <c r="D54" s="8">
        <v>800</v>
      </c>
      <c r="E54" s="3"/>
      <c r="F54" s="7">
        <f t="shared" si="20"/>
        <v>5.4924307438810891E-3</v>
      </c>
      <c r="G54" s="3"/>
      <c r="H54" s="8">
        <v>800</v>
      </c>
      <c r="I54" s="3"/>
      <c r="J54" s="7">
        <f t="shared" si="21"/>
        <v>1.9062596802249386E-2</v>
      </c>
      <c r="K54" s="3"/>
      <c r="L54" s="8">
        <f t="shared" si="22"/>
        <v>0</v>
      </c>
      <c r="M54" s="3"/>
      <c r="N54" s="7">
        <f t="shared" si="23"/>
        <v>0</v>
      </c>
      <c r="O54" s="11"/>
      <c r="P54" s="8">
        <v>800</v>
      </c>
      <c r="Q54" s="3"/>
      <c r="R54" s="7">
        <f t="shared" si="24"/>
        <v>5.4924307438810891E-3</v>
      </c>
      <c r="S54" s="3"/>
      <c r="T54" s="8">
        <v>800</v>
      </c>
      <c r="U54" s="3"/>
      <c r="V54" s="7">
        <f t="shared" si="25"/>
        <v>1.9062596802249386E-2</v>
      </c>
      <c r="W54" s="3"/>
      <c r="X54" s="8">
        <f t="shared" si="26"/>
        <v>0</v>
      </c>
      <c r="Y54" s="3"/>
      <c r="Z54" s="7">
        <f t="shared" si="27"/>
        <v>0</v>
      </c>
    </row>
    <row r="55" spans="1:26" s="27" customFormat="1" outlineLevel="1" collapsed="1" x14ac:dyDescent="0.3">
      <c r="A55" s="28"/>
      <c r="B55" s="14" t="str">
        <f>CONCATENATE("     ","Repair and Maintenance                            ")</f>
        <v xml:space="preserve">     Repair and Maintenance                            </v>
      </c>
      <c r="C55" s="14"/>
      <c r="D55" s="1">
        <f>SUM(OSRRefD22_9x_0)</f>
        <v>122000.62</v>
      </c>
      <c r="E55" s="1"/>
      <c r="F55" s="5">
        <f t="shared" si="20"/>
        <v>0.83759994507569258</v>
      </c>
      <c r="G55" s="1"/>
      <c r="H55" s="1">
        <f>SUM(OSRRefH22_9x_0)</f>
        <v>3200</v>
      </c>
      <c r="I55" s="1"/>
      <c r="J55" s="5">
        <f t="shared" si="21"/>
        <v>7.6250387208997544E-2</v>
      </c>
      <c r="K55" s="1"/>
      <c r="L55" s="1">
        <f t="shared" si="22"/>
        <v>118800.62</v>
      </c>
      <c r="M55" s="1"/>
      <c r="N55" s="5">
        <f t="shared" si="23"/>
        <v>37.125193750000001</v>
      </c>
      <c r="O55" s="14"/>
      <c r="P55" s="1">
        <f>SUM(OSRRefP22_9x_0)</f>
        <v>122000.62</v>
      </c>
      <c r="Q55" s="1"/>
      <c r="R55" s="5">
        <f t="shared" si="24"/>
        <v>0.83759994507569258</v>
      </c>
      <c r="S55" s="1"/>
      <c r="T55" s="1">
        <f>SUM(OSRRefT22_9x_0)</f>
        <v>3200</v>
      </c>
      <c r="U55" s="1"/>
      <c r="V55" s="5">
        <f t="shared" si="25"/>
        <v>7.6250387208997544E-2</v>
      </c>
      <c r="W55" s="1"/>
      <c r="X55" s="1">
        <f t="shared" si="26"/>
        <v>118800.62</v>
      </c>
      <c r="Y55" s="1"/>
      <c r="Z55" s="5">
        <f t="shared" si="27"/>
        <v>37.125193750000001</v>
      </c>
    </row>
    <row r="56" spans="1:26" s="24" customFormat="1" hidden="1" outlineLevel="2" x14ac:dyDescent="0.3">
      <c r="A56" s="29"/>
      <c r="B56" s="11" t="str">
        <f>CONCATENATE("          ", "6372", " - ", "COMPUTER HARDWARE MAINTENANCE")</f>
        <v xml:space="preserve">          6372 - COMPUTER HARDWARE MAINTENANCE</v>
      </c>
      <c r="C56" s="11"/>
      <c r="D56" s="8"/>
      <c r="E56" s="3"/>
      <c r="F56" s="7">
        <f t="shared" si="20"/>
        <v>0</v>
      </c>
      <c r="G56" s="3"/>
      <c r="H56" s="8">
        <v>3200</v>
      </c>
      <c r="I56" s="3"/>
      <c r="J56" s="7">
        <f t="shared" si="21"/>
        <v>7.6250387208997544E-2</v>
      </c>
      <c r="K56" s="3"/>
      <c r="L56" s="8">
        <f t="shared" si="22"/>
        <v>-3200</v>
      </c>
      <c r="M56" s="3"/>
      <c r="N56" s="7">
        <f t="shared" si="23"/>
        <v>-1</v>
      </c>
      <c r="O56" s="11"/>
      <c r="P56" s="8"/>
      <c r="Q56" s="3"/>
      <c r="R56" s="7">
        <f t="shared" si="24"/>
        <v>0</v>
      </c>
      <c r="S56" s="3"/>
      <c r="T56" s="8">
        <v>3200</v>
      </c>
      <c r="U56" s="3"/>
      <c r="V56" s="7">
        <f t="shared" si="25"/>
        <v>7.6250387208997544E-2</v>
      </c>
      <c r="W56" s="3"/>
      <c r="X56" s="8">
        <f t="shared" si="26"/>
        <v>-3200</v>
      </c>
      <c r="Y56" s="3"/>
      <c r="Z56" s="7">
        <f t="shared" si="27"/>
        <v>-1</v>
      </c>
    </row>
    <row r="57" spans="1:26" s="24" customFormat="1" hidden="1" outlineLevel="2" x14ac:dyDescent="0.3">
      <c r="A57" s="29"/>
      <c r="B57" s="11" t="str">
        <f>CONCATENATE("          ", "6373", " - ", "MAINTENANCE CONTRACTS")</f>
        <v xml:space="preserve">          6373 - MAINTENANCE CONTRACTS</v>
      </c>
      <c r="C57" s="11"/>
      <c r="D57" s="8">
        <v>122000.62</v>
      </c>
      <c r="E57" s="3"/>
      <c r="F57" s="7">
        <f t="shared" si="20"/>
        <v>0.83759994507569258</v>
      </c>
      <c r="G57" s="3"/>
      <c r="H57" s="8"/>
      <c r="I57" s="3"/>
      <c r="J57" s="7">
        <f t="shared" si="21"/>
        <v>0</v>
      </c>
      <c r="K57" s="3"/>
      <c r="L57" s="8">
        <f t="shared" si="22"/>
        <v>122000.62</v>
      </c>
      <c r="M57" s="3"/>
      <c r="N57" s="7">
        <f t="shared" si="23"/>
        <v>0</v>
      </c>
      <c r="O57" s="11"/>
      <c r="P57" s="8">
        <v>122000.62</v>
      </c>
      <c r="Q57" s="3"/>
      <c r="R57" s="7">
        <f t="shared" si="24"/>
        <v>0.83759994507569258</v>
      </c>
      <c r="S57" s="3"/>
      <c r="T57" s="8"/>
      <c r="U57" s="3"/>
      <c r="V57" s="7">
        <f t="shared" si="25"/>
        <v>0</v>
      </c>
      <c r="W57" s="3"/>
      <c r="X57" s="8">
        <f t="shared" si="26"/>
        <v>122000.62</v>
      </c>
      <c r="Y57" s="3"/>
      <c r="Z57" s="7">
        <f t="shared" si="27"/>
        <v>0</v>
      </c>
    </row>
    <row r="58" spans="1:26" s="27" customFormat="1" outlineLevel="1" collapsed="1" x14ac:dyDescent="0.3">
      <c r="A58" s="28"/>
      <c r="B58" s="14" t="str">
        <f>CONCATENATE("     ","Subscriptions &amp; Dues                              ")</f>
        <v xml:space="preserve">     Subscriptions &amp; Dues                              </v>
      </c>
      <c r="C58" s="14"/>
      <c r="D58" s="1">
        <f>SUM(OSRRefD22_10x_0)</f>
        <v>0</v>
      </c>
      <c r="E58" s="1"/>
      <c r="F58" s="5">
        <f t="shared" ref="F58:F62" si="28">IF(D$12=0,0,D58/D$12)</f>
        <v>0</v>
      </c>
      <c r="G58" s="1"/>
      <c r="H58" s="1">
        <f>SUM(OSRRefH22_10x_0)</f>
        <v>85</v>
      </c>
      <c r="I58" s="1"/>
      <c r="J58" s="5">
        <f t="shared" ref="J58:J62" si="29">IF(H$12=0,0,H58/H$12)</f>
        <v>2.0254009102389971E-3</v>
      </c>
      <c r="K58" s="1"/>
      <c r="L58" s="1">
        <f t="shared" ref="L58:L62" si="30">+D58-H58</f>
        <v>-85</v>
      </c>
      <c r="M58" s="1"/>
      <c r="N58" s="5">
        <f t="shared" ref="N58:N62" si="31">IF(H58=0,0,L58/H58)</f>
        <v>-1</v>
      </c>
      <c r="O58" s="14"/>
      <c r="P58" s="1">
        <f>SUM(OSRRefP22_10x_0)</f>
        <v>0</v>
      </c>
      <c r="Q58" s="1"/>
      <c r="R58" s="5">
        <f t="shared" ref="R58:R62" si="32">IF(P$12=0,0,P58/P$12)</f>
        <v>0</v>
      </c>
      <c r="S58" s="1"/>
      <c r="T58" s="1">
        <f>SUM(OSRRefT22_10x_0)</f>
        <v>85</v>
      </c>
      <c r="U58" s="1"/>
      <c r="V58" s="5">
        <f t="shared" ref="V58:V62" si="33">IF(T$12=0,0,T58/T$12)</f>
        <v>2.0254009102389971E-3</v>
      </c>
      <c r="W58" s="1"/>
      <c r="X58" s="1">
        <f t="shared" ref="X58:X62" si="34">+P58-T58</f>
        <v>-85</v>
      </c>
      <c r="Y58" s="1"/>
      <c r="Z58" s="5">
        <f t="shared" ref="Z58:Z62" si="35">IF(T58=0,0,X58/T58)</f>
        <v>-1</v>
      </c>
    </row>
    <row r="59" spans="1:26" s="24" customFormat="1" hidden="1" outlineLevel="2" x14ac:dyDescent="0.3">
      <c r="A59" s="29"/>
      <c r="B59" s="11" t="str">
        <f>CONCATENATE("          ", "6258", " - ", "MEMBERSHIP DUES")</f>
        <v xml:space="preserve">          6258 - MEMBERSHIP DUES</v>
      </c>
      <c r="C59" s="11"/>
      <c r="D59" s="8"/>
      <c r="E59" s="3"/>
      <c r="F59" s="7">
        <f t="shared" si="28"/>
        <v>0</v>
      </c>
      <c r="G59" s="3"/>
      <c r="H59" s="8">
        <v>85</v>
      </c>
      <c r="I59" s="3"/>
      <c r="J59" s="7">
        <f t="shared" si="29"/>
        <v>2.0254009102389971E-3</v>
      </c>
      <c r="K59" s="3"/>
      <c r="L59" s="8">
        <f t="shared" si="30"/>
        <v>-85</v>
      </c>
      <c r="M59" s="3"/>
      <c r="N59" s="7">
        <f t="shared" si="31"/>
        <v>-1</v>
      </c>
      <c r="O59" s="11"/>
      <c r="P59" s="8"/>
      <c r="Q59" s="3"/>
      <c r="R59" s="7">
        <f t="shared" si="32"/>
        <v>0</v>
      </c>
      <c r="S59" s="3"/>
      <c r="T59" s="8">
        <v>85</v>
      </c>
      <c r="U59" s="3"/>
      <c r="V59" s="7">
        <f t="shared" si="33"/>
        <v>2.0254009102389971E-3</v>
      </c>
      <c r="W59" s="3"/>
      <c r="X59" s="8">
        <f t="shared" si="34"/>
        <v>-85</v>
      </c>
      <c r="Y59" s="3"/>
      <c r="Z59" s="7">
        <f t="shared" si="35"/>
        <v>-1</v>
      </c>
    </row>
    <row r="60" spans="1:26" s="27" customFormat="1" outlineLevel="1" collapsed="1" x14ac:dyDescent="0.3">
      <c r="A60" s="28"/>
      <c r="B60" s="14" t="str">
        <f>CONCATENATE("     ","Supplies                                          ")</f>
        <v xml:space="preserve">     Supplies                                          </v>
      </c>
      <c r="C60" s="14"/>
      <c r="D60" s="1">
        <f>SUM(OSRRefD22_11x_0)</f>
        <v>356.71</v>
      </c>
      <c r="E60" s="1"/>
      <c r="F60" s="5">
        <f t="shared" si="28"/>
        <v>2.449006213312279E-3</v>
      </c>
      <c r="G60" s="1"/>
      <c r="H60" s="1">
        <f>SUM(OSRRefH22_11x_0)</f>
        <v>5800</v>
      </c>
      <c r="I60" s="1"/>
      <c r="J60" s="5">
        <f t="shared" si="29"/>
        <v>0.13820382681630805</v>
      </c>
      <c r="K60" s="1"/>
      <c r="L60" s="1">
        <f t="shared" si="30"/>
        <v>-5443.29</v>
      </c>
      <c r="M60" s="1"/>
      <c r="N60" s="5">
        <f t="shared" si="31"/>
        <v>-0.93849827586206891</v>
      </c>
      <c r="O60" s="14"/>
      <c r="P60" s="1">
        <f>SUM(OSRRefP22_11x_0)</f>
        <v>356.71</v>
      </c>
      <c r="Q60" s="1"/>
      <c r="R60" s="5">
        <f t="shared" si="32"/>
        <v>2.449006213312279E-3</v>
      </c>
      <c r="S60" s="1"/>
      <c r="T60" s="1">
        <f>SUM(OSRRefT22_11x_0)</f>
        <v>5800</v>
      </c>
      <c r="U60" s="1"/>
      <c r="V60" s="5">
        <f t="shared" si="33"/>
        <v>0.13820382681630805</v>
      </c>
      <c r="W60" s="1"/>
      <c r="X60" s="1">
        <f t="shared" si="34"/>
        <v>-5443.29</v>
      </c>
      <c r="Y60" s="1"/>
      <c r="Z60" s="5">
        <f t="shared" si="35"/>
        <v>-0.93849827586206891</v>
      </c>
    </row>
    <row r="61" spans="1:26" s="24" customFormat="1" hidden="1" outlineLevel="2" x14ac:dyDescent="0.3">
      <c r="A61" s="29"/>
      <c r="B61" s="11" t="str">
        <f>CONCATENATE("          ", "6234", " - ", "EXPENDABLE SUPPLIES &amp; EQUIPMEN")</f>
        <v xml:space="preserve">          6234 - EXPENDABLE SUPPLIES &amp; EQUIPMEN</v>
      </c>
      <c r="C61" s="11"/>
      <c r="D61" s="8"/>
      <c r="E61" s="3"/>
      <c r="F61" s="7">
        <f t="shared" si="28"/>
        <v>0</v>
      </c>
      <c r="G61" s="3"/>
      <c r="H61" s="8">
        <v>5800</v>
      </c>
      <c r="I61" s="3"/>
      <c r="J61" s="7">
        <f t="shared" si="29"/>
        <v>0.13820382681630805</v>
      </c>
      <c r="K61" s="3"/>
      <c r="L61" s="8">
        <f t="shared" si="30"/>
        <v>-5800</v>
      </c>
      <c r="M61" s="3"/>
      <c r="N61" s="7">
        <f t="shared" si="31"/>
        <v>-1</v>
      </c>
      <c r="O61" s="11"/>
      <c r="P61" s="8"/>
      <c r="Q61" s="3"/>
      <c r="R61" s="7">
        <f t="shared" si="32"/>
        <v>0</v>
      </c>
      <c r="S61" s="3"/>
      <c r="T61" s="8">
        <v>5800</v>
      </c>
      <c r="U61" s="3"/>
      <c r="V61" s="7">
        <f t="shared" si="33"/>
        <v>0.13820382681630805</v>
      </c>
      <c r="W61" s="3"/>
      <c r="X61" s="8">
        <f t="shared" si="34"/>
        <v>-5800</v>
      </c>
      <c r="Y61" s="3"/>
      <c r="Z61" s="7">
        <f t="shared" si="35"/>
        <v>-1</v>
      </c>
    </row>
    <row r="62" spans="1:26" s="24" customFormat="1" hidden="1" outlineLevel="2" x14ac:dyDescent="0.3">
      <c r="A62" s="29"/>
      <c r="B62" s="11" t="str">
        <f>CONCATENATE("          ", "6241", " - ", "OFFICE EXPENSE")</f>
        <v xml:space="preserve">          6241 - OFFICE EXPENSE</v>
      </c>
      <c r="C62" s="11"/>
      <c r="D62" s="8">
        <v>356.71</v>
      </c>
      <c r="E62" s="3"/>
      <c r="F62" s="7">
        <f t="shared" si="28"/>
        <v>2.449006213312279E-3</v>
      </c>
      <c r="G62" s="3"/>
      <c r="H62" s="8"/>
      <c r="I62" s="3"/>
      <c r="J62" s="7">
        <f t="shared" si="29"/>
        <v>0</v>
      </c>
      <c r="K62" s="3"/>
      <c r="L62" s="8">
        <f t="shared" si="30"/>
        <v>356.71</v>
      </c>
      <c r="M62" s="3"/>
      <c r="N62" s="7">
        <f t="shared" si="31"/>
        <v>0</v>
      </c>
      <c r="O62" s="11"/>
      <c r="P62" s="8">
        <v>356.71</v>
      </c>
      <c r="Q62" s="3"/>
      <c r="R62" s="7">
        <f t="shared" si="32"/>
        <v>2.449006213312279E-3</v>
      </c>
      <c r="S62" s="3"/>
      <c r="T62" s="8"/>
      <c r="U62" s="3"/>
      <c r="V62" s="7">
        <f t="shared" si="33"/>
        <v>0</v>
      </c>
      <c r="W62" s="3"/>
      <c r="X62" s="8">
        <f t="shared" si="34"/>
        <v>356.71</v>
      </c>
      <c r="Y62" s="3"/>
      <c r="Z62" s="7">
        <f t="shared" si="35"/>
        <v>0</v>
      </c>
    </row>
    <row r="63" spans="1:26" s="27" customFormat="1" outlineLevel="1" collapsed="1" x14ac:dyDescent="0.3">
      <c r="A63" s="28"/>
      <c r="B63" s="14" t="str">
        <f>CONCATENATE("     ","Telephone/Data Lines                              ")</f>
        <v xml:space="preserve">     Telephone/Data Lines                              </v>
      </c>
      <c r="C63" s="14"/>
      <c r="D63" s="1">
        <f>SUM(OSRRefD22_12x_0)</f>
        <v>-250.25</v>
      </c>
      <c r="E63" s="1"/>
      <c r="F63" s="5">
        <f t="shared" ref="F63:F64" si="36">IF(D$12=0,0,D63/D$12)</f>
        <v>-1.718100992070303E-3</v>
      </c>
      <c r="G63" s="1"/>
      <c r="H63" s="1">
        <f>SUM(OSRRefH22_12x_0)</f>
        <v>350</v>
      </c>
      <c r="I63" s="1"/>
      <c r="J63" s="5">
        <f t="shared" ref="J63:J64" si="37">IF(H$12=0,0,H63/H$12)</f>
        <v>8.339886100984106E-3</v>
      </c>
      <c r="K63" s="1"/>
      <c r="L63" s="1">
        <f t="shared" ref="L63:L64" si="38">+D63-H63</f>
        <v>-600.25</v>
      </c>
      <c r="M63" s="1"/>
      <c r="N63" s="5">
        <f t="shared" ref="N63:N64" si="39">IF(H63=0,0,L63/H63)</f>
        <v>-1.7150000000000001</v>
      </c>
      <c r="O63" s="14"/>
      <c r="P63" s="1">
        <f>SUM(OSRRefP22_12x_0)</f>
        <v>-250.25</v>
      </c>
      <c r="Q63" s="1"/>
      <c r="R63" s="5">
        <f t="shared" ref="R63:R64" si="40">IF(P$12=0,0,P63/P$12)</f>
        <v>-1.718100992070303E-3</v>
      </c>
      <c r="S63" s="1"/>
      <c r="T63" s="1">
        <f>SUM(OSRRefT22_12x_0)</f>
        <v>350</v>
      </c>
      <c r="U63" s="1"/>
      <c r="V63" s="5">
        <f t="shared" ref="V63:V64" si="41">IF(T$12=0,0,T63/T$12)</f>
        <v>8.339886100984106E-3</v>
      </c>
      <c r="W63" s="1"/>
      <c r="X63" s="1">
        <f t="shared" ref="X63:X64" si="42">+P63-T63</f>
        <v>-600.25</v>
      </c>
      <c r="Y63" s="1"/>
      <c r="Z63" s="5">
        <f t="shared" ref="Z63:Z64" si="43">IF(T63=0,0,X63/T63)</f>
        <v>-1.7150000000000001</v>
      </c>
    </row>
    <row r="64" spans="1:26" s="24" customFormat="1" hidden="1" outlineLevel="2" x14ac:dyDescent="0.3">
      <c r="A64" s="29"/>
      <c r="B64" s="11" t="str">
        <f>CONCATENATE("          ", "6309", " - ", "TELEPHONE")</f>
        <v xml:space="preserve">          6309 - TELEPHONE</v>
      </c>
      <c r="C64" s="11"/>
      <c r="D64" s="8">
        <v>-250.25</v>
      </c>
      <c r="E64" s="3"/>
      <c r="F64" s="7">
        <f t="shared" si="36"/>
        <v>-1.718100992070303E-3</v>
      </c>
      <c r="G64" s="3"/>
      <c r="H64" s="8">
        <v>350</v>
      </c>
      <c r="I64" s="3"/>
      <c r="J64" s="7">
        <f t="shared" si="37"/>
        <v>8.339886100984106E-3</v>
      </c>
      <c r="K64" s="3"/>
      <c r="L64" s="8">
        <f t="shared" si="38"/>
        <v>-600.25</v>
      </c>
      <c r="M64" s="3"/>
      <c r="N64" s="7">
        <f t="shared" si="39"/>
        <v>-1.7150000000000001</v>
      </c>
      <c r="O64" s="11"/>
      <c r="P64" s="8">
        <v>-250.25</v>
      </c>
      <c r="Q64" s="3"/>
      <c r="R64" s="7">
        <f t="shared" si="40"/>
        <v>-1.718100992070303E-3</v>
      </c>
      <c r="S64" s="3"/>
      <c r="T64" s="8">
        <v>350</v>
      </c>
      <c r="U64" s="3"/>
      <c r="V64" s="7">
        <f t="shared" si="41"/>
        <v>8.339886100984106E-3</v>
      </c>
      <c r="W64" s="3"/>
      <c r="X64" s="8">
        <f t="shared" si="42"/>
        <v>-600.25</v>
      </c>
      <c r="Y64" s="3"/>
      <c r="Z64" s="7">
        <f t="shared" si="43"/>
        <v>-1.7150000000000001</v>
      </c>
    </row>
    <row r="65" spans="1:26" s="62" customFormat="1" x14ac:dyDescent="0.3">
      <c r="A65" s="36"/>
      <c r="B65" s="36"/>
      <c r="C65" s="36"/>
      <c r="D65" s="1"/>
      <c r="E65" s="1"/>
      <c r="F65" s="5"/>
      <c r="G65" s="1"/>
      <c r="H65" s="1"/>
      <c r="I65" s="1"/>
      <c r="J65" s="5"/>
      <c r="K65" s="1"/>
      <c r="L65" s="1"/>
      <c r="M65" s="1"/>
      <c r="N65" s="5"/>
      <c r="O65" s="36"/>
      <c r="P65" s="1"/>
      <c r="Q65" s="1"/>
      <c r="R65" s="5"/>
      <c r="S65" s="1"/>
      <c r="T65" s="1"/>
      <c r="U65" s="1"/>
      <c r="V65" s="5"/>
      <c r="W65" s="1"/>
      <c r="X65" s="1"/>
      <c r="Y65" s="1"/>
      <c r="Z65" s="5"/>
    </row>
    <row r="66" spans="1:26" s="23" customFormat="1" collapsed="1" x14ac:dyDescent="0.3">
      <c r="A66" s="10"/>
      <c r="B66" s="25" t="s">
        <v>293</v>
      </c>
      <c r="C66" s="10"/>
      <c r="D66" s="4">
        <f>SUM(OSRRefD25x_0)</f>
        <v>108.16</v>
      </c>
      <c r="E66" s="4"/>
      <c r="F66" s="12">
        <f t="shared" ref="F66:F67" si="44">IF(D$12=0,0,D66/D$12)</f>
        <v>7.4257663657272324E-4</v>
      </c>
      <c r="G66" s="4"/>
      <c r="H66" s="4">
        <f>SUM(OSRRefH25x_0)</f>
        <v>2400</v>
      </c>
      <c r="I66" s="4"/>
      <c r="J66" s="12">
        <f t="shared" ref="J66:J67" si="45">IF(H$12=0,0,H66/H$12)</f>
        <v>5.7187790406748158E-2</v>
      </c>
      <c r="K66" s="4"/>
      <c r="L66" s="4">
        <f t="shared" ref="L66:L67" si="46">+D66-H66</f>
        <v>-2291.84</v>
      </c>
      <c r="M66" s="4"/>
      <c r="N66" s="12">
        <f t="shared" ref="N66:N67" si="47">IF(H66=0,0,L66/H66)</f>
        <v>-0.95493333333333341</v>
      </c>
      <c r="O66" s="10"/>
      <c r="P66" s="4">
        <f>SUM(OSRRefP25x_0)</f>
        <v>108.16</v>
      </c>
      <c r="Q66" s="4"/>
      <c r="R66" s="12">
        <f t="shared" ref="R66:R67" si="48">IF(P$12=0,0,P66/P$12)</f>
        <v>7.4257663657272324E-4</v>
      </c>
      <c r="S66" s="4"/>
      <c r="T66" s="4">
        <f>SUM(OSRRefT25x_0)</f>
        <v>2400</v>
      </c>
      <c r="U66" s="4"/>
      <c r="V66" s="12">
        <f t="shared" ref="V66:V67" si="49">IF(T$12=0,0,T66/T$12)</f>
        <v>5.7187790406748158E-2</v>
      </c>
      <c r="W66" s="4"/>
      <c r="X66" s="4">
        <f t="shared" ref="X66:X67" si="50">+P66-T66</f>
        <v>-2291.84</v>
      </c>
      <c r="Y66" s="4"/>
      <c r="Z66" s="12">
        <f t="shared" ref="Z66:Z67" si="51">IF(T66=0,0,X66/T66)</f>
        <v>-0.95493333333333341</v>
      </c>
    </row>
    <row r="67" spans="1:26" s="24" customFormat="1" hidden="1" outlineLevel="1" x14ac:dyDescent="0.3">
      <c r="A67" s="44"/>
      <c r="B67" s="11" t="str">
        <f>CONCATENATE("          ", "9150", " - ", "MISC. INCOME")</f>
        <v xml:space="preserve">          9150 - MISC. INCOME</v>
      </c>
      <c r="C67" s="11"/>
      <c r="D67" s="3">
        <f>--108.16</f>
        <v>108.16</v>
      </c>
      <c r="E67" s="3"/>
      <c r="F67" s="19">
        <f t="shared" si="44"/>
        <v>7.4257663657272324E-4</v>
      </c>
      <c r="G67" s="3"/>
      <c r="H67" s="3">
        <v>2400</v>
      </c>
      <c r="I67" s="3"/>
      <c r="J67" s="19">
        <f t="shared" si="45"/>
        <v>5.7187790406748158E-2</v>
      </c>
      <c r="K67" s="3"/>
      <c r="L67" s="3">
        <f t="shared" si="46"/>
        <v>-2291.84</v>
      </c>
      <c r="M67" s="3"/>
      <c r="N67" s="19">
        <f t="shared" si="47"/>
        <v>-0.95493333333333341</v>
      </c>
      <c r="O67" s="11"/>
      <c r="P67" s="3">
        <f>--108.16</f>
        <v>108.16</v>
      </c>
      <c r="Q67" s="3"/>
      <c r="R67" s="19">
        <f t="shared" si="48"/>
        <v>7.4257663657272324E-4</v>
      </c>
      <c r="S67" s="3"/>
      <c r="T67" s="3">
        <v>2400</v>
      </c>
      <c r="U67" s="3"/>
      <c r="V67" s="19">
        <f t="shared" si="49"/>
        <v>5.7187790406748158E-2</v>
      </c>
      <c r="W67" s="3"/>
      <c r="X67" s="3">
        <f t="shared" si="50"/>
        <v>-2291.84</v>
      </c>
      <c r="Y67" s="3"/>
      <c r="Z67" s="19">
        <f t="shared" si="51"/>
        <v>-0.95493333333333341</v>
      </c>
    </row>
    <row r="68" spans="1:26" x14ac:dyDescent="0.3">
      <c r="A68" s="9"/>
      <c r="B68" s="10"/>
      <c r="C68" s="10"/>
      <c r="D68" s="2"/>
      <c r="E68" s="2"/>
      <c r="F68" s="6"/>
      <c r="G68" s="2"/>
      <c r="H68" s="2"/>
      <c r="I68" s="2"/>
      <c r="J68" s="6"/>
      <c r="K68" s="2"/>
      <c r="L68" s="2"/>
      <c r="M68" s="2"/>
      <c r="N68" s="6"/>
      <c r="O68" s="10"/>
      <c r="P68" s="2"/>
      <c r="Q68" s="2"/>
      <c r="R68" s="6"/>
      <c r="S68" s="2"/>
      <c r="T68" s="2"/>
      <c r="U68" s="2"/>
      <c r="V68" s="6"/>
      <c r="W68" s="2"/>
      <c r="X68" s="2"/>
      <c r="Y68" s="2"/>
      <c r="Z68" s="6"/>
    </row>
    <row r="69" spans="1:26" s="23" customFormat="1" x14ac:dyDescent="0.3">
      <c r="A69" s="10"/>
      <c r="B69" s="26" t="s">
        <v>277</v>
      </c>
      <c r="C69" s="26"/>
      <c r="D69" s="21">
        <f>+D17-D19+D66</f>
        <v>0.14000000001047397</v>
      </c>
      <c r="E69" s="13"/>
      <c r="F69" s="22">
        <f>IF(D$12=0,0,D69/D$12)</f>
        <v>9.6117538025110001E-7</v>
      </c>
      <c r="G69" s="13"/>
      <c r="H69" s="21">
        <f>+H17-H19+H66</f>
        <v>4288.920138527872</v>
      </c>
      <c r="I69" s="13"/>
      <c r="J69" s="22">
        <f>IF(H$12=0,0,H69/H$12)</f>
        <v>0.10219744414725551</v>
      </c>
      <c r="K69" s="16"/>
      <c r="L69" s="21">
        <f>+D69-H69</f>
        <v>-4288.7801385278617</v>
      </c>
      <c r="M69" s="16"/>
      <c r="N69" s="22">
        <f>IF(H69=0,0,L69/H69)</f>
        <v>-0.99996735775078849</v>
      </c>
      <c r="O69" s="25"/>
      <c r="P69" s="21">
        <f>+P17-P19+P66</f>
        <v>0.14000000001047397</v>
      </c>
      <c r="Q69" s="13"/>
      <c r="R69" s="22">
        <f>IF(P$12=0,0,P69/P$12)</f>
        <v>9.6117538025110001E-7</v>
      </c>
      <c r="S69" s="13"/>
      <c r="T69" s="21">
        <f>+T17-T19+T66</f>
        <v>4288.920138527872</v>
      </c>
      <c r="U69" s="13"/>
      <c r="V69" s="22">
        <f>IF(T$12=0,0,T69/T$12)</f>
        <v>0.10219744414725551</v>
      </c>
      <c r="W69" s="16"/>
      <c r="X69" s="21">
        <f>+P69-T69</f>
        <v>-4288.7801385278617</v>
      </c>
      <c r="Y69" s="16"/>
      <c r="Z69" s="22">
        <f>IF(T69=0,0,X69/T69)</f>
        <v>-0.99996735775078849</v>
      </c>
    </row>
    <row r="70" spans="1:26" x14ac:dyDescent="0.3">
      <c r="A70" s="9"/>
      <c r="B70" s="10"/>
      <c r="C70" s="9"/>
      <c r="D70" s="2"/>
      <c r="E70" s="2"/>
      <c r="F70" s="6"/>
      <c r="G70" s="2"/>
      <c r="H70" s="2"/>
      <c r="I70" s="2"/>
      <c r="J70" s="6"/>
      <c r="K70" s="2"/>
      <c r="L70" s="2"/>
      <c r="M70" s="2"/>
      <c r="N70" s="6"/>
      <c r="P70" s="2"/>
      <c r="Q70" s="2"/>
      <c r="R70" s="6"/>
      <c r="S70" s="2"/>
      <c r="T70" s="2"/>
      <c r="U70" s="2"/>
      <c r="V70" s="6"/>
      <c r="W70" s="2"/>
      <c r="X70" s="2"/>
      <c r="Y70" s="2"/>
      <c r="Z70" s="6"/>
    </row>
    <row r="71" spans="1:26" s="23" customFormat="1" x14ac:dyDescent="0.3">
      <c r="A71" s="52"/>
      <c r="B71" s="10" t="s">
        <v>128</v>
      </c>
      <c r="C71" s="10"/>
      <c r="D71" s="4">
        <v>67292.009999999995</v>
      </c>
      <c r="E71" s="4"/>
      <c r="F71" s="12">
        <f>IF(D$12=0,0,D71/D$12)</f>
        <v>0.46199588067694203</v>
      </c>
      <c r="G71" s="4"/>
      <c r="H71" s="4">
        <v>15198</v>
      </c>
      <c r="I71" s="4"/>
      <c r="J71" s="12">
        <f>IF(H$12=0,0,H71/H$12)</f>
        <v>0.36214168275073272</v>
      </c>
      <c r="K71" s="4"/>
      <c r="L71" s="4">
        <f>+D71-H71</f>
        <v>52094.009999999995</v>
      </c>
      <c r="M71" s="4"/>
      <c r="N71" s="12">
        <f>IF(H71=0,0,L71/H71)</f>
        <v>3.4276885116462688</v>
      </c>
      <c r="O71" s="10"/>
      <c r="P71" s="4">
        <v>67292.009999999995</v>
      </c>
      <c r="Q71" s="4"/>
      <c r="R71" s="12">
        <f>IF(P$12=0,0,P71/P$12)</f>
        <v>0.46199588067694203</v>
      </c>
      <c r="S71" s="4"/>
      <c r="T71" s="4">
        <v>15198</v>
      </c>
      <c r="U71" s="4"/>
      <c r="V71" s="12">
        <f>IF(T$12=0,0,T71/T$12)</f>
        <v>0.36214168275073272</v>
      </c>
      <c r="W71" s="4"/>
      <c r="X71" s="4">
        <f>+P71-T71</f>
        <v>52094.009999999995</v>
      </c>
      <c r="Y71" s="4"/>
      <c r="Z71" s="12">
        <f>IF(T71=0,0,X71/T71)</f>
        <v>3.4276885116462688</v>
      </c>
    </row>
    <row r="72" spans="1:26" x14ac:dyDescent="0.3">
      <c r="A72" s="9"/>
      <c r="B72" s="10"/>
      <c r="C72" s="10"/>
      <c r="D72" s="2"/>
      <c r="E72" s="2"/>
      <c r="F72" s="6"/>
      <c r="G72" s="2"/>
      <c r="H72" s="2"/>
      <c r="I72" s="2"/>
      <c r="J72" s="6"/>
      <c r="K72" s="2"/>
      <c r="L72" s="2"/>
      <c r="M72" s="2"/>
      <c r="N72" s="6"/>
      <c r="O72" s="10"/>
      <c r="P72" s="2"/>
      <c r="Q72" s="2"/>
      <c r="R72" s="6"/>
      <c r="S72" s="2"/>
      <c r="T72" s="2"/>
      <c r="U72" s="2"/>
      <c r="V72" s="6"/>
      <c r="W72" s="2"/>
      <c r="X72" s="2"/>
      <c r="Y72" s="2"/>
      <c r="Z72" s="6"/>
    </row>
    <row r="73" spans="1:26" s="23" customFormat="1" ht="15" thickBot="1" x14ac:dyDescent="0.35">
      <c r="A73" s="10"/>
      <c r="B73" s="26" t="s">
        <v>126</v>
      </c>
      <c r="C73" s="26"/>
      <c r="D73" s="35">
        <f>+D69-D71</f>
        <v>-67291.869999999981</v>
      </c>
      <c r="E73" s="13"/>
      <c r="F73" s="30">
        <f>IF(D$12=0,0,D73/D$12)</f>
        <v>-0.4619949195015618</v>
      </c>
      <c r="G73" s="13"/>
      <c r="H73" s="35">
        <f>+H69-H71</f>
        <v>-10909.079861472128</v>
      </c>
      <c r="I73" s="13"/>
      <c r="J73" s="30">
        <f>IF(H$12=0,0,H73/H$12)</f>
        <v>-0.25994423860347721</v>
      </c>
      <c r="K73" s="16"/>
      <c r="L73" s="35">
        <f>D73-H73</f>
        <v>-56382.790138527853</v>
      </c>
      <c r="M73" s="16"/>
      <c r="N73" s="30">
        <f>IF(H73=0,0,L73/H73)</f>
        <v>5.1684276634234179</v>
      </c>
      <c r="O73" s="25"/>
      <c r="P73" s="35">
        <f>+P69-P71</f>
        <v>-67291.869999999981</v>
      </c>
      <c r="Q73" s="13"/>
      <c r="R73" s="30">
        <f>IF(P$12=0,0,P73/P$12)</f>
        <v>-0.4619949195015618</v>
      </c>
      <c r="S73" s="13"/>
      <c r="T73" s="35">
        <f>+T69-T71</f>
        <v>-10909.079861472128</v>
      </c>
      <c r="U73" s="13"/>
      <c r="V73" s="30">
        <f>IF(T$12=0,0,T73/T$12)</f>
        <v>-0.25994423860347721</v>
      </c>
      <c r="W73" s="16"/>
      <c r="X73" s="35">
        <f>P73-T73</f>
        <v>-56382.790138527853</v>
      </c>
      <c r="Y73" s="16"/>
      <c r="Z73" s="30">
        <f>IF(T73=0,0,X73/T73)</f>
        <v>5.1684276634234179</v>
      </c>
    </row>
    <row r="74" spans="1:26" ht="15" thickTop="1" x14ac:dyDescent="0.3">
      <c r="A74" s="9"/>
      <c r="B74" s="9"/>
      <c r="C74" s="9"/>
      <c r="D74" s="2"/>
      <c r="E74" s="2"/>
      <c r="F74" s="6"/>
      <c r="G74" s="2"/>
      <c r="H74" s="2"/>
      <c r="I74" s="2"/>
      <c r="J74" s="6"/>
      <c r="K74" s="2"/>
      <c r="L74" s="2"/>
      <c r="M74" s="2"/>
      <c r="N74" s="6"/>
      <c r="P74" s="2"/>
      <c r="Q74" s="2"/>
      <c r="R74" s="6"/>
      <c r="S74" s="2"/>
      <c r="T74" s="2"/>
      <c r="U74" s="2"/>
      <c r="V74" s="6"/>
      <c r="W74" s="2"/>
      <c r="X74" s="2"/>
      <c r="Y74" s="2"/>
      <c r="Z74" s="6"/>
    </row>
    <row r="75" spans="1:26" x14ac:dyDescent="0.3">
      <c r="A75" s="9"/>
      <c r="B75" s="9"/>
      <c r="C75" s="9"/>
      <c r="D75" s="2"/>
      <c r="E75" s="2"/>
      <c r="F75" s="6"/>
      <c r="G75" s="2"/>
      <c r="H75" s="2"/>
      <c r="I75" s="2"/>
      <c r="J75" s="6"/>
      <c r="K75" s="2"/>
      <c r="L75" s="2"/>
      <c r="M75" s="2"/>
      <c r="N75" s="6"/>
      <c r="P75" s="2"/>
      <c r="Q75" s="2"/>
      <c r="R75" s="6"/>
      <c r="S75" s="2"/>
      <c r="T75" s="2"/>
      <c r="U75" s="2"/>
      <c r="V75" s="6"/>
      <c r="W75" s="2"/>
      <c r="X75" s="2"/>
      <c r="Y75" s="2"/>
      <c r="Z75" s="6"/>
    </row>
    <row r="76" spans="1:26" s="23" customFormat="1" ht="15" thickBot="1" x14ac:dyDescent="0.35">
      <c r="A76" s="10"/>
      <c r="B76" s="26" t="s">
        <v>294</v>
      </c>
      <c r="C76" s="26"/>
      <c r="D76" s="33">
        <f>SUM(D73:D75)</f>
        <v>-67291.869999999981</v>
      </c>
      <c r="E76" s="13"/>
      <c r="F76" s="31">
        <f>IF(D$12=0,0,D76/D$12)</f>
        <v>-0.4619949195015618</v>
      </c>
      <c r="G76" s="13"/>
      <c r="H76" s="33">
        <f>SUM(H73:H75)</f>
        <v>-10909.079861472128</v>
      </c>
      <c r="I76" s="13"/>
      <c r="J76" s="31">
        <f>IF(H$12=0,0,H76/H$12)</f>
        <v>-0.25994423860347721</v>
      </c>
      <c r="K76" s="16"/>
      <c r="L76" s="33">
        <f>+D76-H76</f>
        <v>-56382.790138527853</v>
      </c>
      <c r="M76" s="16"/>
      <c r="N76" s="31">
        <f>IF(H76=0,0,L76/H76)</f>
        <v>5.1684276634234179</v>
      </c>
      <c r="O76" s="25"/>
      <c r="P76" s="33">
        <f>SUM(P73:P75)</f>
        <v>-67291.869999999981</v>
      </c>
      <c r="Q76" s="13"/>
      <c r="R76" s="31">
        <f>IF(P$12=0,0,P76/P$12)</f>
        <v>-0.4619949195015618</v>
      </c>
      <c r="S76" s="13"/>
      <c r="T76" s="33">
        <f>SUM(T73:T75)</f>
        <v>-10909.079861472128</v>
      </c>
      <c r="U76" s="13"/>
      <c r="V76" s="31">
        <f>IF(T$12=0,0,T76/T$12)</f>
        <v>-0.25994423860347721</v>
      </c>
      <c r="W76" s="16"/>
      <c r="X76" s="33">
        <f>+P76-T76</f>
        <v>-56382.790138527853</v>
      </c>
      <c r="Y76" s="16"/>
      <c r="Z76" s="31">
        <f>IF(T76=0,0,X76/T76)</f>
        <v>5.1684276634234179</v>
      </c>
    </row>
    <row r="77" spans="1:26" ht="15" thickTop="1" x14ac:dyDescent="0.3">
      <c r="A77" s="9"/>
      <c r="C77" s="9"/>
      <c r="D77" s="18"/>
      <c r="E77" s="18"/>
      <c r="G77" s="18"/>
      <c r="H77" s="18"/>
      <c r="I77" s="18"/>
      <c r="J77" s="43"/>
      <c r="K77" s="18"/>
      <c r="L77" s="18"/>
      <c r="M77" s="18"/>
      <c r="P77" s="18"/>
      <c r="Q77" s="18"/>
      <c r="R77" s="43"/>
      <c r="S77" s="18"/>
      <c r="T77" s="18"/>
      <c r="U77" s="18"/>
      <c r="V77" s="43"/>
      <c r="W77" s="18"/>
      <c r="X77" s="18"/>
    </row>
    <row r="78" spans="1:26" x14ac:dyDescent="0.3">
      <c r="A78" s="9"/>
      <c r="B78" s="54">
        <v>44462.64548684028</v>
      </c>
      <c r="D78" s="18"/>
      <c r="E78" s="18"/>
      <c r="G78" s="18"/>
      <c r="H78" s="18"/>
      <c r="I78" s="18"/>
      <c r="J78" s="43"/>
      <c r="K78" s="18"/>
      <c r="L78" s="18"/>
      <c r="M78" s="18"/>
      <c r="P78" s="18"/>
      <c r="Q78" s="18"/>
      <c r="R78" s="43"/>
      <c r="S78" s="18"/>
      <c r="T78" s="18"/>
      <c r="U78" s="18"/>
      <c r="V78" s="43"/>
      <c r="W78" s="18"/>
      <c r="X78" s="18"/>
    </row>
    <row r="79" spans="1:26" x14ac:dyDescent="0.3">
      <c r="A79" s="9"/>
      <c r="B79" s="59" t="s">
        <v>56</v>
      </c>
      <c r="D79" s="18"/>
      <c r="E79" s="18"/>
      <c r="G79" s="18"/>
      <c r="H79" s="18"/>
      <c r="I79" s="18"/>
      <c r="J79" s="43"/>
      <c r="K79" s="18"/>
      <c r="L79" s="18"/>
      <c r="M79" s="18"/>
      <c r="P79" s="18"/>
      <c r="Q79" s="18"/>
      <c r="R79" s="43"/>
      <c r="S79" s="18"/>
      <c r="T79" s="18"/>
      <c r="U79" s="18"/>
      <c r="V79" s="43"/>
      <c r="W79" s="18"/>
      <c r="X79" s="18"/>
    </row>
    <row r="80" spans="1:26" x14ac:dyDescent="0.3">
      <c r="A80" s="9"/>
      <c r="B80" s="55"/>
      <c r="D80" s="18"/>
      <c r="E80" s="18"/>
      <c r="G80" s="18"/>
      <c r="H80" s="18"/>
      <c r="I80" s="18"/>
      <c r="J80" s="43"/>
      <c r="K80" s="18"/>
      <c r="L80" s="18"/>
      <c r="M80" s="18"/>
      <c r="P80" s="18"/>
      <c r="Q80" s="18"/>
      <c r="R80" s="43"/>
      <c r="S80" s="18"/>
      <c r="T80" s="18"/>
      <c r="U80" s="18"/>
      <c r="V80" s="43"/>
      <c r="W80" s="18"/>
      <c r="X80" s="18"/>
    </row>
    <row r="81" spans="4:24" x14ac:dyDescent="0.3">
      <c r="D81" s="18"/>
      <c r="E81" s="18"/>
      <c r="G81" s="18"/>
      <c r="H81" s="18"/>
      <c r="I81" s="18"/>
      <c r="J81" s="43"/>
      <c r="K81" s="18"/>
      <c r="L81" s="18"/>
      <c r="M81" s="18"/>
      <c r="P81" s="18"/>
      <c r="Q81" s="18"/>
      <c r="R81" s="43"/>
      <c r="S81" s="18"/>
      <c r="T81" s="18"/>
      <c r="U81" s="18"/>
      <c r="V81" s="43"/>
      <c r="W81" s="18"/>
      <c r="X81" s="18"/>
    </row>
  </sheetData>
  <pageMargins left="0.25" right="0.25" top="0.75" bottom="0.75" header="0.3" footer="0.3"/>
  <pageSetup scale="55" fitToWidth="2" orientation="landscape"/>
  <drawing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>
    <tabColor rgb="FF92D05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50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7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50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7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7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7" customWidth="1" outlineLevel="1"/>
  </cols>
  <sheetData>
    <row r="2" spans="1:26" x14ac:dyDescent="0.3">
      <c r="D2" s="57" t="s">
        <v>23</v>
      </c>
    </row>
    <row r="3" spans="1:26" x14ac:dyDescent="0.3">
      <c r="D3" s="57" t="s">
        <v>237</v>
      </c>
      <c r="E3" s="17"/>
      <c r="F3" s="51"/>
      <c r="G3" s="17"/>
      <c r="H3" s="17"/>
      <c r="I3" s="17"/>
      <c r="J3" s="39"/>
      <c r="K3" s="17"/>
      <c r="L3" s="17"/>
      <c r="M3" s="17"/>
      <c r="N3" s="51"/>
      <c r="O3" s="61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3">
      <c r="D4" s="57" t="e">
        <f ca="1">CONCATENATE("Period ",RIGHT(_xll.OneStop.ReportPlayer.OSRFunctions.OSRGet("Period","PeriodId"),2),", ",_xll.OneStop.ReportPlayer.OSRFunctions.OSRGet("Period","Year"))</f>
        <v>#NAME?</v>
      </c>
      <c r="E4" s="17"/>
      <c r="F4" s="51"/>
      <c r="G4" s="17"/>
      <c r="H4" s="17"/>
      <c r="I4" s="17"/>
      <c r="J4" s="39"/>
      <c r="K4" s="17"/>
      <c r="L4" s="17"/>
      <c r="M4" s="17"/>
      <c r="N4" s="51"/>
      <c r="O4" s="61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3">
      <c r="A5" s="23"/>
      <c r="D5" s="65" t="e">
        <f ca="1">_xll.OneStop.ReportPlayer.OSRFunctions.OSRGet("Period","PeriodEnd")</f>
        <v>#NAME?</v>
      </c>
      <c r="E5" s="17"/>
      <c r="F5" s="51"/>
      <c r="G5" s="17"/>
      <c r="H5" s="17"/>
      <c r="I5" s="17"/>
      <c r="J5" s="39"/>
      <c r="K5" s="17"/>
      <c r="L5" s="17"/>
      <c r="M5" s="17"/>
      <c r="N5" s="51"/>
      <c r="O5" s="61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3">
      <c r="A6" s="23"/>
      <c r="B6" s="47"/>
      <c r="C6" s="47"/>
      <c r="D6" s="23" t="e">
        <f ca="1">CONCATENATE("Department ",_xll.OneStop.ReportPlayer.OSRFunctions.OSRGet("d_dim0","Code"), " - ", _xll.OneStop.ReportPlayer.OSRFunctions.OSRGet("d_dim0","Description"))</f>
        <v>#NAME?</v>
      </c>
      <c r="E6" s="17"/>
      <c r="F6" s="51"/>
      <c r="G6" s="17"/>
      <c r="H6" s="17"/>
      <c r="I6" s="17"/>
      <c r="J6" s="39"/>
      <c r="K6" s="17"/>
      <c r="L6" s="17"/>
      <c r="M6" s="17"/>
      <c r="N6" s="51"/>
      <c r="O6" s="60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3">
      <c r="B7" s="63"/>
    </row>
    <row r="8" spans="1:26" x14ac:dyDescent="0.3">
      <c r="B8" s="63"/>
    </row>
    <row r="9" spans="1:26" x14ac:dyDescent="0.3">
      <c r="B9" s="9"/>
      <c r="C9" s="9"/>
      <c r="D9" s="15" t="s">
        <v>292</v>
      </c>
      <c r="E9" s="15"/>
      <c r="F9" s="38"/>
      <c r="G9" s="15"/>
      <c r="H9" s="15"/>
      <c r="I9" s="15"/>
      <c r="J9" s="49"/>
      <c r="K9" s="15"/>
      <c r="L9" s="15"/>
      <c r="M9" s="15"/>
      <c r="N9" s="38"/>
      <c r="P9" s="15" t="s">
        <v>39</v>
      </c>
      <c r="Q9" s="15"/>
      <c r="R9" s="38"/>
      <c r="S9" s="15"/>
      <c r="T9" s="15"/>
      <c r="U9" s="15"/>
      <c r="V9" s="49"/>
      <c r="W9" s="15"/>
      <c r="X9" s="15"/>
      <c r="Y9" s="15"/>
      <c r="Z9" s="38"/>
    </row>
    <row r="10" spans="1:26" x14ac:dyDescent="0.3">
      <c r="A10" s="10"/>
      <c r="B10" s="53"/>
      <c r="C10" s="10"/>
      <c r="D10" s="42" t="s">
        <v>57</v>
      </c>
      <c r="E10" s="34"/>
      <c r="F10" s="40" t="s">
        <v>40</v>
      </c>
      <c r="G10" s="34"/>
      <c r="H10" s="45" t="s">
        <v>238</v>
      </c>
      <c r="I10" s="34"/>
      <c r="J10" s="48" t="s">
        <v>58</v>
      </c>
      <c r="K10" s="10"/>
      <c r="L10" s="42" t="s">
        <v>127</v>
      </c>
      <c r="M10" s="10"/>
      <c r="N10" s="40" t="s">
        <v>258</v>
      </c>
      <c r="O10" s="10"/>
      <c r="P10" s="56" t="s">
        <v>57</v>
      </c>
      <c r="Q10" s="34"/>
      <c r="R10" s="40" t="s">
        <v>40</v>
      </c>
      <c r="S10" s="34"/>
      <c r="T10" s="45" t="s">
        <v>238</v>
      </c>
      <c r="U10" s="34"/>
      <c r="V10" s="48" t="s">
        <v>58</v>
      </c>
      <c r="W10" s="10"/>
      <c r="X10" s="42" t="s">
        <v>127</v>
      </c>
      <c r="Y10" s="10"/>
      <c r="Z10" s="40" t="s">
        <v>258</v>
      </c>
    </row>
    <row r="11" spans="1:26" ht="15.6" x14ac:dyDescent="0.3">
      <c r="A11" s="9"/>
      <c r="B11" s="58"/>
      <c r="C11" s="9"/>
      <c r="D11" s="9"/>
      <c r="E11" s="9"/>
      <c r="F11" s="6"/>
      <c r="G11" s="9"/>
      <c r="H11" s="9"/>
      <c r="I11" s="9"/>
      <c r="J11" s="46"/>
      <c r="K11" s="9"/>
      <c r="L11" s="9"/>
      <c r="M11" s="9"/>
      <c r="N11" s="6"/>
      <c r="P11" s="9"/>
      <c r="Q11" s="9"/>
      <c r="R11" s="6"/>
      <c r="S11" s="9"/>
      <c r="T11" s="9"/>
      <c r="U11" s="9"/>
      <c r="V11" s="46"/>
      <c r="W11" s="9"/>
      <c r="X11" s="9"/>
      <c r="Y11" s="9"/>
      <c r="Z11" s="6"/>
    </row>
    <row r="12" spans="1:26" s="23" customFormat="1" collapsed="1" x14ac:dyDescent="0.3">
      <c r="A12" s="10"/>
      <c r="B12" s="25" t="s">
        <v>140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3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3" t="e">
        <f ca="1">-_xll.OneStop.ReportPlayer.OSRFunctions.OSRGet("GL_F_Trans","Value1")</f>
        <v>#NAME?</v>
      </c>
      <c r="E13" s="3"/>
      <c r="F13" s="19"/>
      <c r="G13" s="3"/>
      <c r="H13" s="3" t="e">
        <f ca="1">_xll.OneStop.ReportPlayer.OSRFunctions.OSRGet("GL_F_Trans","Value1")</f>
        <v>#NAME?</v>
      </c>
      <c r="I13" s="3"/>
      <c r="J13" s="19"/>
      <c r="K13" s="3"/>
      <c r="L13" s="3" t="e">
        <f t="shared" ca="1" si="0"/>
        <v>#NAME?</v>
      </c>
      <c r="M13" s="3"/>
      <c r="N13" s="19" t="e">
        <f t="shared" ca="1" si="1"/>
        <v>#NAME?</v>
      </c>
      <c r="O13" s="11"/>
      <c r="P13" s="3" t="e">
        <f ca="1">-_xll.OneStop.ReportPlayer.OSRFunctions.OSRGet("GL_F_Trans","Value1")</f>
        <v>#NAME?</v>
      </c>
      <c r="Q13" s="3"/>
      <c r="R13" s="19"/>
      <c r="S13" s="3"/>
      <c r="T13" s="3" t="e">
        <f ca="1">_xll.OneStop.ReportPlayer.OSRFunctions.OSRGet("GL_F_Trans","Value1")</f>
        <v>#NAME?</v>
      </c>
      <c r="U13" s="3"/>
      <c r="V13" s="19"/>
      <c r="W13" s="3"/>
      <c r="X13" s="3" t="e">
        <f t="shared" ca="1" si="2"/>
        <v>#NAME?</v>
      </c>
      <c r="Y13" s="3"/>
      <c r="Z13" s="19" t="e">
        <f t="shared" ca="1" si="3"/>
        <v>#NAME?</v>
      </c>
    </row>
    <row r="14" spans="1:26" x14ac:dyDescent="0.3">
      <c r="A14" s="9"/>
      <c r="B14" s="10"/>
      <c r="C14" s="9"/>
      <c r="D14" s="2"/>
      <c r="E14" s="2"/>
      <c r="F14" s="6"/>
      <c r="G14" s="2"/>
      <c r="H14" s="2"/>
      <c r="I14" s="2"/>
      <c r="J14" s="6"/>
      <c r="K14" s="2"/>
      <c r="L14" s="2"/>
      <c r="M14" s="2"/>
      <c r="N14" s="6"/>
      <c r="P14" s="2"/>
      <c r="Q14" s="2"/>
      <c r="R14" s="6"/>
      <c r="S14" s="2"/>
      <c r="T14" s="2"/>
      <c r="U14" s="2"/>
      <c r="V14" s="6"/>
      <c r="W14" s="2"/>
      <c r="X14" s="2"/>
      <c r="Y14" s="2"/>
      <c r="Z14" s="6"/>
    </row>
    <row r="15" spans="1:26" s="23" customFormat="1" collapsed="1" x14ac:dyDescent="0.3">
      <c r="A15" s="10"/>
      <c r="B15" s="25" t="s">
        <v>257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3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3" t="e">
        <f ca="1">_xll.OneStop.ReportPlayer.OSRFunctions.OSRGet("GL_F_Trans","Value1")</f>
        <v>#NAME?</v>
      </c>
      <c r="E16" s="3"/>
      <c r="F16" s="19" t="e">
        <f t="shared" ca="1" si="4"/>
        <v>#NAME?</v>
      </c>
      <c r="G16" s="3"/>
      <c r="H16" s="3" t="e">
        <f ca="1">_xll.OneStop.ReportPlayer.OSRFunctions.OSRGet("GL_F_Trans","Value1")</f>
        <v>#NAME?</v>
      </c>
      <c r="I16" s="3"/>
      <c r="J16" s="19" t="e">
        <f t="shared" ca="1" si="5"/>
        <v>#NAME?</v>
      </c>
      <c r="K16" s="3"/>
      <c r="L16" s="3" t="e">
        <f t="shared" ca="1" si="6"/>
        <v>#NAME?</v>
      </c>
      <c r="M16" s="3"/>
      <c r="N16" s="19" t="e">
        <f t="shared" ca="1" si="7"/>
        <v>#NAME?</v>
      </c>
      <c r="O16" s="11"/>
      <c r="P16" s="3" t="e">
        <f ca="1">_xll.OneStop.ReportPlayer.OSRFunctions.OSRGet("GL_F_Trans","Value1")</f>
        <v>#NAME?</v>
      </c>
      <c r="Q16" s="3"/>
      <c r="R16" s="19" t="e">
        <f t="shared" ca="1" si="8"/>
        <v>#NAME?</v>
      </c>
      <c r="S16" s="3"/>
      <c r="T16" s="3" t="e">
        <f ca="1">_xll.OneStop.ReportPlayer.OSRFunctions.OSRGet("GL_F_Trans","Value1")</f>
        <v>#NAME?</v>
      </c>
      <c r="U16" s="3"/>
      <c r="V16" s="19" t="e">
        <f t="shared" ca="1" si="9"/>
        <v>#NAME?</v>
      </c>
      <c r="W16" s="3"/>
      <c r="X16" s="3" t="e">
        <f t="shared" ca="1" si="10"/>
        <v>#NAME?</v>
      </c>
      <c r="Y16" s="3"/>
      <c r="Z16" s="19" t="e">
        <f t="shared" ca="1" si="11"/>
        <v>#NAME?</v>
      </c>
    </row>
    <row r="17" spans="1:26" x14ac:dyDescent="0.3">
      <c r="A17" s="9"/>
      <c r="B17" s="10"/>
      <c r="C17" s="10"/>
      <c r="D17" s="2"/>
      <c r="E17" s="2"/>
      <c r="F17" s="6"/>
      <c r="G17" s="2"/>
      <c r="H17" s="2"/>
      <c r="I17" s="2"/>
      <c r="J17" s="6"/>
      <c r="K17" s="2"/>
      <c r="L17" s="2"/>
      <c r="M17" s="2"/>
      <c r="N17" s="6"/>
      <c r="O17" s="10"/>
      <c r="P17" s="2"/>
      <c r="Q17" s="2"/>
      <c r="R17" s="6"/>
      <c r="S17" s="2"/>
      <c r="T17" s="2"/>
      <c r="U17" s="2"/>
      <c r="V17" s="6"/>
      <c r="W17" s="2"/>
      <c r="X17" s="2"/>
      <c r="Y17" s="2"/>
      <c r="Z17" s="6"/>
    </row>
    <row r="18" spans="1:26" s="23" customFormat="1" x14ac:dyDescent="0.3">
      <c r="A18" s="10"/>
      <c r="B18" s="26" t="s">
        <v>108</v>
      </c>
      <c r="C18" s="26"/>
      <c r="D18" s="21" t="e">
        <f ca="1">D12-D15</f>
        <v>#NAME?</v>
      </c>
      <c r="E18" s="13"/>
      <c r="F18" s="22" t="e">
        <f ca="1">IF(D$12=0,0,D18/D$12)</f>
        <v>#NAME?</v>
      </c>
      <c r="G18" s="13"/>
      <c r="H18" s="21" t="e">
        <f ca="1">H12-H15</f>
        <v>#NAME?</v>
      </c>
      <c r="I18" s="13"/>
      <c r="J18" s="22" t="e">
        <f ca="1">IF(H$12=0,0,H18/H$12)</f>
        <v>#NAME?</v>
      </c>
      <c r="K18" s="16"/>
      <c r="L18" s="21" t="e">
        <f ca="1">+D18-H18</f>
        <v>#NAME?</v>
      </c>
      <c r="M18" s="16"/>
      <c r="N18" s="22" t="e">
        <f ca="1">IF(H18=0,0,L18/H18)</f>
        <v>#NAME?</v>
      </c>
      <c r="O18" s="25"/>
      <c r="P18" s="21" t="e">
        <f ca="1">P12-P15</f>
        <v>#NAME?</v>
      </c>
      <c r="Q18" s="13"/>
      <c r="R18" s="22" t="e">
        <f ca="1">IF(P$12=0,0,P18/P$12)</f>
        <v>#NAME?</v>
      </c>
      <c r="S18" s="13"/>
      <c r="T18" s="21" t="e">
        <f ca="1">T12-T15</f>
        <v>#NAME?</v>
      </c>
      <c r="U18" s="13"/>
      <c r="V18" s="22" t="e">
        <f ca="1">IF(T$12=0,0,T18/T$12)</f>
        <v>#NAME?</v>
      </c>
      <c r="W18" s="16"/>
      <c r="X18" s="21" t="e">
        <f ca="1">+P18-T18</f>
        <v>#NAME?</v>
      </c>
      <c r="Y18" s="16"/>
      <c r="Z18" s="22" t="e">
        <f ca="1">IF(T18=0,0,X18/T18)</f>
        <v>#NAME?</v>
      </c>
    </row>
    <row r="19" spans="1:26" x14ac:dyDescent="0.3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">
      <c r="A20" s="10"/>
      <c r="B20" s="25" t="s">
        <v>295</v>
      </c>
      <c r="C20" s="10"/>
      <c r="D20" s="20" t="e">
        <f ca="1">SUM(_xll.OneStop.ReportPlayer.OSRFunctions.OSRRef(D22))</f>
        <v>#NAME?</v>
      </c>
      <c r="E20" s="20"/>
      <c r="F20" s="32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2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2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2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2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2" t="e">
        <f t="shared" ref="Z20:Z22" ca="1" si="19">IF(T20=0,0,X20/T20)</f>
        <v>#NAME?</v>
      </c>
    </row>
    <row r="21" spans="1:26" s="27" customFormat="1" outlineLevel="1" collapsed="1" x14ac:dyDescent="0.3">
      <c r="A21" s="28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3">
      <c r="A22" s="29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8" t="e">
        <f ca="1">_xll.OneStop.ReportPlayer.OSRFunctions.OSRGet("GL_F_Trans","Value1")</f>
        <v>#NAME?</v>
      </c>
      <c r="E22" s="3"/>
      <c r="F22" s="7" t="e">
        <f t="shared" ca="1" si="12"/>
        <v>#NAME?</v>
      </c>
      <c r="G22" s="3"/>
      <c r="H22" s="8" t="e">
        <f ca="1">_xll.OneStop.ReportPlayer.OSRFunctions.OSRGet("GL_F_Trans","Value1")</f>
        <v>#NAME?</v>
      </c>
      <c r="I22" s="3"/>
      <c r="J22" s="7" t="e">
        <f t="shared" ca="1" si="13"/>
        <v>#NAME?</v>
      </c>
      <c r="K22" s="3"/>
      <c r="L22" s="8" t="e">
        <f t="shared" ca="1" si="14"/>
        <v>#NAME?</v>
      </c>
      <c r="M22" s="3"/>
      <c r="N22" s="7" t="e">
        <f t="shared" ca="1" si="15"/>
        <v>#NAME?</v>
      </c>
      <c r="O22" s="11"/>
      <c r="P22" s="8" t="e">
        <f ca="1">_xll.OneStop.ReportPlayer.OSRFunctions.OSRGet("GL_F_Trans","Value1")</f>
        <v>#NAME?</v>
      </c>
      <c r="Q22" s="3"/>
      <c r="R22" s="7" t="e">
        <f t="shared" ca="1" si="16"/>
        <v>#NAME?</v>
      </c>
      <c r="S22" s="3"/>
      <c r="T22" s="8" t="e">
        <f ca="1">_xll.OneStop.ReportPlayer.OSRFunctions.OSRGet("GL_F_Trans","Value1")</f>
        <v>#NAME?</v>
      </c>
      <c r="U22" s="3"/>
      <c r="V22" s="7" t="e">
        <f t="shared" ca="1" si="17"/>
        <v>#NAME?</v>
      </c>
      <c r="W22" s="3"/>
      <c r="X22" s="8" t="e">
        <f t="shared" ca="1" si="18"/>
        <v>#NAME?</v>
      </c>
      <c r="Y22" s="3"/>
      <c r="Z22" s="7" t="e">
        <f t="shared" ca="1" si="19"/>
        <v>#NAME?</v>
      </c>
    </row>
    <row r="23" spans="1:26" s="62" customFormat="1" x14ac:dyDescent="0.3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3">
      <c r="A24" s="10"/>
      <c r="B24" s="25" t="s">
        <v>293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3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3" t="e">
        <f ca="1">-_xll.OneStop.ReportPlayer.OSRFunctions.OSRGet("GL_F_Trans","Value1")</f>
        <v>#NAME?</v>
      </c>
      <c r="E25" s="3"/>
      <c r="F25" s="19" t="e">
        <f t="shared" ca="1" si="20"/>
        <v>#NAME?</v>
      </c>
      <c r="G25" s="3"/>
      <c r="H25" s="3" t="e">
        <f ca="1">_xll.OneStop.ReportPlayer.OSRFunctions.OSRGet("GL_F_Trans","Value1")</f>
        <v>#NAME?</v>
      </c>
      <c r="I25" s="3"/>
      <c r="J25" s="19" t="e">
        <f t="shared" ca="1" si="21"/>
        <v>#NAME?</v>
      </c>
      <c r="K25" s="3"/>
      <c r="L25" s="3" t="e">
        <f t="shared" ca="1" si="22"/>
        <v>#NAME?</v>
      </c>
      <c r="M25" s="3"/>
      <c r="N25" s="19" t="e">
        <f t="shared" ca="1" si="23"/>
        <v>#NAME?</v>
      </c>
      <c r="O25" s="11"/>
      <c r="P25" s="3" t="e">
        <f ca="1">-_xll.OneStop.ReportPlayer.OSRFunctions.OSRGet("GL_F_Trans","Value1")</f>
        <v>#NAME?</v>
      </c>
      <c r="Q25" s="3"/>
      <c r="R25" s="19" t="e">
        <f t="shared" ca="1" si="24"/>
        <v>#NAME?</v>
      </c>
      <c r="S25" s="3"/>
      <c r="T25" s="3" t="e">
        <f ca="1">_xll.OneStop.ReportPlayer.OSRFunctions.OSRGet("GL_F_Trans","Value1")</f>
        <v>#NAME?</v>
      </c>
      <c r="U25" s="3"/>
      <c r="V25" s="19" t="e">
        <f t="shared" ca="1" si="25"/>
        <v>#NAME?</v>
      </c>
      <c r="W25" s="3"/>
      <c r="X25" s="3" t="e">
        <f t="shared" ca="1" si="26"/>
        <v>#NAME?</v>
      </c>
      <c r="Y25" s="3"/>
      <c r="Z25" s="19" t="e">
        <f t="shared" ca="1" si="27"/>
        <v>#NAME?</v>
      </c>
    </row>
    <row r="26" spans="1:26" x14ac:dyDescent="0.3">
      <c r="A26" s="9"/>
      <c r="B26" s="10"/>
      <c r="C26" s="10"/>
      <c r="D26" s="2"/>
      <c r="E26" s="2"/>
      <c r="F26" s="6"/>
      <c r="G26" s="2"/>
      <c r="H26" s="2"/>
      <c r="I26" s="2"/>
      <c r="J26" s="6"/>
      <c r="K26" s="2"/>
      <c r="L26" s="2"/>
      <c r="M26" s="2"/>
      <c r="N26" s="6"/>
      <c r="O26" s="10"/>
      <c r="P26" s="2"/>
      <c r="Q26" s="2"/>
      <c r="R26" s="6"/>
      <c r="S26" s="2"/>
      <c r="T26" s="2"/>
      <c r="U26" s="2"/>
      <c r="V26" s="6"/>
      <c r="W26" s="2"/>
      <c r="X26" s="2"/>
      <c r="Y26" s="2"/>
      <c r="Z26" s="6"/>
    </row>
    <row r="27" spans="1:26" s="23" customFormat="1" x14ac:dyDescent="0.3">
      <c r="A27" s="10"/>
      <c r="B27" s="26" t="s">
        <v>277</v>
      </c>
      <c r="C27" s="26"/>
      <c r="D27" s="21" t="e">
        <f ca="1">+D18-D20+D24</f>
        <v>#NAME?</v>
      </c>
      <c r="E27" s="13"/>
      <c r="F27" s="22" t="e">
        <f ca="1">IF(D$12=0,0,D27/D$12)</f>
        <v>#NAME?</v>
      </c>
      <c r="G27" s="13"/>
      <c r="H27" s="21" t="e">
        <f ca="1">+H18-H20+H24</f>
        <v>#NAME?</v>
      </c>
      <c r="I27" s="13"/>
      <c r="J27" s="22" t="e">
        <f ca="1">IF(H$12=0,0,H27/H$12)</f>
        <v>#NAME?</v>
      </c>
      <c r="K27" s="16"/>
      <c r="L27" s="21" t="e">
        <f ca="1">+D27-H27</f>
        <v>#NAME?</v>
      </c>
      <c r="M27" s="16"/>
      <c r="N27" s="22" t="e">
        <f ca="1">IF(H27=0,0,L27/H27)</f>
        <v>#NAME?</v>
      </c>
      <c r="O27" s="25"/>
      <c r="P27" s="21" t="e">
        <f ca="1">+P18-P20+P24</f>
        <v>#NAME?</v>
      </c>
      <c r="Q27" s="13"/>
      <c r="R27" s="22" t="e">
        <f ca="1">IF(P$12=0,0,P27/P$12)</f>
        <v>#NAME?</v>
      </c>
      <c r="S27" s="13"/>
      <c r="T27" s="21" t="e">
        <f ca="1">+T18-T20+T24</f>
        <v>#NAME?</v>
      </c>
      <c r="U27" s="13"/>
      <c r="V27" s="22" t="e">
        <f ca="1">IF(T$12=0,0,T27/T$12)</f>
        <v>#NAME?</v>
      </c>
      <c r="W27" s="16"/>
      <c r="X27" s="21" t="e">
        <f ca="1">+P27-T27</f>
        <v>#NAME?</v>
      </c>
      <c r="Y27" s="16"/>
      <c r="Z27" s="22" t="e">
        <f ca="1">IF(T27=0,0,X27/T27)</f>
        <v>#NAME?</v>
      </c>
    </row>
    <row r="28" spans="1:26" x14ac:dyDescent="0.3">
      <c r="A28" s="9"/>
      <c r="B28" s="10"/>
      <c r="C28" s="9"/>
      <c r="D28" s="2"/>
      <c r="E28" s="2"/>
      <c r="F28" s="6"/>
      <c r="G28" s="2"/>
      <c r="H28" s="2"/>
      <c r="I28" s="2"/>
      <c r="J28" s="6"/>
      <c r="K28" s="2"/>
      <c r="L28" s="2"/>
      <c r="M28" s="2"/>
      <c r="N28" s="6"/>
      <c r="P28" s="2"/>
      <c r="Q28" s="2"/>
      <c r="R28" s="6"/>
      <c r="S28" s="2"/>
      <c r="T28" s="2"/>
      <c r="U28" s="2"/>
      <c r="V28" s="6"/>
      <c r="W28" s="2"/>
      <c r="X28" s="2"/>
      <c r="Y28" s="2"/>
      <c r="Z28" s="6"/>
    </row>
    <row r="29" spans="1:26" s="23" customFormat="1" x14ac:dyDescent="0.3">
      <c r="A29" s="52"/>
      <c r="B29" s="10" t="s">
        <v>128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3">
      <c r="A30" s="9"/>
      <c r="B30" s="10"/>
      <c r="C30" s="10"/>
      <c r="D30" s="2"/>
      <c r="E30" s="2"/>
      <c r="F30" s="6"/>
      <c r="G30" s="2"/>
      <c r="H30" s="2"/>
      <c r="I30" s="2"/>
      <c r="J30" s="6"/>
      <c r="K30" s="2"/>
      <c r="L30" s="2"/>
      <c r="M30" s="2"/>
      <c r="N30" s="6"/>
      <c r="O30" s="10"/>
      <c r="P30" s="2"/>
      <c r="Q30" s="2"/>
      <c r="R30" s="6"/>
      <c r="S30" s="2"/>
      <c r="T30" s="2"/>
      <c r="U30" s="2"/>
      <c r="V30" s="6"/>
      <c r="W30" s="2"/>
      <c r="X30" s="2"/>
      <c r="Y30" s="2"/>
      <c r="Z30" s="6"/>
    </row>
    <row r="31" spans="1:26" s="23" customFormat="1" ht="15" thickBot="1" x14ac:dyDescent="0.35">
      <c r="A31" s="10"/>
      <c r="B31" s="26" t="s">
        <v>126</v>
      </c>
      <c r="C31" s="26"/>
      <c r="D31" s="35" t="e">
        <f ca="1">+D27-D29</f>
        <v>#NAME?</v>
      </c>
      <c r="E31" s="13"/>
      <c r="F31" s="30" t="e">
        <f ca="1">IF(D$12=0,0,D31/D$12)</f>
        <v>#NAME?</v>
      </c>
      <c r="G31" s="13"/>
      <c r="H31" s="35" t="e">
        <f ca="1">+H27-H29</f>
        <v>#NAME?</v>
      </c>
      <c r="I31" s="13"/>
      <c r="J31" s="30" t="e">
        <f ca="1">IF(H$12=0,0,H31/H$12)</f>
        <v>#NAME?</v>
      </c>
      <c r="K31" s="16"/>
      <c r="L31" s="35" t="e">
        <f ca="1">D31-H31</f>
        <v>#NAME?</v>
      </c>
      <c r="M31" s="16"/>
      <c r="N31" s="30" t="e">
        <f ca="1">IF(H31=0,0,L31/H31)</f>
        <v>#NAME?</v>
      </c>
      <c r="O31" s="25"/>
      <c r="P31" s="35" t="e">
        <f ca="1">+P27-P29</f>
        <v>#NAME?</v>
      </c>
      <c r="Q31" s="13"/>
      <c r="R31" s="30" t="e">
        <f ca="1">IF(P$12=0,0,P31/P$12)</f>
        <v>#NAME?</v>
      </c>
      <c r="S31" s="13"/>
      <c r="T31" s="35" t="e">
        <f ca="1">+T27-T29</f>
        <v>#NAME?</v>
      </c>
      <c r="U31" s="13"/>
      <c r="V31" s="30" t="e">
        <f ca="1">IF(T$12=0,0,T31/T$12)</f>
        <v>#NAME?</v>
      </c>
      <c r="W31" s="16"/>
      <c r="X31" s="35" t="e">
        <f ca="1">P31-T31</f>
        <v>#NAME?</v>
      </c>
      <c r="Y31" s="16"/>
      <c r="Z31" s="30" t="e">
        <f ca="1">IF(T31=0,0,X31/T31)</f>
        <v>#NAME?</v>
      </c>
    </row>
    <row r="32" spans="1:26" ht="15" thickTop="1" x14ac:dyDescent="0.3">
      <c r="A32" s="9"/>
      <c r="B32" s="9"/>
      <c r="C32" s="9"/>
      <c r="D32" s="2"/>
      <c r="E32" s="2"/>
      <c r="F32" s="6"/>
      <c r="G32" s="2"/>
      <c r="H32" s="2"/>
      <c r="I32" s="2"/>
      <c r="J32" s="6"/>
      <c r="K32" s="2"/>
      <c r="L32" s="2"/>
      <c r="M32" s="2"/>
      <c r="N32" s="6"/>
      <c r="P32" s="2"/>
      <c r="Q32" s="2"/>
      <c r="R32" s="6"/>
      <c r="S32" s="2"/>
      <c r="T32" s="2"/>
      <c r="U32" s="2"/>
      <c r="V32" s="6"/>
      <c r="W32" s="2"/>
      <c r="X32" s="2"/>
      <c r="Y32" s="2"/>
      <c r="Z32" s="6"/>
    </row>
    <row r="33" spans="1:26" s="23" customFormat="1" x14ac:dyDescent="0.3">
      <c r="A33" s="52"/>
      <c r="B33" s="10" t="s">
        <v>184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3">
      <c r="A34" s="52"/>
      <c r="B34" s="10" t="s">
        <v>82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3">
      <c r="A35" s="9"/>
      <c r="B35" s="9"/>
      <c r="C35" s="9"/>
      <c r="D35" s="2"/>
      <c r="E35" s="2"/>
      <c r="F35" s="6"/>
      <c r="G35" s="2"/>
      <c r="H35" s="2"/>
      <c r="I35" s="2"/>
      <c r="J35" s="6"/>
      <c r="K35" s="2"/>
      <c r="L35" s="2"/>
      <c r="M35" s="2"/>
      <c r="N35" s="6"/>
      <c r="P35" s="2"/>
      <c r="Q35" s="2"/>
      <c r="R35" s="6"/>
      <c r="S35" s="2"/>
      <c r="T35" s="2"/>
      <c r="U35" s="2"/>
      <c r="V35" s="6"/>
      <c r="W35" s="2"/>
      <c r="X35" s="2"/>
      <c r="Y35" s="2"/>
      <c r="Z35" s="6"/>
    </row>
    <row r="36" spans="1:26" s="23" customFormat="1" ht="15" thickBot="1" x14ac:dyDescent="0.35">
      <c r="A36" s="10"/>
      <c r="B36" s="26" t="s">
        <v>294</v>
      </c>
      <c r="C36" s="26"/>
      <c r="D36" s="33" t="e">
        <f ca="1">SUM(D31:D35)</f>
        <v>#NAME?</v>
      </c>
      <c r="E36" s="13"/>
      <c r="F36" s="31" t="e">
        <f ca="1">IF(D$12=0,0,D36/D$12)</f>
        <v>#NAME?</v>
      </c>
      <c r="G36" s="13"/>
      <c r="H36" s="33" t="e">
        <f ca="1">SUM(H31:H35)</f>
        <v>#NAME?</v>
      </c>
      <c r="I36" s="13"/>
      <c r="J36" s="31" t="e">
        <f ca="1">IF(H$12=0,0,H36/H$12)</f>
        <v>#NAME?</v>
      </c>
      <c r="K36" s="16"/>
      <c r="L36" s="33" t="e">
        <f ca="1">+D36-H36</f>
        <v>#NAME?</v>
      </c>
      <c r="M36" s="16"/>
      <c r="N36" s="31" t="e">
        <f ca="1">IF(H36=0,0,L36/H36)</f>
        <v>#NAME?</v>
      </c>
      <c r="O36" s="25"/>
      <c r="P36" s="33" t="e">
        <f ca="1">SUM(P31:P35)</f>
        <v>#NAME?</v>
      </c>
      <c r="Q36" s="13"/>
      <c r="R36" s="31" t="e">
        <f ca="1">IF(P$12=0,0,P36/P$12)</f>
        <v>#NAME?</v>
      </c>
      <c r="S36" s="13"/>
      <c r="T36" s="33" t="e">
        <f ca="1">SUM(T31:T35)</f>
        <v>#NAME?</v>
      </c>
      <c r="U36" s="13"/>
      <c r="V36" s="31" t="e">
        <f ca="1">IF(T$12=0,0,T36/T$12)</f>
        <v>#NAME?</v>
      </c>
      <c r="W36" s="16"/>
      <c r="X36" s="33" t="e">
        <f ca="1">+P36-T36</f>
        <v>#NAME?</v>
      </c>
      <c r="Y36" s="16"/>
      <c r="Z36" s="31" t="e">
        <f ca="1">IF(T36=0,0,X36/T36)</f>
        <v>#NAME?</v>
      </c>
    </row>
    <row r="37" spans="1:26" ht="15" thickTop="1" x14ac:dyDescent="0.3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3">
      <c r="A38" s="9"/>
      <c r="B38" s="54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3">
      <c r="A39" s="9"/>
      <c r="B39" s="59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3">
      <c r="A40" s="9"/>
      <c r="B40" s="55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3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50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7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50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7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7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7" customWidth="1" outlineLevel="1"/>
  </cols>
  <sheetData>
    <row r="2" spans="1:26" x14ac:dyDescent="0.3">
      <c r="D2" s="57" t="s">
        <v>23</v>
      </c>
    </row>
    <row r="3" spans="1:26" x14ac:dyDescent="0.3">
      <c r="D3" s="57" t="s">
        <v>237</v>
      </c>
      <c r="E3" s="17"/>
      <c r="F3" s="51"/>
      <c r="G3" s="17"/>
      <c r="H3" s="17"/>
      <c r="I3" s="17"/>
      <c r="J3" s="39"/>
      <c r="K3" s="17"/>
      <c r="L3" s="17"/>
      <c r="M3" s="17"/>
      <c r="N3" s="51"/>
      <c r="O3" s="61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3">
      <c r="D4" s="57" t="e">
        <f ca="1">CONCATENATE("Period ",RIGHT(_xll.OneStop.ReportPlayer.OSRFunctions.OSRGet("Period","PeriodId"),2),", ",_xll.OneStop.ReportPlayer.OSRFunctions.OSRGet("Period","Year"))</f>
        <v>#NAME?</v>
      </c>
      <c r="E4" s="17"/>
      <c r="F4" s="51"/>
      <c r="G4" s="17"/>
      <c r="H4" s="17"/>
      <c r="I4" s="17"/>
      <c r="J4" s="39"/>
      <c r="K4" s="17"/>
      <c r="L4" s="17"/>
      <c r="M4" s="17"/>
      <c r="N4" s="51"/>
      <c r="O4" s="61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3">
      <c r="A5" s="23"/>
      <c r="D5" s="65" t="e">
        <f ca="1">_xll.OneStop.ReportPlayer.OSRFunctions.OSRGet("Period","PeriodEnd")</f>
        <v>#NAME?</v>
      </c>
      <c r="E5" s="17"/>
      <c r="F5" s="51"/>
      <c r="G5" s="17"/>
      <c r="H5" s="17"/>
      <c r="I5" s="17"/>
      <c r="J5" s="39"/>
      <c r="K5" s="17"/>
      <c r="L5" s="17"/>
      <c r="M5" s="17"/>
      <c r="N5" s="51"/>
      <c r="O5" s="61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3">
      <c r="A6" s="23"/>
      <c r="B6" s="47"/>
      <c r="C6" s="47"/>
      <c r="D6" s="23" t="s">
        <v>139</v>
      </c>
      <c r="E6" s="17"/>
      <c r="F6" s="51"/>
      <c r="G6" s="17"/>
      <c r="H6" s="17"/>
      <c r="I6" s="17"/>
      <c r="J6" s="39"/>
      <c r="K6" s="17"/>
      <c r="L6" s="17"/>
      <c r="M6" s="17"/>
      <c r="N6" s="51"/>
      <c r="O6" s="60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3">
      <c r="B7" s="63"/>
    </row>
    <row r="8" spans="1:26" x14ac:dyDescent="0.3">
      <c r="B8" s="63"/>
    </row>
    <row r="9" spans="1:26" x14ac:dyDescent="0.3">
      <c r="B9" s="9"/>
      <c r="C9" s="9"/>
      <c r="D9" s="15" t="s">
        <v>292</v>
      </c>
      <c r="E9" s="15"/>
      <c r="F9" s="38"/>
      <c r="G9" s="15"/>
      <c r="H9" s="15"/>
      <c r="I9" s="15"/>
      <c r="J9" s="49"/>
      <c r="K9" s="15"/>
      <c r="L9" s="15"/>
      <c r="M9" s="15"/>
      <c r="N9" s="38"/>
      <c r="P9" s="15" t="s">
        <v>39</v>
      </c>
      <c r="Q9" s="15"/>
      <c r="R9" s="38"/>
      <c r="S9" s="15"/>
      <c r="T9" s="15"/>
      <c r="U9" s="15"/>
      <c r="V9" s="49"/>
      <c r="W9" s="15"/>
      <c r="X9" s="15"/>
      <c r="Y9" s="15"/>
      <c r="Z9" s="38"/>
    </row>
    <row r="10" spans="1:26" x14ac:dyDescent="0.3">
      <c r="A10" s="10"/>
      <c r="B10" s="53"/>
      <c r="C10" s="10"/>
      <c r="D10" s="42" t="s">
        <v>57</v>
      </c>
      <c r="E10" s="34"/>
      <c r="F10" s="40" t="s">
        <v>40</v>
      </c>
      <c r="G10" s="34"/>
      <c r="H10" s="45" t="s">
        <v>238</v>
      </c>
      <c r="I10" s="34"/>
      <c r="J10" s="48" t="s">
        <v>58</v>
      </c>
      <c r="K10" s="10"/>
      <c r="L10" s="42" t="s">
        <v>127</v>
      </c>
      <c r="M10" s="10"/>
      <c r="N10" s="40" t="s">
        <v>258</v>
      </c>
      <c r="O10" s="10"/>
      <c r="P10" s="56" t="s">
        <v>57</v>
      </c>
      <c r="Q10" s="34"/>
      <c r="R10" s="40" t="s">
        <v>40</v>
      </c>
      <c r="S10" s="34"/>
      <c r="T10" s="45" t="s">
        <v>238</v>
      </c>
      <c r="U10" s="34"/>
      <c r="V10" s="48" t="s">
        <v>58</v>
      </c>
      <c r="W10" s="10"/>
      <c r="X10" s="42" t="s">
        <v>127</v>
      </c>
      <c r="Y10" s="10"/>
      <c r="Z10" s="40" t="s">
        <v>258</v>
      </c>
    </row>
    <row r="11" spans="1:26" ht="15.6" x14ac:dyDescent="0.3">
      <c r="A11" s="9"/>
      <c r="B11" s="58"/>
      <c r="C11" s="9"/>
      <c r="D11" s="9"/>
      <c r="E11" s="9"/>
      <c r="F11" s="6"/>
      <c r="G11" s="9"/>
      <c r="H11" s="9"/>
      <c r="I11" s="9"/>
      <c r="J11" s="46"/>
      <c r="K11" s="9"/>
      <c r="L11" s="9"/>
      <c r="M11" s="9"/>
      <c r="N11" s="6"/>
      <c r="P11" s="9"/>
      <c r="Q11" s="9"/>
      <c r="R11" s="6"/>
      <c r="S11" s="9"/>
      <c r="T11" s="9"/>
      <c r="U11" s="9"/>
      <c r="V11" s="46"/>
      <c r="W11" s="9"/>
      <c r="X11" s="9"/>
      <c r="Y11" s="9"/>
      <c r="Z11" s="6"/>
    </row>
    <row r="12" spans="1:26" s="23" customFormat="1" collapsed="1" x14ac:dyDescent="0.3">
      <c r="A12" s="10"/>
      <c r="B12" s="25" t="s">
        <v>140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3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3" t="e">
        <f ca="1">-_xll.OneStop.ReportPlayer.OSRFunctions.OSRGet("GL_F_Trans","Value1")</f>
        <v>#NAME?</v>
      </c>
      <c r="E13" s="3"/>
      <c r="F13" s="19"/>
      <c r="G13" s="3"/>
      <c r="H13" s="3" t="e">
        <f ca="1">_xll.OneStop.ReportPlayer.OSRFunctions.OSRGet("GL_F_Trans","Value1")</f>
        <v>#NAME?</v>
      </c>
      <c r="I13" s="3"/>
      <c r="J13" s="19"/>
      <c r="K13" s="3"/>
      <c r="L13" s="3" t="e">
        <f t="shared" ca="1" si="0"/>
        <v>#NAME?</v>
      </c>
      <c r="M13" s="3"/>
      <c r="N13" s="19" t="e">
        <f t="shared" ca="1" si="1"/>
        <v>#NAME?</v>
      </c>
      <c r="O13" s="11"/>
      <c r="P13" s="3" t="e">
        <f ca="1">-_xll.OneStop.ReportPlayer.OSRFunctions.OSRGet("GL_F_Trans","Value1")</f>
        <v>#NAME?</v>
      </c>
      <c r="Q13" s="3"/>
      <c r="R13" s="19"/>
      <c r="S13" s="3"/>
      <c r="T13" s="3" t="e">
        <f ca="1">_xll.OneStop.ReportPlayer.OSRFunctions.OSRGet("GL_F_Trans","Value1")</f>
        <v>#NAME?</v>
      </c>
      <c r="U13" s="3"/>
      <c r="V13" s="19"/>
      <c r="W13" s="3"/>
      <c r="X13" s="3" t="e">
        <f t="shared" ca="1" si="2"/>
        <v>#NAME?</v>
      </c>
      <c r="Y13" s="3"/>
      <c r="Z13" s="19" t="e">
        <f t="shared" ca="1" si="3"/>
        <v>#NAME?</v>
      </c>
    </row>
    <row r="14" spans="1:26" x14ac:dyDescent="0.3">
      <c r="A14" s="9"/>
      <c r="B14" s="10"/>
      <c r="C14" s="9"/>
      <c r="D14" s="2"/>
      <c r="E14" s="2"/>
      <c r="F14" s="6"/>
      <c r="G14" s="2"/>
      <c r="H14" s="2"/>
      <c r="I14" s="2"/>
      <c r="J14" s="6"/>
      <c r="K14" s="2"/>
      <c r="L14" s="2"/>
      <c r="M14" s="2"/>
      <c r="N14" s="6"/>
      <c r="P14" s="2"/>
      <c r="Q14" s="2"/>
      <c r="R14" s="6"/>
      <c r="S14" s="2"/>
      <c r="T14" s="2"/>
      <c r="U14" s="2"/>
      <c r="V14" s="6"/>
      <c r="W14" s="2"/>
      <c r="X14" s="2"/>
      <c r="Y14" s="2"/>
      <c r="Z14" s="6"/>
    </row>
    <row r="15" spans="1:26" s="23" customFormat="1" collapsed="1" x14ac:dyDescent="0.3">
      <c r="A15" s="10"/>
      <c r="B15" s="25" t="s">
        <v>257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3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3" t="e">
        <f ca="1">_xll.OneStop.ReportPlayer.OSRFunctions.OSRGet("GL_F_Trans","Value1")</f>
        <v>#NAME?</v>
      </c>
      <c r="E16" s="3"/>
      <c r="F16" s="19" t="e">
        <f t="shared" ca="1" si="4"/>
        <v>#NAME?</v>
      </c>
      <c r="G16" s="3"/>
      <c r="H16" s="3" t="e">
        <f ca="1">_xll.OneStop.ReportPlayer.OSRFunctions.OSRGet("GL_F_Trans","Value1")</f>
        <v>#NAME?</v>
      </c>
      <c r="I16" s="3"/>
      <c r="J16" s="19" t="e">
        <f t="shared" ca="1" si="5"/>
        <v>#NAME?</v>
      </c>
      <c r="K16" s="3"/>
      <c r="L16" s="3" t="e">
        <f t="shared" ca="1" si="6"/>
        <v>#NAME?</v>
      </c>
      <c r="M16" s="3"/>
      <c r="N16" s="19" t="e">
        <f t="shared" ca="1" si="7"/>
        <v>#NAME?</v>
      </c>
      <c r="O16" s="11"/>
      <c r="P16" s="3" t="e">
        <f ca="1">_xll.OneStop.ReportPlayer.OSRFunctions.OSRGet("GL_F_Trans","Value1")</f>
        <v>#NAME?</v>
      </c>
      <c r="Q16" s="3"/>
      <c r="R16" s="19" t="e">
        <f t="shared" ca="1" si="8"/>
        <v>#NAME?</v>
      </c>
      <c r="S16" s="3"/>
      <c r="T16" s="3" t="e">
        <f ca="1">_xll.OneStop.ReportPlayer.OSRFunctions.OSRGet("GL_F_Trans","Value1")</f>
        <v>#NAME?</v>
      </c>
      <c r="U16" s="3"/>
      <c r="V16" s="19" t="e">
        <f t="shared" ca="1" si="9"/>
        <v>#NAME?</v>
      </c>
      <c r="W16" s="3"/>
      <c r="X16" s="3" t="e">
        <f t="shared" ca="1" si="10"/>
        <v>#NAME?</v>
      </c>
      <c r="Y16" s="3"/>
      <c r="Z16" s="19" t="e">
        <f t="shared" ca="1" si="11"/>
        <v>#NAME?</v>
      </c>
    </row>
    <row r="17" spans="1:26" x14ac:dyDescent="0.3">
      <c r="A17" s="9"/>
      <c r="B17" s="10"/>
      <c r="C17" s="10"/>
      <c r="D17" s="2"/>
      <c r="E17" s="2"/>
      <c r="F17" s="6"/>
      <c r="G17" s="2"/>
      <c r="H17" s="2"/>
      <c r="I17" s="2"/>
      <c r="J17" s="6"/>
      <c r="K17" s="2"/>
      <c r="L17" s="2"/>
      <c r="M17" s="2"/>
      <c r="N17" s="6"/>
      <c r="O17" s="10"/>
      <c r="P17" s="2"/>
      <c r="Q17" s="2"/>
      <c r="R17" s="6"/>
      <c r="S17" s="2"/>
      <c r="T17" s="2"/>
      <c r="U17" s="2"/>
      <c r="V17" s="6"/>
      <c r="W17" s="2"/>
      <c r="X17" s="2"/>
      <c r="Y17" s="2"/>
      <c r="Z17" s="6"/>
    </row>
    <row r="18" spans="1:26" s="23" customFormat="1" x14ac:dyDescent="0.3">
      <c r="A18" s="10"/>
      <c r="B18" s="26" t="s">
        <v>108</v>
      </c>
      <c r="C18" s="26"/>
      <c r="D18" s="21" t="e">
        <f ca="1">D12-D15</f>
        <v>#NAME?</v>
      </c>
      <c r="E18" s="13"/>
      <c r="F18" s="22" t="e">
        <f ca="1">IF(D$12=0,0,D18/D$12)</f>
        <v>#NAME?</v>
      </c>
      <c r="G18" s="13"/>
      <c r="H18" s="21" t="e">
        <f ca="1">H12-H15</f>
        <v>#NAME?</v>
      </c>
      <c r="I18" s="13"/>
      <c r="J18" s="22" t="e">
        <f ca="1">IF(H$12=0,0,H18/H$12)</f>
        <v>#NAME?</v>
      </c>
      <c r="K18" s="16"/>
      <c r="L18" s="21" t="e">
        <f ca="1">+D18-H18</f>
        <v>#NAME?</v>
      </c>
      <c r="M18" s="16"/>
      <c r="N18" s="22" t="e">
        <f ca="1">IF(H18=0,0,L18/H18)</f>
        <v>#NAME?</v>
      </c>
      <c r="O18" s="25"/>
      <c r="P18" s="21" t="e">
        <f ca="1">P12-P15</f>
        <v>#NAME?</v>
      </c>
      <c r="Q18" s="13"/>
      <c r="R18" s="22" t="e">
        <f ca="1">IF(P$12=0,0,P18/P$12)</f>
        <v>#NAME?</v>
      </c>
      <c r="S18" s="13"/>
      <c r="T18" s="21" t="e">
        <f ca="1">T12-T15</f>
        <v>#NAME?</v>
      </c>
      <c r="U18" s="13"/>
      <c r="V18" s="22" t="e">
        <f ca="1">IF(T$12=0,0,T18/T$12)</f>
        <v>#NAME?</v>
      </c>
      <c r="W18" s="16"/>
      <c r="X18" s="21" t="e">
        <f ca="1">+P18-T18</f>
        <v>#NAME?</v>
      </c>
      <c r="Y18" s="16"/>
      <c r="Z18" s="22" t="e">
        <f ca="1">IF(T18=0,0,X18/T18)</f>
        <v>#NAME?</v>
      </c>
    </row>
    <row r="19" spans="1:26" x14ac:dyDescent="0.3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">
      <c r="A20" s="10"/>
      <c r="B20" s="25" t="s">
        <v>295</v>
      </c>
      <c r="C20" s="10"/>
      <c r="D20" s="20" t="e">
        <f ca="1">SUM(_xll.OneStop.ReportPlayer.OSRFunctions.OSRRef(D22))</f>
        <v>#NAME?</v>
      </c>
      <c r="E20" s="20"/>
      <c r="F20" s="32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2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2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2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2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2" t="e">
        <f t="shared" ref="Z20:Z22" ca="1" si="19">IF(T20=0,0,X20/T20)</f>
        <v>#NAME?</v>
      </c>
    </row>
    <row r="21" spans="1:26" s="27" customFormat="1" outlineLevel="1" collapsed="1" x14ac:dyDescent="0.3">
      <c r="A21" s="28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3">
      <c r="A22" s="29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8" t="e">
        <f ca="1">_xll.OneStop.ReportPlayer.OSRFunctions.OSRGet("GL_F_Trans","Value1")</f>
        <v>#NAME?</v>
      </c>
      <c r="E22" s="3"/>
      <c r="F22" s="7" t="e">
        <f t="shared" ca="1" si="12"/>
        <v>#NAME?</v>
      </c>
      <c r="G22" s="3"/>
      <c r="H22" s="8" t="e">
        <f ca="1">_xll.OneStop.ReportPlayer.OSRFunctions.OSRGet("GL_F_Trans","Value1")</f>
        <v>#NAME?</v>
      </c>
      <c r="I22" s="3"/>
      <c r="J22" s="7" t="e">
        <f t="shared" ca="1" si="13"/>
        <v>#NAME?</v>
      </c>
      <c r="K22" s="3"/>
      <c r="L22" s="8" t="e">
        <f t="shared" ca="1" si="14"/>
        <v>#NAME?</v>
      </c>
      <c r="M22" s="3"/>
      <c r="N22" s="7" t="e">
        <f t="shared" ca="1" si="15"/>
        <v>#NAME?</v>
      </c>
      <c r="O22" s="11"/>
      <c r="P22" s="8" t="e">
        <f ca="1">_xll.OneStop.ReportPlayer.OSRFunctions.OSRGet("GL_F_Trans","Value1")</f>
        <v>#NAME?</v>
      </c>
      <c r="Q22" s="3"/>
      <c r="R22" s="7" t="e">
        <f t="shared" ca="1" si="16"/>
        <v>#NAME?</v>
      </c>
      <c r="S22" s="3"/>
      <c r="T22" s="8" t="e">
        <f ca="1">_xll.OneStop.ReportPlayer.OSRFunctions.OSRGet("GL_F_Trans","Value1")</f>
        <v>#NAME?</v>
      </c>
      <c r="U22" s="3"/>
      <c r="V22" s="7" t="e">
        <f t="shared" ca="1" si="17"/>
        <v>#NAME?</v>
      </c>
      <c r="W22" s="3"/>
      <c r="X22" s="8" t="e">
        <f t="shared" ca="1" si="18"/>
        <v>#NAME?</v>
      </c>
      <c r="Y22" s="3"/>
      <c r="Z22" s="7" t="e">
        <f t="shared" ca="1" si="19"/>
        <v>#NAME?</v>
      </c>
    </row>
    <row r="23" spans="1:26" s="62" customFormat="1" x14ac:dyDescent="0.3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3">
      <c r="A24" s="10"/>
      <c r="B24" s="25" t="s">
        <v>293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3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3" t="e">
        <f ca="1">-_xll.OneStop.ReportPlayer.OSRFunctions.OSRGet("GL_F_Trans","Value1")</f>
        <v>#NAME?</v>
      </c>
      <c r="E25" s="3"/>
      <c r="F25" s="19" t="e">
        <f t="shared" ca="1" si="20"/>
        <v>#NAME?</v>
      </c>
      <c r="G25" s="3"/>
      <c r="H25" s="3" t="e">
        <f ca="1">_xll.OneStop.ReportPlayer.OSRFunctions.OSRGet("GL_F_Trans","Value1")</f>
        <v>#NAME?</v>
      </c>
      <c r="I25" s="3"/>
      <c r="J25" s="19" t="e">
        <f t="shared" ca="1" si="21"/>
        <v>#NAME?</v>
      </c>
      <c r="K25" s="3"/>
      <c r="L25" s="3" t="e">
        <f t="shared" ca="1" si="22"/>
        <v>#NAME?</v>
      </c>
      <c r="M25" s="3"/>
      <c r="N25" s="19" t="e">
        <f t="shared" ca="1" si="23"/>
        <v>#NAME?</v>
      </c>
      <c r="O25" s="11"/>
      <c r="P25" s="3" t="e">
        <f ca="1">-_xll.OneStop.ReportPlayer.OSRFunctions.OSRGet("GL_F_Trans","Value1")</f>
        <v>#NAME?</v>
      </c>
      <c r="Q25" s="3"/>
      <c r="R25" s="19" t="e">
        <f t="shared" ca="1" si="24"/>
        <v>#NAME?</v>
      </c>
      <c r="S25" s="3"/>
      <c r="T25" s="3" t="e">
        <f ca="1">_xll.OneStop.ReportPlayer.OSRFunctions.OSRGet("GL_F_Trans","Value1")</f>
        <v>#NAME?</v>
      </c>
      <c r="U25" s="3"/>
      <c r="V25" s="19" t="e">
        <f t="shared" ca="1" si="25"/>
        <v>#NAME?</v>
      </c>
      <c r="W25" s="3"/>
      <c r="X25" s="3" t="e">
        <f t="shared" ca="1" si="26"/>
        <v>#NAME?</v>
      </c>
      <c r="Y25" s="3"/>
      <c r="Z25" s="19" t="e">
        <f t="shared" ca="1" si="27"/>
        <v>#NAME?</v>
      </c>
    </row>
    <row r="26" spans="1:26" x14ac:dyDescent="0.3">
      <c r="A26" s="9"/>
      <c r="B26" s="10"/>
      <c r="C26" s="10"/>
      <c r="D26" s="2"/>
      <c r="E26" s="2"/>
      <c r="F26" s="6"/>
      <c r="G26" s="2"/>
      <c r="H26" s="2"/>
      <c r="I26" s="2"/>
      <c r="J26" s="6"/>
      <c r="K26" s="2"/>
      <c r="L26" s="2"/>
      <c r="M26" s="2"/>
      <c r="N26" s="6"/>
      <c r="O26" s="10"/>
      <c r="P26" s="2"/>
      <c r="Q26" s="2"/>
      <c r="R26" s="6"/>
      <c r="S26" s="2"/>
      <c r="T26" s="2"/>
      <c r="U26" s="2"/>
      <c r="V26" s="6"/>
      <c r="W26" s="2"/>
      <c r="X26" s="2"/>
      <c r="Y26" s="2"/>
      <c r="Z26" s="6"/>
    </row>
    <row r="27" spans="1:26" s="23" customFormat="1" x14ac:dyDescent="0.3">
      <c r="A27" s="10"/>
      <c r="B27" s="26" t="s">
        <v>277</v>
      </c>
      <c r="C27" s="26"/>
      <c r="D27" s="21" t="e">
        <f ca="1">+D18-D20+D24</f>
        <v>#NAME?</v>
      </c>
      <c r="E27" s="13"/>
      <c r="F27" s="22" t="e">
        <f ca="1">IF(D$12=0,0,D27/D$12)</f>
        <v>#NAME?</v>
      </c>
      <c r="G27" s="13"/>
      <c r="H27" s="21" t="e">
        <f ca="1">+H18-H20+H24</f>
        <v>#NAME?</v>
      </c>
      <c r="I27" s="13"/>
      <c r="J27" s="22" t="e">
        <f ca="1">IF(H$12=0,0,H27/H$12)</f>
        <v>#NAME?</v>
      </c>
      <c r="K27" s="16"/>
      <c r="L27" s="21" t="e">
        <f ca="1">+D27-H27</f>
        <v>#NAME?</v>
      </c>
      <c r="M27" s="16"/>
      <c r="N27" s="22" t="e">
        <f ca="1">IF(H27=0,0,L27/H27)</f>
        <v>#NAME?</v>
      </c>
      <c r="O27" s="25"/>
      <c r="P27" s="21" t="e">
        <f ca="1">+P18-P20+P24</f>
        <v>#NAME?</v>
      </c>
      <c r="Q27" s="13"/>
      <c r="R27" s="22" t="e">
        <f ca="1">IF(P$12=0,0,P27/P$12)</f>
        <v>#NAME?</v>
      </c>
      <c r="S27" s="13"/>
      <c r="T27" s="21" t="e">
        <f ca="1">+T18-T20+T24</f>
        <v>#NAME?</v>
      </c>
      <c r="U27" s="13"/>
      <c r="V27" s="22" t="e">
        <f ca="1">IF(T$12=0,0,T27/T$12)</f>
        <v>#NAME?</v>
      </c>
      <c r="W27" s="16"/>
      <c r="X27" s="21" t="e">
        <f ca="1">+P27-T27</f>
        <v>#NAME?</v>
      </c>
      <c r="Y27" s="16"/>
      <c r="Z27" s="22" t="e">
        <f ca="1">IF(T27=0,0,X27/T27)</f>
        <v>#NAME?</v>
      </c>
    </row>
    <row r="28" spans="1:26" x14ac:dyDescent="0.3">
      <c r="A28" s="9"/>
      <c r="B28" s="10"/>
      <c r="C28" s="9"/>
      <c r="D28" s="2"/>
      <c r="E28" s="2"/>
      <c r="F28" s="6"/>
      <c r="G28" s="2"/>
      <c r="H28" s="2"/>
      <c r="I28" s="2"/>
      <c r="J28" s="6"/>
      <c r="K28" s="2"/>
      <c r="L28" s="2"/>
      <c r="M28" s="2"/>
      <c r="N28" s="6"/>
      <c r="P28" s="2"/>
      <c r="Q28" s="2"/>
      <c r="R28" s="6"/>
      <c r="S28" s="2"/>
      <c r="T28" s="2"/>
      <c r="U28" s="2"/>
      <c r="V28" s="6"/>
      <c r="W28" s="2"/>
      <c r="X28" s="2"/>
      <c r="Y28" s="2"/>
      <c r="Z28" s="6"/>
    </row>
    <row r="29" spans="1:26" s="23" customFormat="1" x14ac:dyDescent="0.3">
      <c r="A29" s="52"/>
      <c r="B29" s="10" t="s">
        <v>128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3">
      <c r="A30" s="9"/>
      <c r="B30" s="10"/>
      <c r="C30" s="10"/>
      <c r="D30" s="2"/>
      <c r="E30" s="2"/>
      <c r="F30" s="6"/>
      <c r="G30" s="2"/>
      <c r="H30" s="2"/>
      <c r="I30" s="2"/>
      <c r="J30" s="6"/>
      <c r="K30" s="2"/>
      <c r="L30" s="2"/>
      <c r="M30" s="2"/>
      <c r="N30" s="6"/>
      <c r="O30" s="10"/>
      <c r="P30" s="2"/>
      <c r="Q30" s="2"/>
      <c r="R30" s="6"/>
      <c r="S30" s="2"/>
      <c r="T30" s="2"/>
      <c r="U30" s="2"/>
      <c r="V30" s="6"/>
      <c r="W30" s="2"/>
      <c r="X30" s="2"/>
      <c r="Y30" s="2"/>
      <c r="Z30" s="6"/>
    </row>
    <row r="31" spans="1:26" s="23" customFormat="1" ht="15" thickBot="1" x14ac:dyDescent="0.35">
      <c r="A31" s="10"/>
      <c r="B31" s="26" t="s">
        <v>126</v>
      </c>
      <c r="C31" s="26"/>
      <c r="D31" s="35" t="e">
        <f ca="1">+D27-D29</f>
        <v>#NAME?</v>
      </c>
      <c r="E31" s="13"/>
      <c r="F31" s="30" t="e">
        <f ca="1">IF(D$12=0,0,D31/D$12)</f>
        <v>#NAME?</v>
      </c>
      <c r="G31" s="13"/>
      <c r="H31" s="35" t="e">
        <f ca="1">+H27-H29</f>
        <v>#NAME?</v>
      </c>
      <c r="I31" s="13"/>
      <c r="J31" s="30" t="e">
        <f ca="1">IF(H$12=0,0,H31/H$12)</f>
        <v>#NAME?</v>
      </c>
      <c r="K31" s="16"/>
      <c r="L31" s="35" t="e">
        <f ca="1">D31-H31</f>
        <v>#NAME?</v>
      </c>
      <c r="M31" s="16"/>
      <c r="N31" s="30" t="e">
        <f ca="1">IF(H31=0,0,L31/H31)</f>
        <v>#NAME?</v>
      </c>
      <c r="O31" s="25"/>
      <c r="P31" s="35" t="e">
        <f ca="1">+P27-P29</f>
        <v>#NAME?</v>
      </c>
      <c r="Q31" s="13"/>
      <c r="R31" s="30" t="e">
        <f ca="1">IF(P$12=0,0,P31/P$12)</f>
        <v>#NAME?</v>
      </c>
      <c r="S31" s="13"/>
      <c r="T31" s="35" t="e">
        <f ca="1">+T27-T29</f>
        <v>#NAME?</v>
      </c>
      <c r="U31" s="13"/>
      <c r="V31" s="30" t="e">
        <f ca="1">IF(T$12=0,0,T31/T$12)</f>
        <v>#NAME?</v>
      </c>
      <c r="W31" s="16"/>
      <c r="X31" s="35" t="e">
        <f ca="1">P31-T31</f>
        <v>#NAME?</v>
      </c>
      <c r="Y31" s="16"/>
      <c r="Z31" s="30" t="e">
        <f ca="1">IF(T31=0,0,X31/T31)</f>
        <v>#NAME?</v>
      </c>
    </row>
    <row r="32" spans="1:26" ht="15" thickTop="1" x14ac:dyDescent="0.3">
      <c r="A32" s="9"/>
      <c r="B32" s="9"/>
      <c r="C32" s="9"/>
      <c r="D32" s="2"/>
      <c r="E32" s="2"/>
      <c r="F32" s="6"/>
      <c r="G32" s="2"/>
      <c r="H32" s="2"/>
      <c r="I32" s="2"/>
      <c r="J32" s="6"/>
      <c r="K32" s="2"/>
      <c r="L32" s="2"/>
      <c r="M32" s="2"/>
      <c r="N32" s="6"/>
      <c r="P32" s="2"/>
      <c r="Q32" s="2"/>
      <c r="R32" s="6"/>
      <c r="S32" s="2"/>
      <c r="T32" s="2"/>
      <c r="U32" s="2"/>
      <c r="V32" s="6"/>
      <c r="W32" s="2"/>
      <c r="X32" s="2"/>
      <c r="Y32" s="2"/>
      <c r="Z32" s="6"/>
    </row>
    <row r="33" spans="1:26" s="23" customFormat="1" x14ac:dyDescent="0.3">
      <c r="A33" s="52"/>
      <c r="B33" s="10" t="s">
        <v>184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3">
      <c r="A34" s="52"/>
      <c r="B34" s="10" t="s">
        <v>82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3">
      <c r="A35" s="9"/>
      <c r="B35" s="9"/>
      <c r="C35" s="9"/>
      <c r="D35" s="2"/>
      <c r="E35" s="2"/>
      <c r="F35" s="6"/>
      <c r="G35" s="2"/>
      <c r="H35" s="2"/>
      <c r="I35" s="2"/>
      <c r="J35" s="6"/>
      <c r="K35" s="2"/>
      <c r="L35" s="2"/>
      <c r="M35" s="2"/>
      <c r="N35" s="6"/>
      <c r="P35" s="2"/>
      <c r="Q35" s="2"/>
      <c r="R35" s="6"/>
      <c r="S35" s="2"/>
      <c r="T35" s="2"/>
      <c r="U35" s="2"/>
      <c r="V35" s="6"/>
      <c r="W35" s="2"/>
      <c r="X35" s="2"/>
      <c r="Y35" s="2"/>
      <c r="Z35" s="6"/>
    </row>
    <row r="36" spans="1:26" s="23" customFormat="1" ht="15" thickBot="1" x14ac:dyDescent="0.35">
      <c r="A36" s="10"/>
      <c r="B36" s="26" t="s">
        <v>294</v>
      </c>
      <c r="C36" s="26"/>
      <c r="D36" s="33" t="e">
        <f ca="1">SUM(D31:D35)</f>
        <v>#NAME?</v>
      </c>
      <c r="E36" s="13"/>
      <c r="F36" s="31" t="e">
        <f ca="1">IF(D$12=0,0,D36/D$12)</f>
        <v>#NAME?</v>
      </c>
      <c r="G36" s="13"/>
      <c r="H36" s="33" t="e">
        <f ca="1">SUM(H31:H35)</f>
        <v>#NAME?</v>
      </c>
      <c r="I36" s="13"/>
      <c r="J36" s="31" t="e">
        <f ca="1">IF(H$12=0,0,H36/H$12)</f>
        <v>#NAME?</v>
      </c>
      <c r="K36" s="16"/>
      <c r="L36" s="33" t="e">
        <f ca="1">+D36-H36</f>
        <v>#NAME?</v>
      </c>
      <c r="M36" s="16"/>
      <c r="N36" s="31" t="e">
        <f ca="1">IF(H36=0,0,L36/H36)</f>
        <v>#NAME?</v>
      </c>
      <c r="O36" s="25"/>
      <c r="P36" s="33" t="e">
        <f ca="1">SUM(P31:P35)</f>
        <v>#NAME?</v>
      </c>
      <c r="Q36" s="13"/>
      <c r="R36" s="31" t="e">
        <f ca="1">IF(P$12=0,0,P36/P$12)</f>
        <v>#NAME?</v>
      </c>
      <c r="S36" s="13"/>
      <c r="T36" s="33" t="e">
        <f ca="1">SUM(T31:T35)</f>
        <v>#NAME?</v>
      </c>
      <c r="U36" s="13"/>
      <c r="V36" s="31" t="e">
        <f ca="1">IF(T$12=0,0,T36/T$12)</f>
        <v>#NAME?</v>
      </c>
      <c r="W36" s="16"/>
      <c r="X36" s="33" t="e">
        <f ca="1">+P36-T36</f>
        <v>#NAME?</v>
      </c>
      <c r="Y36" s="16"/>
      <c r="Z36" s="31" t="e">
        <f ca="1">IF(T36=0,0,X36/T36)</f>
        <v>#NAME?</v>
      </c>
    </row>
    <row r="37" spans="1:26" ht="15" thickTop="1" x14ac:dyDescent="0.3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3">
      <c r="A38" s="9"/>
      <c r="B38" s="54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3">
      <c r="A39" s="9"/>
      <c r="B39" s="59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3">
      <c r="A40" s="9"/>
      <c r="B40" s="55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3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>
    <tabColor rgb="FF92D05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50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7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50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7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7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7" customWidth="1" outlineLevel="1"/>
  </cols>
  <sheetData>
    <row r="2" spans="1:26" x14ac:dyDescent="0.3">
      <c r="D2" s="57" t="s">
        <v>23</v>
      </c>
    </row>
    <row r="3" spans="1:26" x14ac:dyDescent="0.3">
      <c r="D3" s="57" t="s">
        <v>237</v>
      </c>
      <c r="E3" s="17"/>
      <c r="F3" s="51"/>
      <c r="G3" s="17"/>
      <c r="H3" s="17"/>
      <c r="I3" s="17"/>
      <c r="J3" s="39"/>
      <c r="K3" s="17"/>
      <c r="L3" s="17"/>
      <c r="M3" s="17"/>
      <c r="N3" s="51"/>
      <c r="O3" s="61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3">
      <c r="D4" s="57" t="e">
        <f ca="1">CONCATENATE("Period ",RIGHT(_xll.OneStop.ReportPlayer.OSRFunctions.OSRGet("Period","PeriodId"),2),", ",_xll.OneStop.ReportPlayer.OSRFunctions.OSRGet("Period","Year"))</f>
        <v>#NAME?</v>
      </c>
      <c r="E4" s="17"/>
      <c r="F4" s="51"/>
      <c r="G4" s="17"/>
      <c r="H4" s="17"/>
      <c r="I4" s="17"/>
      <c r="J4" s="39"/>
      <c r="K4" s="17"/>
      <c r="L4" s="17"/>
      <c r="M4" s="17"/>
      <c r="N4" s="51"/>
      <c r="O4" s="61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3">
      <c r="A5" s="23"/>
      <c r="D5" s="65" t="e">
        <f ca="1">_xll.OneStop.ReportPlayer.OSRFunctions.OSRGet("Period","PeriodEnd")</f>
        <v>#NAME?</v>
      </c>
      <c r="E5" s="17"/>
      <c r="F5" s="51"/>
      <c r="G5" s="17"/>
      <c r="H5" s="17"/>
      <c r="I5" s="17"/>
      <c r="J5" s="39"/>
      <c r="K5" s="17"/>
      <c r="L5" s="17"/>
      <c r="M5" s="17"/>
      <c r="N5" s="51"/>
      <c r="O5" s="61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3">
      <c r="A6" s="23"/>
      <c r="B6" s="47"/>
      <c r="C6" s="47"/>
      <c r="D6" s="23" t="e">
        <f ca="1">CONCATENATE("Department ",_xll.OneStop.ReportPlayer.OSRFunctions.OSRGet("d_dim0","Code"), " - ", _xll.OneStop.ReportPlayer.OSRFunctions.OSRGet("d_dim0","Description"))</f>
        <v>#NAME?</v>
      </c>
      <c r="E6" s="17"/>
      <c r="F6" s="51"/>
      <c r="G6" s="17"/>
      <c r="H6" s="17"/>
      <c r="I6" s="17"/>
      <c r="J6" s="39"/>
      <c r="K6" s="17"/>
      <c r="L6" s="17"/>
      <c r="M6" s="17"/>
      <c r="N6" s="51"/>
      <c r="O6" s="60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3">
      <c r="B7" s="63"/>
    </row>
    <row r="8" spans="1:26" x14ac:dyDescent="0.3">
      <c r="B8" s="63"/>
    </row>
    <row r="9" spans="1:26" x14ac:dyDescent="0.3">
      <c r="B9" s="9"/>
      <c r="C9" s="9"/>
      <c r="D9" s="15" t="s">
        <v>292</v>
      </c>
      <c r="E9" s="15"/>
      <c r="F9" s="38"/>
      <c r="G9" s="15"/>
      <c r="H9" s="15"/>
      <c r="I9" s="15"/>
      <c r="J9" s="49"/>
      <c r="K9" s="15"/>
      <c r="L9" s="15"/>
      <c r="M9" s="15"/>
      <c r="N9" s="38"/>
      <c r="P9" s="15" t="s">
        <v>39</v>
      </c>
      <c r="Q9" s="15"/>
      <c r="R9" s="38"/>
      <c r="S9" s="15"/>
      <c r="T9" s="15"/>
      <c r="U9" s="15"/>
      <c r="V9" s="49"/>
      <c r="W9" s="15"/>
      <c r="X9" s="15"/>
      <c r="Y9" s="15"/>
      <c r="Z9" s="38"/>
    </row>
    <row r="10" spans="1:26" x14ac:dyDescent="0.3">
      <c r="A10" s="10"/>
      <c r="B10" s="53"/>
      <c r="C10" s="10"/>
      <c r="D10" s="42" t="s">
        <v>57</v>
      </c>
      <c r="E10" s="34"/>
      <c r="F10" s="40" t="s">
        <v>40</v>
      </c>
      <c r="G10" s="34"/>
      <c r="H10" s="45" t="s">
        <v>238</v>
      </c>
      <c r="I10" s="34"/>
      <c r="J10" s="48" t="s">
        <v>58</v>
      </c>
      <c r="K10" s="10"/>
      <c r="L10" s="42" t="s">
        <v>127</v>
      </c>
      <c r="M10" s="10"/>
      <c r="N10" s="40" t="s">
        <v>258</v>
      </c>
      <c r="O10" s="10"/>
      <c r="P10" s="56" t="s">
        <v>57</v>
      </c>
      <c r="Q10" s="34"/>
      <c r="R10" s="40" t="s">
        <v>40</v>
      </c>
      <c r="S10" s="34"/>
      <c r="T10" s="45" t="s">
        <v>238</v>
      </c>
      <c r="U10" s="34"/>
      <c r="V10" s="48" t="s">
        <v>58</v>
      </c>
      <c r="W10" s="10"/>
      <c r="X10" s="42" t="s">
        <v>127</v>
      </c>
      <c r="Y10" s="10"/>
      <c r="Z10" s="40" t="s">
        <v>258</v>
      </c>
    </row>
    <row r="11" spans="1:26" ht="15.6" x14ac:dyDescent="0.3">
      <c r="A11" s="9"/>
      <c r="B11" s="58"/>
      <c r="C11" s="9"/>
      <c r="D11" s="9"/>
      <c r="E11" s="9"/>
      <c r="F11" s="6"/>
      <c r="G11" s="9"/>
      <c r="H11" s="9"/>
      <c r="I11" s="9"/>
      <c r="J11" s="46"/>
      <c r="K11" s="9"/>
      <c r="L11" s="9"/>
      <c r="M11" s="9"/>
      <c r="N11" s="6"/>
      <c r="P11" s="9"/>
      <c r="Q11" s="9"/>
      <c r="R11" s="6"/>
      <c r="S11" s="9"/>
      <c r="T11" s="9"/>
      <c r="U11" s="9"/>
      <c r="V11" s="46"/>
      <c r="W11" s="9"/>
      <c r="X11" s="9"/>
      <c r="Y11" s="9"/>
      <c r="Z11" s="6"/>
    </row>
    <row r="12" spans="1:26" s="23" customFormat="1" collapsed="1" x14ac:dyDescent="0.3">
      <c r="A12" s="10"/>
      <c r="B12" s="25" t="s">
        <v>140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3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3" t="e">
        <f ca="1">-_xll.OneStop.ReportPlayer.OSRFunctions.OSRGet("GL_F_Trans","Value1")</f>
        <v>#NAME?</v>
      </c>
      <c r="E13" s="3"/>
      <c r="F13" s="19"/>
      <c r="G13" s="3"/>
      <c r="H13" s="3" t="e">
        <f ca="1">_xll.OneStop.ReportPlayer.OSRFunctions.OSRGet("GL_F_Trans","Value1")</f>
        <v>#NAME?</v>
      </c>
      <c r="I13" s="3"/>
      <c r="J13" s="19"/>
      <c r="K13" s="3"/>
      <c r="L13" s="3" t="e">
        <f t="shared" ca="1" si="0"/>
        <v>#NAME?</v>
      </c>
      <c r="M13" s="3"/>
      <c r="N13" s="19" t="e">
        <f t="shared" ca="1" si="1"/>
        <v>#NAME?</v>
      </c>
      <c r="O13" s="11"/>
      <c r="P13" s="3" t="e">
        <f ca="1">-_xll.OneStop.ReportPlayer.OSRFunctions.OSRGet("GL_F_Trans","Value1")</f>
        <v>#NAME?</v>
      </c>
      <c r="Q13" s="3"/>
      <c r="R13" s="19"/>
      <c r="S13" s="3"/>
      <c r="T13" s="3" t="e">
        <f ca="1">_xll.OneStop.ReportPlayer.OSRFunctions.OSRGet("GL_F_Trans","Value1")</f>
        <v>#NAME?</v>
      </c>
      <c r="U13" s="3"/>
      <c r="V13" s="19"/>
      <c r="W13" s="3"/>
      <c r="X13" s="3" t="e">
        <f t="shared" ca="1" si="2"/>
        <v>#NAME?</v>
      </c>
      <c r="Y13" s="3"/>
      <c r="Z13" s="19" t="e">
        <f t="shared" ca="1" si="3"/>
        <v>#NAME?</v>
      </c>
    </row>
    <row r="14" spans="1:26" x14ac:dyDescent="0.3">
      <c r="A14" s="9"/>
      <c r="B14" s="10"/>
      <c r="C14" s="9"/>
      <c r="D14" s="2"/>
      <c r="E14" s="2"/>
      <c r="F14" s="6"/>
      <c r="G14" s="2"/>
      <c r="H14" s="2"/>
      <c r="I14" s="2"/>
      <c r="J14" s="6"/>
      <c r="K14" s="2"/>
      <c r="L14" s="2"/>
      <c r="M14" s="2"/>
      <c r="N14" s="6"/>
      <c r="P14" s="2"/>
      <c r="Q14" s="2"/>
      <c r="R14" s="6"/>
      <c r="S14" s="2"/>
      <c r="T14" s="2"/>
      <c r="U14" s="2"/>
      <c r="V14" s="6"/>
      <c r="W14" s="2"/>
      <c r="X14" s="2"/>
      <c r="Y14" s="2"/>
      <c r="Z14" s="6"/>
    </row>
    <row r="15" spans="1:26" s="23" customFormat="1" collapsed="1" x14ac:dyDescent="0.3">
      <c r="A15" s="10"/>
      <c r="B15" s="25" t="s">
        <v>257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3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3" t="e">
        <f ca="1">_xll.OneStop.ReportPlayer.OSRFunctions.OSRGet("GL_F_Trans","Value1")</f>
        <v>#NAME?</v>
      </c>
      <c r="E16" s="3"/>
      <c r="F16" s="19" t="e">
        <f t="shared" ca="1" si="4"/>
        <v>#NAME?</v>
      </c>
      <c r="G16" s="3"/>
      <c r="H16" s="3" t="e">
        <f ca="1">_xll.OneStop.ReportPlayer.OSRFunctions.OSRGet("GL_F_Trans","Value1")</f>
        <v>#NAME?</v>
      </c>
      <c r="I16" s="3"/>
      <c r="J16" s="19" t="e">
        <f t="shared" ca="1" si="5"/>
        <v>#NAME?</v>
      </c>
      <c r="K16" s="3"/>
      <c r="L16" s="3" t="e">
        <f t="shared" ca="1" si="6"/>
        <v>#NAME?</v>
      </c>
      <c r="M16" s="3"/>
      <c r="N16" s="19" t="e">
        <f t="shared" ca="1" si="7"/>
        <v>#NAME?</v>
      </c>
      <c r="O16" s="11"/>
      <c r="P16" s="3" t="e">
        <f ca="1">_xll.OneStop.ReportPlayer.OSRFunctions.OSRGet("GL_F_Trans","Value1")</f>
        <v>#NAME?</v>
      </c>
      <c r="Q16" s="3"/>
      <c r="R16" s="19" t="e">
        <f t="shared" ca="1" si="8"/>
        <v>#NAME?</v>
      </c>
      <c r="S16" s="3"/>
      <c r="T16" s="3" t="e">
        <f ca="1">_xll.OneStop.ReportPlayer.OSRFunctions.OSRGet("GL_F_Trans","Value1")</f>
        <v>#NAME?</v>
      </c>
      <c r="U16" s="3"/>
      <c r="V16" s="19" t="e">
        <f t="shared" ca="1" si="9"/>
        <v>#NAME?</v>
      </c>
      <c r="W16" s="3"/>
      <c r="X16" s="3" t="e">
        <f t="shared" ca="1" si="10"/>
        <v>#NAME?</v>
      </c>
      <c r="Y16" s="3"/>
      <c r="Z16" s="19" t="e">
        <f t="shared" ca="1" si="11"/>
        <v>#NAME?</v>
      </c>
    </row>
    <row r="17" spans="1:26" x14ac:dyDescent="0.3">
      <c r="A17" s="9"/>
      <c r="B17" s="10"/>
      <c r="C17" s="10"/>
      <c r="D17" s="2"/>
      <c r="E17" s="2"/>
      <c r="F17" s="6"/>
      <c r="G17" s="2"/>
      <c r="H17" s="2"/>
      <c r="I17" s="2"/>
      <c r="J17" s="6"/>
      <c r="K17" s="2"/>
      <c r="L17" s="2"/>
      <c r="M17" s="2"/>
      <c r="N17" s="6"/>
      <c r="O17" s="10"/>
      <c r="P17" s="2"/>
      <c r="Q17" s="2"/>
      <c r="R17" s="6"/>
      <c r="S17" s="2"/>
      <c r="T17" s="2"/>
      <c r="U17" s="2"/>
      <c r="V17" s="6"/>
      <c r="W17" s="2"/>
      <c r="X17" s="2"/>
      <c r="Y17" s="2"/>
      <c r="Z17" s="6"/>
    </row>
    <row r="18" spans="1:26" s="23" customFormat="1" x14ac:dyDescent="0.3">
      <c r="A18" s="10"/>
      <c r="B18" s="26" t="s">
        <v>108</v>
      </c>
      <c r="C18" s="26"/>
      <c r="D18" s="21" t="e">
        <f ca="1">D12-D15</f>
        <v>#NAME?</v>
      </c>
      <c r="E18" s="13"/>
      <c r="F18" s="22" t="e">
        <f ca="1">IF(D$12=0,0,D18/D$12)</f>
        <v>#NAME?</v>
      </c>
      <c r="G18" s="13"/>
      <c r="H18" s="21" t="e">
        <f ca="1">H12-H15</f>
        <v>#NAME?</v>
      </c>
      <c r="I18" s="13"/>
      <c r="J18" s="22" t="e">
        <f ca="1">IF(H$12=0,0,H18/H$12)</f>
        <v>#NAME?</v>
      </c>
      <c r="K18" s="16"/>
      <c r="L18" s="21" t="e">
        <f ca="1">+D18-H18</f>
        <v>#NAME?</v>
      </c>
      <c r="M18" s="16"/>
      <c r="N18" s="22" t="e">
        <f ca="1">IF(H18=0,0,L18/H18)</f>
        <v>#NAME?</v>
      </c>
      <c r="O18" s="25"/>
      <c r="P18" s="21" t="e">
        <f ca="1">P12-P15</f>
        <v>#NAME?</v>
      </c>
      <c r="Q18" s="13"/>
      <c r="R18" s="22" t="e">
        <f ca="1">IF(P$12=0,0,P18/P$12)</f>
        <v>#NAME?</v>
      </c>
      <c r="S18" s="13"/>
      <c r="T18" s="21" t="e">
        <f ca="1">T12-T15</f>
        <v>#NAME?</v>
      </c>
      <c r="U18" s="13"/>
      <c r="V18" s="22" t="e">
        <f ca="1">IF(T$12=0,0,T18/T$12)</f>
        <v>#NAME?</v>
      </c>
      <c r="W18" s="16"/>
      <c r="X18" s="21" t="e">
        <f ca="1">+P18-T18</f>
        <v>#NAME?</v>
      </c>
      <c r="Y18" s="16"/>
      <c r="Z18" s="22" t="e">
        <f ca="1">IF(T18=0,0,X18/T18)</f>
        <v>#NAME?</v>
      </c>
    </row>
    <row r="19" spans="1:26" x14ac:dyDescent="0.3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">
      <c r="A20" s="10"/>
      <c r="B20" s="25" t="s">
        <v>295</v>
      </c>
      <c r="C20" s="10"/>
      <c r="D20" s="20" t="e">
        <f ca="1">SUM(_xll.OneStop.ReportPlayer.OSRFunctions.OSRRef(D22))</f>
        <v>#NAME?</v>
      </c>
      <c r="E20" s="20"/>
      <c r="F20" s="32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2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2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2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2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2" t="e">
        <f t="shared" ref="Z20:Z22" ca="1" si="19">IF(T20=0,0,X20/T20)</f>
        <v>#NAME?</v>
      </c>
    </row>
    <row r="21" spans="1:26" s="27" customFormat="1" outlineLevel="1" collapsed="1" x14ac:dyDescent="0.3">
      <c r="A21" s="28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3">
      <c r="A22" s="29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8" t="e">
        <f ca="1">_xll.OneStop.ReportPlayer.OSRFunctions.OSRGet("GL_F_Trans","Value1")</f>
        <v>#NAME?</v>
      </c>
      <c r="E22" s="3"/>
      <c r="F22" s="7" t="e">
        <f t="shared" ca="1" si="12"/>
        <v>#NAME?</v>
      </c>
      <c r="G22" s="3"/>
      <c r="H22" s="8" t="e">
        <f ca="1">_xll.OneStop.ReportPlayer.OSRFunctions.OSRGet("GL_F_Trans","Value1")</f>
        <v>#NAME?</v>
      </c>
      <c r="I22" s="3"/>
      <c r="J22" s="7" t="e">
        <f t="shared" ca="1" si="13"/>
        <v>#NAME?</v>
      </c>
      <c r="K22" s="3"/>
      <c r="L22" s="8" t="e">
        <f t="shared" ca="1" si="14"/>
        <v>#NAME?</v>
      </c>
      <c r="M22" s="3"/>
      <c r="N22" s="7" t="e">
        <f t="shared" ca="1" si="15"/>
        <v>#NAME?</v>
      </c>
      <c r="O22" s="11"/>
      <c r="P22" s="8" t="e">
        <f ca="1">_xll.OneStop.ReportPlayer.OSRFunctions.OSRGet("GL_F_Trans","Value1")</f>
        <v>#NAME?</v>
      </c>
      <c r="Q22" s="3"/>
      <c r="R22" s="7" t="e">
        <f t="shared" ca="1" si="16"/>
        <v>#NAME?</v>
      </c>
      <c r="S22" s="3"/>
      <c r="T22" s="8" t="e">
        <f ca="1">_xll.OneStop.ReportPlayer.OSRFunctions.OSRGet("GL_F_Trans","Value1")</f>
        <v>#NAME?</v>
      </c>
      <c r="U22" s="3"/>
      <c r="V22" s="7" t="e">
        <f t="shared" ca="1" si="17"/>
        <v>#NAME?</v>
      </c>
      <c r="W22" s="3"/>
      <c r="X22" s="8" t="e">
        <f t="shared" ca="1" si="18"/>
        <v>#NAME?</v>
      </c>
      <c r="Y22" s="3"/>
      <c r="Z22" s="7" t="e">
        <f t="shared" ca="1" si="19"/>
        <v>#NAME?</v>
      </c>
    </row>
    <row r="23" spans="1:26" s="62" customFormat="1" x14ac:dyDescent="0.3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3">
      <c r="A24" s="10"/>
      <c r="B24" s="25" t="s">
        <v>293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3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3" t="e">
        <f ca="1">-_xll.OneStop.ReportPlayer.OSRFunctions.OSRGet("GL_F_Trans","Value1")</f>
        <v>#NAME?</v>
      </c>
      <c r="E25" s="3"/>
      <c r="F25" s="19" t="e">
        <f t="shared" ca="1" si="20"/>
        <v>#NAME?</v>
      </c>
      <c r="G25" s="3"/>
      <c r="H25" s="3" t="e">
        <f ca="1">_xll.OneStop.ReportPlayer.OSRFunctions.OSRGet("GL_F_Trans","Value1")</f>
        <v>#NAME?</v>
      </c>
      <c r="I25" s="3"/>
      <c r="J25" s="19" t="e">
        <f t="shared" ca="1" si="21"/>
        <v>#NAME?</v>
      </c>
      <c r="K25" s="3"/>
      <c r="L25" s="3" t="e">
        <f t="shared" ca="1" si="22"/>
        <v>#NAME?</v>
      </c>
      <c r="M25" s="3"/>
      <c r="N25" s="19" t="e">
        <f t="shared" ca="1" si="23"/>
        <v>#NAME?</v>
      </c>
      <c r="O25" s="11"/>
      <c r="P25" s="3" t="e">
        <f ca="1">-_xll.OneStop.ReportPlayer.OSRFunctions.OSRGet("GL_F_Trans","Value1")</f>
        <v>#NAME?</v>
      </c>
      <c r="Q25" s="3"/>
      <c r="R25" s="19" t="e">
        <f t="shared" ca="1" si="24"/>
        <v>#NAME?</v>
      </c>
      <c r="S25" s="3"/>
      <c r="T25" s="3" t="e">
        <f ca="1">_xll.OneStop.ReportPlayer.OSRFunctions.OSRGet("GL_F_Trans","Value1")</f>
        <v>#NAME?</v>
      </c>
      <c r="U25" s="3"/>
      <c r="V25" s="19" t="e">
        <f t="shared" ca="1" si="25"/>
        <v>#NAME?</v>
      </c>
      <c r="W25" s="3"/>
      <c r="X25" s="3" t="e">
        <f t="shared" ca="1" si="26"/>
        <v>#NAME?</v>
      </c>
      <c r="Y25" s="3"/>
      <c r="Z25" s="19" t="e">
        <f t="shared" ca="1" si="27"/>
        <v>#NAME?</v>
      </c>
    </row>
    <row r="26" spans="1:26" x14ac:dyDescent="0.3">
      <c r="A26" s="9"/>
      <c r="B26" s="10"/>
      <c r="C26" s="10"/>
      <c r="D26" s="2"/>
      <c r="E26" s="2"/>
      <c r="F26" s="6"/>
      <c r="G26" s="2"/>
      <c r="H26" s="2"/>
      <c r="I26" s="2"/>
      <c r="J26" s="6"/>
      <c r="K26" s="2"/>
      <c r="L26" s="2"/>
      <c r="M26" s="2"/>
      <c r="N26" s="6"/>
      <c r="O26" s="10"/>
      <c r="P26" s="2"/>
      <c r="Q26" s="2"/>
      <c r="R26" s="6"/>
      <c r="S26" s="2"/>
      <c r="T26" s="2"/>
      <c r="U26" s="2"/>
      <c r="V26" s="6"/>
      <c r="W26" s="2"/>
      <c r="X26" s="2"/>
      <c r="Y26" s="2"/>
      <c r="Z26" s="6"/>
    </row>
    <row r="27" spans="1:26" s="23" customFormat="1" x14ac:dyDescent="0.3">
      <c r="A27" s="10"/>
      <c r="B27" s="26" t="s">
        <v>277</v>
      </c>
      <c r="C27" s="26"/>
      <c r="D27" s="21" t="e">
        <f ca="1">+D18-D20+D24</f>
        <v>#NAME?</v>
      </c>
      <c r="E27" s="13"/>
      <c r="F27" s="22" t="e">
        <f ca="1">IF(D$12=0,0,D27/D$12)</f>
        <v>#NAME?</v>
      </c>
      <c r="G27" s="13"/>
      <c r="H27" s="21" t="e">
        <f ca="1">+H18-H20+H24</f>
        <v>#NAME?</v>
      </c>
      <c r="I27" s="13"/>
      <c r="J27" s="22" t="e">
        <f ca="1">IF(H$12=0,0,H27/H$12)</f>
        <v>#NAME?</v>
      </c>
      <c r="K27" s="16"/>
      <c r="L27" s="21" t="e">
        <f ca="1">+D27-H27</f>
        <v>#NAME?</v>
      </c>
      <c r="M27" s="16"/>
      <c r="N27" s="22" t="e">
        <f ca="1">IF(H27=0,0,L27/H27)</f>
        <v>#NAME?</v>
      </c>
      <c r="O27" s="25"/>
      <c r="P27" s="21" t="e">
        <f ca="1">+P18-P20+P24</f>
        <v>#NAME?</v>
      </c>
      <c r="Q27" s="13"/>
      <c r="R27" s="22" t="e">
        <f ca="1">IF(P$12=0,0,P27/P$12)</f>
        <v>#NAME?</v>
      </c>
      <c r="S27" s="13"/>
      <c r="T27" s="21" t="e">
        <f ca="1">+T18-T20+T24</f>
        <v>#NAME?</v>
      </c>
      <c r="U27" s="13"/>
      <c r="V27" s="22" t="e">
        <f ca="1">IF(T$12=0,0,T27/T$12)</f>
        <v>#NAME?</v>
      </c>
      <c r="W27" s="16"/>
      <c r="X27" s="21" t="e">
        <f ca="1">+P27-T27</f>
        <v>#NAME?</v>
      </c>
      <c r="Y27" s="16"/>
      <c r="Z27" s="22" t="e">
        <f ca="1">IF(T27=0,0,X27/T27)</f>
        <v>#NAME?</v>
      </c>
    </row>
    <row r="28" spans="1:26" x14ac:dyDescent="0.3">
      <c r="A28" s="9"/>
      <c r="B28" s="10"/>
      <c r="C28" s="9"/>
      <c r="D28" s="2"/>
      <c r="E28" s="2"/>
      <c r="F28" s="6"/>
      <c r="G28" s="2"/>
      <c r="H28" s="2"/>
      <c r="I28" s="2"/>
      <c r="J28" s="6"/>
      <c r="K28" s="2"/>
      <c r="L28" s="2"/>
      <c r="M28" s="2"/>
      <c r="N28" s="6"/>
      <c r="P28" s="2"/>
      <c r="Q28" s="2"/>
      <c r="R28" s="6"/>
      <c r="S28" s="2"/>
      <c r="T28" s="2"/>
      <c r="U28" s="2"/>
      <c r="V28" s="6"/>
      <c r="W28" s="2"/>
      <c r="X28" s="2"/>
      <c r="Y28" s="2"/>
      <c r="Z28" s="6"/>
    </row>
    <row r="29" spans="1:26" s="23" customFormat="1" x14ac:dyDescent="0.3">
      <c r="A29" s="52"/>
      <c r="B29" s="10" t="s">
        <v>128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3">
      <c r="A30" s="9"/>
      <c r="B30" s="10"/>
      <c r="C30" s="10"/>
      <c r="D30" s="2"/>
      <c r="E30" s="2"/>
      <c r="F30" s="6"/>
      <c r="G30" s="2"/>
      <c r="H30" s="2"/>
      <c r="I30" s="2"/>
      <c r="J30" s="6"/>
      <c r="K30" s="2"/>
      <c r="L30" s="2"/>
      <c r="M30" s="2"/>
      <c r="N30" s="6"/>
      <c r="O30" s="10"/>
      <c r="P30" s="2"/>
      <c r="Q30" s="2"/>
      <c r="R30" s="6"/>
      <c r="S30" s="2"/>
      <c r="T30" s="2"/>
      <c r="U30" s="2"/>
      <c r="V30" s="6"/>
      <c r="W30" s="2"/>
      <c r="X30" s="2"/>
      <c r="Y30" s="2"/>
      <c r="Z30" s="6"/>
    </row>
    <row r="31" spans="1:26" s="23" customFormat="1" ht="15" thickBot="1" x14ac:dyDescent="0.35">
      <c r="A31" s="10"/>
      <c r="B31" s="26" t="s">
        <v>126</v>
      </c>
      <c r="C31" s="26"/>
      <c r="D31" s="35" t="e">
        <f ca="1">+D27-D29</f>
        <v>#NAME?</v>
      </c>
      <c r="E31" s="13"/>
      <c r="F31" s="30" t="e">
        <f ca="1">IF(D$12=0,0,D31/D$12)</f>
        <v>#NAME?</v>
      </c>
      <c r="G31" s="13"/>
      <c r="H31" s="35" t="e">
        <f ca="1">+H27-H29</f>
        <v>#NAME?</v>
      </c>
      <c r="I31" s="13"/>
      <c r="J31" s="30" t="e">
        <f ca="1">IF(H$12=0,0,H31/H$12)</f>
        <v>#NAME?</v>
      </c>
      <c r="K31" s="16"/>
      <c r="L31" s="35" t="e">
        <f ca="1">D31-H31</f>
        <v>#NAME?</v>
      </c>
      <c r="M31" s="16"/>
      <c r="N31" s="30" t="e">
        <f ca="1">IF(H31=0,0,L31/H31)</f>
        <v>#NAME?</v>
      </c>
      <c r="O31" s="25"/>
      <c r="P31" s="35" t="e">
        <f ca="1">+P27-P29</f>
        <v>#NAME?</v>
      </c>
      <c r="Q31" s="13"/>
      <c r="R31" s="30" t="e">
        <f ca="1">IF(P$12=0,0,P31/P$12)</f>
        <v>#NAME?</v>
      </c>
      <c r="S31" s="13"/>
      <c r="T31" s="35" t="e">
        <f ca="1">+T27-T29</f>
        <v>#NAME?</v>
      </c>
      <c r="U31" s="13"/>
      <c r="V31" s="30" t="e">
        <f ca="1">IF(T$12=0,0,T31/T$12)</f>
        <v>#NAME?</v>
      </c>
      <c r="W31" s="16"/>
      <c r="X31" s="35" t="e">
        <f ca="1">P31-T31</f>
        <v>#NAME?</v>
      </c>
      <c r="Y31" s="16"/>
      <c r="Z31" s="30" t="e">
        <f ca="1">IF(T31=0,0,X31/T31)</f>
        <v>#NAME?</v>
      </c>
    </row>
    <row r="32" spans="1:26" ht="15" thickTop="1" x14ac:dyDescent="0.3">
      <c r="A32" s="9"/>
      <c r="B32" s="9"/>
      <c r="C32" s="9"/>
      <c r="D32" s="2"/>
      <c r="E32" s="2"/>
      <c r="F32" s="6"/>
      <c r="G32" s="2"/>
      <c r="H32" s="2"/>
      <c r="I32" s="2"/>
      <c r="J32" s="6"/>
      <c r="K32" s="2"/>
      <c r="L32" s="2"/>
      <c r="M32" s="2"/>
      <c r="N32" s="6"/>
      <c r="P32" s="2"/>
      <c r="Q32" s="2"/>
      <c r="R32" s="6"/>
      <c r="S32" s="2"/>
      <c r="T32" s="2"/>
      <c r="U32" s="2"/>
      <c r="V32" s="6"/>
      <c r="W32" s="2"/>
      <c r="X32" s="2"/>
      <c r="Y32" s="2"/>
      <c r="Z32" s="6"/>
    </row>
    <row r="33" spans="1:26" s="23" customFormat="1" x14ac:dyDescent="0.3">
      <c r="A33" s="52"/>
      <c r="B33" s="10" t="s">
        <v>184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3">
      <c r="A34" s="52"/>
      <c r="B34" s="10" t="s">
        <v>82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3">
      <c r="A35" s="9"/>
      <c r="B35" s="9"/>
      <c r="C35" s="9"/>
      <c r="D35" s="2"/>
      <c r="E35" s="2"/>
      <c r="F35" s="6"/>
      <c r="G35" s="2"/>
      <c r="H35" s="2"/>
      <c r="I35" s="2"/>
      <c r="J35" s="6"/>
      <c r="K35" s="2"/>
      <c r="L35" s="2"/>
      <c r="M35" s="2"/>
      <c r="N35" s="6"/>
      <c r="P35" s="2"/>
      <c r="Q35" s="2"/>
      <c r="R35" s="6"/>
      <c r="S35" s="2"/>
      <c r="T35" s="2"/>
      <c r="U35" s="2"/>
      <c r="V35" s="6"/>
      <c r="W35" s="2"/>
      <c r="X35" s="2"/>
      <c r="Y35" s="2"/>
      <c r="Z35" s="6"/>
    </row>
    <row r="36" spans="1:26" s="23" customFormat="1" ht="15" thickBot="1" x14ac:dyDescent="0.35">
      <c r="A36" s="10"/>
      <c r="B36" s="26" t="s">
        <v>294</v>
      </c>
      <c r="C36" s="26"/>
      <c r="D36" s="33" t="e">
        <f ca="1">SUM(D31:D35)</f>
        <v>#NAME?</v>
      </c>
      <c r="E36" s="13"/>
      <c r="F36" s="31" t="e">
        <f ca="1">IF(D$12=0,0,D36/D$12)</f>
        <v>#NAME?</v>
      </c>
      <c r="G36" s="13"/>
      <c r="H36" s="33" t="e">
        <f ca="1">SUM(H31:H35)</f>
        <v>#NAME?</v>
      </c>
      <c r="I36" s="13"/>
      <c r="J36" s="31" t="e">
        <f ca="1">IF(H$12=0,0,H36/H$12)</f>
        <v>#NAME?</v>
      </c>
      <c r="K36" s="16"/>
      <c r="L36" s="33" t="e">
        <f ca="1">+D36-H36</f>
        <v>#NAME?</v>
      </c>
      <c r="M36" s="16"/>
      <c r="N36" s="31" t="e">
        <f ca="1">IF(H36=0,0,L36/H36)</f>
        <v>#NAME?</v>
      </c>
      <c r="O36" s="25"/>
      <c r="P36" s="33" t="e">
        <f ca="1">SUM(P31:P35)</f>
        <v>#NAME?</v>
      </c>
      <c r="Q36" s="13"/>
      <c r="R36" s="31" t="e">
        <f ca="1">IF(P$12=0,0,P36/P$12)</f>
        <v>#NAME?</v>
      </c>
      <c r="S36" s="13"/>
      <c r="T36" s="33" t="e">
        <f ca="1">SUM(T31:T35)</f>
        <v>#NAME?</v>
      </c>
      <c r="U36" s="13"/>
      <c r="V36" s="31" t="e">
        <f ca="1">IF(T$12=0,0,T36/T$12)</f>
        <v>#NAME?</v>
      </c>
      <c r="W36" s="16"/>
      <c r="X36" s="33" t="e">
        <f ca="1">+P36-T36</f>
        <v>#NAME?</v>
      </c>
      <c r="Y36" s="16"/>
      <c r="Z36" s="31" t="e">
        <f ca="1">IF(T36=0,0,X36/T36)</f>
        <v>#NAME?</v>
      </c>
    </row>
    <row r="37" spans="1:26" ht="15" thickTop="1" x14ac:dyDescent="0.3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3">
      <c r="A38" s="9"/>
      <c r="B38" s="54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3">
      <c r="A39" s="9"/>
      <c r="B39" s="59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3">
      <c r="A40" s="9"/>
      <c r="B40" s="55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3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>
    <tabColor rgb="FF92D05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50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7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50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7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7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7" customWidth="1" outlineLevel="1"/>
  </cols>
  <sheetData>
    <row r="2" spans="1:26" x14ac:dyDescent="0.3">
      <c r="D2" s="57" t="s">
        <v>23</v>
      </c>
    </row>
    <row r="3" spans="1:26" x14ac:dyDescent="0.3">
      <c r="D3" s="57" t="s">
        <v>237</v>
      </c>
      <c r="E3" s="17"/>
      <c r="F3" s="51"/>
      <c r="G3" s="17"/>
      <c r="H3" s="17"/>
      <c r="I3" s="17"/>
      <c r="J3" s="39"/>
      <c r="K3" s="17"/>
      <c r="L3" s="17"/>
      <c r="M3" s="17"/>
      <c r="N3" s="51"/>
      <c r="O3" s="61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3">
      <c r="D4" s="57" t="e">
        <f ca="1">CONCATENATE("Period ",RIGHT(_xll.OneStop.ReportPlayer.OSRFunctions.OSRGet("Period","PeriodId"),2),", ",_xll.OneStop.ReportPlayer.OSRFunctions.OSRGet("Period","Year"))</f>
        <v>#NAME?</v>
      </c>
      <c r="E4" s="17"/>
      <c r="F4" s="51"/>
      <c r="G4" s="17"/>
      <c r="H4" s="17"/>
      <c r="I4" s="17"/>
      <c r="J4" s="39"/>
      <c r="K4" s="17"/>
      <c r="L4" s="17"/>
      <c r="M4" s="17"/>
      <c r="N4" s="51"/>
      <c r="O4" s="61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3">
      <c r="A5" s="23"/>
      <c r="D5" s="65" t="e">
        <f ca="1">_xll.OneStop.ReportPlayer.OSRFunctions.OSRGet("Period","PeriodEnd")</f>
        <v>#NAME?</v>
      </c>
      <c r="E5" s="17"/>
      <c r="F5" s="51"/>
      <c r="G5" s="17"/>
      <c r="H5" s="17"/>
      <c r="I5" s="17"/>
      <c r="J5" s="39"/>
      <c r="K5" s="17"/>
      <c r="L5" s="17"/>
      <c r="M5" s="17"/>
      <c r="N5" s="51"/>
      <c r="O5" s="61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3">
      <c r="A6" s="23"/>
      <c r="B6" s="47"/>
      <c r="C6" s="47"/>
      <c r="D6" s="23" t="e">
        <f ca="1">CONCATENATE("Department ",_xll.OneStop.ReportPlayer.OSRFunctions.OSRGet("d_dim0","Code"), " - ", _xll.OneStop.ReportPlayer.OSRFunctions.OSRGet("d_dim0","Description"))</f>
        <v>#NAME?</v>
      </c>
      <c r="E6" s="17"/>
      <c r="F6" s="51"/>
      <c r="G6" s="17"/>
      <c r="H6" s="17"/>
      <c r="I6" s="17"/>
      <c r="J6" s="39"/>
      <c r="K6" s="17"/>
      <c r="L6" s="17"/>
      <c r="M6" s="17"/>
      <c r="N6" s="51"/>
      <c r="O6" s="60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3">
      <c r="B7" s="63"/>
    </row>
    <row r="8" spans="1:26" x14ac:dyDescent="0.3">
      <c r="B8" s="63"/>
    </row>
    <row r="9" spans="1:26" x14ac:dyDescent="0.3">
      <c r="B9" s="9"/>
      <c r="C9" s="9"/>
      <c r="D9" s="15" t="s">
        <v>292</v>
      </c>
      <c r="E9" s="15"/>
      <c r="F9" s="38"/>
      <c r="G9" s="15"/>
      <c r="H9" s="15"/>
      <c r="I9" s="15"/>
      <c r="J9" s="49"/>
      <c r="K9" s="15"/>
      <c r="L9" s="15"/>
      <c r="M9" s="15"/>
      <c r="N9" s="38"/>
      <c r="P9" s="15" t="s">
        <v>39</v>
      </c>
      <c r="Q9" s="15"/>
      <c r="R9" s="38"/>
      <c r="S9" s="15"/>
      <c r="T9" s="15"/>
      <c r="U9" s="15"/>
      <c r="V9" s="49"/>
      <c r="W9" s="15"/>
      <c r="X9" s="15"/>
      <c r="Y9" s="15"/>
      <c r="Z9" s="38"/>
    </row>
    <row r="10" spans="1:26" x14ac:dyDescent="0.3">
      <c r="A10" s="10"/>
      <c r="B10" s="53"/>
      <c r="C10" s="10"/>
      <c r="D10" s="42" t="s">
        <v>57</v>
      </c>
      <c r="E10" s="34"/>
      <c r="F10" s="40" t="s">
        <v>40</v>
      </c>
      <c r="G10" s="34"/>
      <c r="H10" s="45" t="s">
        <v>238</v>
      </c>
      <c r="I10" s="34"/>
      <c r="J10" s="48" t="s">
        <v>58</v>
      </c>
      <c r="K10" s="10"/>
      <c r="L10" s="42" t="s">
        <v>127</v>
      </c>
      <c r="M10" s="10"/>
      <c r="N10" s="40" t="s">
        <v>258</v>
      </c>
      <c r="O10" s="10"/>
      <c r="P10" s="56" t="s">
        <v>57</v>
      </c>
      <c r="Q10" s="34"/>
      <c r="R10" s="40" t="s">
        <v>40</v>
      </c>
      <c r="S10" s="34"/>
      <c r="T10" s="45" t="s">
        <v>238</v>
      </c>
      <c r="U10" s="34"/>
      <c r="V10" s="48" t="s">
        <v>58</v>
      </c>
      <c r="W10" s="10"/>
      <c r="X10" s="42" t="s">
        <v>127</v>
      </c>
      <c r="Y10" s="10"/>
      <c r="Z10" s="40" t="s">
        <v>258</v>
      </c>
    </row>
    <row r="11" spans="1:26" ht="15.6" x14ac:dyDescent="0.3">
      <c r="A11" s="9"/>
      <c r="B11" s="58"/>
      <c r="C11" s="9"/>
      <c r="D11" s="9"/>
      <c r="E11" s="9"/>
      <c r="F11" s="6"/>
      <c r="G11" s="9"/>
      <c r="H11" s="9"/>
      <c r="I11" s="9"/>
      <c r="J11" s="46"/>
      <c r="K11" s="9"/>
      <c r="L11" s="9"/>
      <c r="M11" s="9"/>
      <c r="N11" s="6"/>
      <c r="P11" s="9"/>
      <c r="Q11" s="9"/>
      <c r="R11" s="6"/>
      <c r="S11" s="9"/>
      <c r="T11" s="9"/>
      <c r="U11" s="9"/>
      <c r="V11" s="46"/>
      <c r="W11" s="9"/>
      <c r="X11" s="9"/>
      <c r="Y11" s="9"/>
      <c r="Z11" s="6"/>
    </row>
    <row r="12" spans="1:26" s="23" customFormat="1" collapsed="1" x14ac:dyDescent="0.3">
      <c r="A12" s="10"/>
      <c r="B12" s="25" t="s">
        <v>140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3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3" t="e">
        <f ca="1">-_xll.OneStop.ReportPlayer.OSRFunctions.OSRGet("GL_F_Trans","Value1")</f>
        <v>#NAME?</v>
      </c>
      <c r="E13" s="3"/>
      <c r="F13" s="19"/>
      <c r="G13" s="3"/>
      <c r="H13" s="3" t="e">
        <f ca="1">_xll.OneStop.ReportPlayer.OSRFunctions.OSRGet("GL_F_Trans","Value1")</f>
        <v>#NAME?</v>
      </c>
      <c r="I13" s="3"/>
      <c r="J13" s="19"/>
      <c r="K13" s="3"/>
      <c r="L13" s="3" t="e">
        <f t="shared" ca="1" si="0"/>
        <v>#NAME?</v>
      </c>
      <c r="M13" s="3"/>
      <c r="N13" s="19" t="e">
        <f t="shared" ca="1" si="1"/>
        <v>#NAME?</v>
      </c>
      <c r="O13" s="11"/>
      <c r="P13" s="3" t="e">
        <f ca="1">-_xll.OneStop.ReportPlayer.OSRFunctions.OSRGet("GL_F_Trans","Value1")</f>
        <v>#NAME?</v>
      </c>
      <c r="Q13" s="3"/>
      <c r="R13" s="19"/>
      <c r="S13" s="3"/>
      <c r="T13" s="3" t="e">
        <f ca="1">_xll.OneStop.ReportPlayer.OSRFunctions.OSRGet("GL_F_Trans","Value1")</f>
        <v>#NAME?</v>
      </c>
      <c r="U13" s="3"/>
      <c r="V13" s="19"/>
      <c r="W13" s="3"/>
      <c r="X13" s="3" t="e">
        <f t="shared" ca="1" si="2"/>
        <v>#NAME?</v>
      </c>
      <c r="Y13" s="3"/>
      <c r="Z13" s="19" t="e">
        <f t="shared" ca="1" si="3"/>
        <v>#NAME?</v>
      </c>
    </row>
    <row r="14" spans="1:26" x14ac:dyDescent="0.3">
      <c r="A14" s="9"/>
      <c r="B14" s="10"/>
      <c r="C14" s="9"/>
      <c r="D14" s="2"/>
      <c r="E14" s="2"/>
      <c r="F14" s="6"/>
      <c r="G14" s="2"/>
      <c r="H14" s="2"/>
      <c r="I14" s="2"/>
      <c r="J14" s="6"/>
      <c r="K14" s="2"/>
      <c r="L14" s="2"/>
      <c r="M14" s="2"/>
      <c r="N14" s="6"/>
      <c r="P14" s="2"/>
      <c r="Q14" s="2"/>
      <c r="R14" s="6"/>
      <c r="S14" s="2"/>
      <c r="T14" s="2"/>
      <c r="U14" s="2"/>
      <c r="V14" s="6"/>
      <c r="W14" s="2"/>
      <c r="X14" s="2"/>
      <c r="Y14" s="2"/>
      <c r="Z14" s="6"/>
    </row>
    <row r="15" spans="1:26" s="23" customFormat="1" collapsed="1" x14ac:dyDescent="0.3">
      <c r="A15" s="10"/>
      <c r="B15" s="25" t="s">
        <v>257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3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3" t="e">
        <f ca="1">_xll.OneStop.ReportPlayer.OSRFunctions.OSRGet("GL_F_Trans","Value1")</f>
        <v>#NAME?</v>
      </c>
      <c r="E16" s="3"/>
      <c r="F16" s="19" t="e">
        <f t="shared" ca="1" si="4"/>
        <v>#NAME?</v>
      </c>
      <c r="G16" s="3"/>
      <c r="H16" s="3" t="e">
        <f ca="1">_xll.OneStop.ReportPlayer.OSRFunctions.OSRGet("GL_F_Trans","Value1")</f>
        <v>#NAME?</v>
      </c>
      <c r="I16" s="3"/>
      <c r="J16" s="19" t="e">
        <f t="shared" ca="1" si="5"/>
        <v>#NAME?</v>
      </c>
      <c r="K16" s="3"/>
      <c r="L16" s="3" t="e">
        <f t="shared" ca="1" si="6"/>
        <v>#NAME?</v>
      </c>
      <c r="M16" s="3"/>
      <c r="N16" s="19" t="e">
        <f t="shared" ca="1" si="7"/>
        <v>#NAME?</v>
      </c>
      <c r="O16" s="11"/>
      <c r="P16" s="3" t="e">
        <f ca="1">_xll.OneStop.ReportPlayer.OSRFunctions.OSRGet("GL_F_Trans","Value1")</f>
        <v>#NAME?</v>
      </c>
      <c r="Q16" s="3"/>
      <c r="R16" s="19" t="e">
        <f t="shared" ca="1" si="8"/>
        <v>#NAME?</v>
      </c>
      <c r="S16" s="3"/>
      <c r="T16" s="3" t="e">
        <f ca="1">_xll.OneStop.ReportPlayer.OSRFunctions.OSRGet("GL_F_Trans","Value1")</f>
        <v>#NAME?</v>
      </c>
      <c r="U16" s="3"/>
      <c r="V16" s="19" t="e">
        <f t="shared" ca="1" si="9"/>
        <v>#NAME?</v>
      </c>
      <c r="W16" s="3"/>
      <c r="X16" s="3" t="e">
        <f t="shared" ca="1" si="10"/>
        <v>#NAME?</v>
      </c>
      <c r="Y16" s="3"/>
      <c r="Z16" s="19" t="e">
        <f t="shared" ca="1" si="11"/>
        <v>#NAME?</v>
      </c>
    </row>
    <row r="17" spans="1:26" x14ac:dyDescent="0.3">
      <c r="A17" s="9"/>
      <c r="B17" s="10"/>
      <c r="C17" s="10"/>
      <c r="D17" s="2"/>
      <c r="E17" s="2"/>
      <c r="F17" s="6"/>
      <c r="G17" s="2"/>
      <c r="H17" s="2"/>
      <c r="I17" s="2"/>
      <c r="J17" s="6"/>
      <c r="K17" s="2"/>
      <c r="L17" s="2"/>
      <c r="M17" s="2"/>
      <c r="N17" s="6"/>
      <c r="O17" s="10"/>
      <c r="P17" s="2"/>
      <c r="Q17" s="2"/>
      <c r="R17" s="6"/>
      <c r="S17" s="2"/>
      <c r="T17" s="2"/>
      <c r="U17" s="2"/>
      <c r="V17" s="6"/>
      <c r="W17" s="2"/>
      <c r="X17" s="2"/>
      <c r="Y17" s="2"/>
      <c r="Z17" s="6"/>
    </row>
    <row r="18" spans="1:26" s="23" customFormat="1" x14ac:dyDescent="0.3">
      <c r="A18" s="10"/>
      <c r="B18" s="26" t="s">
        <v>108</v>
      </c>
      <c r="C18" s="26"/>
      <c r="D18" s="21" t="e">
        <f ca="1">D12-D15</f>
        <v>#NAME?</v>
      </c>
      <c r="E18" s="13"/>
      <c r="F18" s="22" t="e">
        <f ca="1">IF(D$12=0,0,D18/D$12)</f>
        <v>#NAME?</v>
      </c>
      <c r="G18" s="13"/>
      <c r="H18" s="21" t="e">
        <f ca="1">H12-H15</f>
        <v>#NAME?</v>
      </c>
      <c r="I18" s="13"/>
      <c r="J18" s="22" t="e">
        <f ca="1">IF(H$12=0,0,H18/H$12)</f>
        <v>#NAME?</v>
      </c>
      <c r="K18" s="16"/>
      <c r="L18" s="21" t="e">
        <f ca="1">+D18-H18</f>
        <v>#NAME?</v>
      </c>
      <c r="M18" s="16"/>
      <c r="N18" s="22" t="e">
        <f ca="1">IF(H18=0,0,L18/H18)</f>
        <v>#NAME?</v>
      </c>
      <c r="O18" s="25"/>
      <c r="P18" s="21" t="e">
        <f ca="1">P12-P15</f>
        <v>#NAME?</v>
      </c>
      <c r="Q18" s="13"/>
      <c r="R18" s="22" t="e">
        <f ca="1">IF(P$12=0,0,P18/P$12)</f>
        <v>#NAME?</v>
      </c>
      <c r="S18" s="13"/>
      <c r="T18" s="21" t="e">
        <f ca="1">T12-T15</f>
        <v>#NAME?</v>
      </c>
      <c r="U18" s="13"/>
      <c r="V18" s="22" t="e">
        <f ca="1">IF(T$12=0,0,T18/T$12)</f>
        <v>#NAME?</v>
      </c>
      <c r="W18" s="16"/>
      <c r="X18" s="21" t="e">
        <f ca="1">+P18-T18</f>
        <v>#NAME?</v>
      </c>
      <c r="Y18" s="16"/>
      <c r="Z18" s="22" t="e">
        <f ca="1">IF(T18=0,0,X18/T18)</f>
        <v>#NAME?</v>
      </c>
    </row>
    <row r="19" spans="1:26" x14ac:dyDescent="0.3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">
      <c r="A20" s="10"/>
      <c r="B20" s="25" t="s">
        <v>295</v>
      </c>
      <c r="C20" s="10"/>
      <c r="D20" s="20" t="e">
        <f ca="1">SUM(_xll.OneStop.ReportPlayer.OSRFunctions.OSRRef(D22))</f>
        <v>#NAME?</v>
      </c>
      <c r="E20" s="20"/>
      <c r="F20" s="32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2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2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2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2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2" t="e">
        <f t="shared" ref="Z20:Z22" ca="1" si="19">IF(T20=0,0,X20/T20)</f>
        <v>#NAME?</v>
      </c>
    </row>
    <row r="21" spans="1:26" s="27" customFormat="1" outlineLevel="1" collapsed="1" x14ac:dyDescent="0.3">
      <c r="A21" s="28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3">
      <c r="A22" s="29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8" t="e">
        <f ca="1">_xll.OneStop.ReportPlayer.OSRFunctions.OSRGet("GL_F_Trans","Value1")</f>
        <v>#NAME?</v>
      </c>
      <c r="E22" s="3"/>
      <c r="F22" s="7" t="e">
        <f t="shared" ca="1" si="12"/>
        <v>#NAME?</v>
      </c>
      <c r="G22" s="3"/>
      <c r="H22" s="8" t="e">
        <f ca="1">_xll.OneStop.ReportPlayer.OSRFunctions.OSRGet("GL_F_Trans","Value1")</f>
        <v>#NAME?</v>
      </c>
      <c r="I22" s="3"/>
      <c r="J22" s="7" t="e">
        <f t="shared" ca="1" si="13"/>
        <v>#NAME?</v>
      </c>
      <c r="K22" s="3"/>
      <c r="L22" s="8" t="e">
        <f t="shared" ca="1" si="14"/>
        <v>#NAME?</v>
      </c>
      <c r="M22" s="3"/>
      <c r="N22" s="7" t="e">
        <f t="shared" ca="1" si="15"/>
        <v>#NAME?</v>
      </c>
      <c r="O22" s="11"/>
      <c r="P22" s="8" t="e">
        <f ca="1">_xll.OneStop.ReportPlayer.OSRFunctions.OSRGet("GL_F_Trans","Value1")</f>
        <v>#NAME?</v>
      </c>
      <c r="Q22" s="3"/>
      <c r="R22" s="7" t="e">
        <f t="shared" ca="1" si="16"/>
        <v>#NAME?</v>
      </c>
      <c r="S22" s="3"/>
      <c r="T22" s="8" t="e">
        <f ca="1">_xll.OneStop.ReportPlayer.OSRFunctions.OSRGet("GL_F_Trans","Value1")</f>
        <v>#NAME?</v>
      </c>
      <c r="U22" s="3"/>
      <c r="V22" s="7" t="e">
        <f t="shared" ca="1" si="17"/>
        <v>#NAME?</v>
      </c>
      <c r="W22" s="3"/>
      <c r="X22" s="8" t="e">
        <f t="shared" ca="1" si="18"/>
        <v>#NAME?</v>
      </c>
      <c r="Y22" s="3"/>
      <c r="Z22" s="7" t="e">
        <f t="shared" ca="1" si="19"/>
        <v>#NAME?</v>
      </c>
    </row>
    <row r="23" spans="1:26" s="62" customFormat="1" x14ac:dyDescent="0.3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3">
      <c r="A24" s="10"/>
      <c r="B24" s="25" t="s">
        <v>293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3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3" t="e">
        <f ca="1">-_xll.OneStop.ReportPlayer.OSRFunctions.OSRGet("GL_F_Trans","Value1")</f>
        <v>#NAME?</v>
      </c>
      <c r="E25" s="3"/>
      <c r="F25" s="19" t="e">
        <f t="shared" ca="1" si="20"/>
        <v>#NAME?</v>
      </c>
      <c r="G25" s="3"/>
      <c r="H25" s="3" t="e">
        <f ca="1">_xll.OneStop.ReportPlayer.OSRFunctions.OSRGet("GL_F_Trans","Value1")</f>
        <v>#NAME?</v>
      </c>
      <c r="I25" s="3"/>
      <c r="J25" s="19" t="e">
        <f t="shared" ca="1" si="21"/>
        <v>#NAME?</v>
      </c>
      <c r="K25" s="3"/>
      <c r="L25" s="3" t="e">
        <f t="shared" ca="1" si="22"/>
        <v>#NAME?</v>
      </c>
      <c r="M25" s="3"/>
      <c r="N25" s="19" t="e">
        <f t="shared" ca="1" si="23"/>
        <v>#NAME?</v>
      </c>
      <c r="O25" s="11"/>
      <c r="P25" s="3" t="e">
        <f ca="1">-_xll.OneStop.ReportPlayer.OSRFunctions.OSRGet("GL_F_Trans","Value1")</f>
        <v>#NAME?</v>
      </c>
      <c r="Q25" s="3"/>
      <c r="R25" s="19" t="e">
        <f t="shared" ca="1" si="24"/>
        <v>#NAME?</v>
      </c>
      <c r="S25" s="3"/>
      <c r="T25" s="3" t="e">
        <f ca="1">_xll.OneStop.ReportPlayer.OSRFunctions.OSRGet("GL_F_Trans","Value1")</f>
        <v>#NAME?</v>
      </c>
      <c r="U25" s="3"/>
      <c r="V25" s="19" t="e">
        <f t="shared" ca="1" si="25"/>
        <v>#NAME?</v>
      </c>
      <c r="W25" s="3"/>
      <c r="X25" s="3" t="e">
        <f t="shared" ca="1" si="26"/>
        <v>#NAME?</v>
      </c>
      <c r="Y25" s="3"/>
      <c r="Z25" s="19" t="e">
        <f t="shared" ca="1" si="27"/>
        <v>#NAME?</v>
      </c>
    </row>
    <row r="26" spans="1:26" x14ac:dyDescent="0.3">
      <c r="A26" s="9"/>
      <c r="B26" s="10"/>
      <c r="C26" s="10"/>
      <c r="D26" s="2"/>
      <c r="E26" s="2"/>
      <c r="F26" s="6"/>
      <c r="G26" s="2"/>
      <c r="H26" s="2"/>
      <c r="I26" s="2"/>
      <c r="J26" s="6"/>
      <c r="K26" s="2"/>
      <c r="L26" s="2"/>
      <c r="M26" s="2"/>
      <c r="N26" s="6"/>
      <c r="O26" s="10"/>
      <c r="P26" s="2"/>
      <c r="Q26" s="2"/>
      <c r="R26" s="6"/>
      <c r="S26" s="2"/>
      <c r="T26" s="2"/>
      <c r="U26" s="2"/>
      <c r="V26" s="6"/>
      <c r="W26" s="2"/>
      <c r="X26" s="2"/>
      <c r="Y26" s="2"/>
      <c r="Z26" s="6"/>
    </row>
    <row r="27" spans="1:26" s="23" customFormat="1" x14ac:dyDescent="0.3">
      <c r="A27" s="10"/>
      <c r="B27" s="26" t="s">
        <v>277</v>
      </c>
      <c r="C27" s="26"/>
      <c r="D27" s="21" t="e">
        <f ca="1">+D18-D20+D24</f>
        <v>#NAME?</v>
      </c>
      <c r="E27" s="13"/>
      <c r="F27" s="22" t="e">
        <f ca="1">IF(D$12=0,0,D27/D$12)</f>
        <v>#NAME?</v>
      </c>
      <c r="G27" s="13"/>
      <c r="H27" s="21" t="e">
        <f ca="1">+H18-H20+H24</f>
        <v>#NAME?</v>
      </c>
      <c r="I27" s="13"/>
      <c r="J27" s="22" t="e">
        <f ca="1">IF(H$12=0,0,H27/H$12)</f>
        <v>#NAME?</v>
      </c>
      <c r="K27" s="16"/>
      <c r="L27" s="21" t="e">
        <f ca="1">+D27-H27</f>
        <v>#NAME?</v>
      </c>
      <c r="M27" s="16"/>
      <c r="N27" s="22" t="e">
        <f ca="1">IF(H27=0,0,L27/H27)</f>
        <v>#NAME?</v>
      </c>
      <c r="O27" s="25"/>
      <c r="P27" s="21" t="e">
        <f ca="1">+P18-P20+P24</f>
        <v>#NAME?</v>
      </c>
      <c r="Q27" s="13"/>
      <c r="R27" s="22" t="e">
        <f ca="1">IF(P$12=0,0,P27/P$12)</f>
        <v>#NAME?</v>
      </c>
      <c r="S27" s="13"/>
      <c r="T27" s="21" t="e">
        <f ca="1">+T18-T20+T24</f>
        <v>#NAME?</v>
      </c>
      <c r="U27" s="13"/>
      <c r="V27" s="22" t="e">
        <f ca="1">IF(T$12=0,0,T27/T$12)</f>
        <v>#NAME?</v>
      </c>
      <c r="W27" s="16"/>
      <c r="X27" s="21" t="e">
        <f ca="1">+P27-T27</f>
        <v>#NAME?</v>
      </c>
      <c r="Y27" s="16"/>
      <c r="Z27" s="22" t="e">
        <f ca="1">IF(T27=0,0,X27/T27)</f>
        <v>#NAME?</v>
      </c>
    </row>
    <row r="28" spans="1:26" x14ac:dyDescent="0.3">
      <c r="A28" s="9"/>
      <c r="B28" s="10"/>
      <c r="C28" s="9"/>
      <c r="D28" s="2"/>
      <c r="E28" s="2"/>
      <c r="F28" s="6"/>
      <c r="G28" s="2"/>
      <c r="H28" s="2"/>
      <c r="I28" s="2"/>
      <c r="J28" s="6"/>
      <c r="K28" s="2"/>
      <c r="L28" s="2"/>
      <c r="M28" s="2"/>
      <c r="N28" s="6"/>
      <c r="P28" s="2"/>
      <c r="Q28" s="2"/>
      <c r="R28" s="6"/>
      <c r="S28" s="2"/>
      <c r="T28" s="2"/>
      <c r="U28" s="2"/>
      <c r="V28" s="6"/>
      <c r="W28" s="2"/>
      <c r="X28" s="2"/>
      <c r="Y28" s="2"/>
      <c r="Z28" s="6"/>
    </row>
    <row r="29" spans="1:26" s="23" customFormat="1" x14ac:dyDescent="0.3">
      <c r="A29" s="52"/>
      <c r="B29" s="10" t="s">
        <v>128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3">
      <c r="A30" s="9"/>
      <c r="B30" s="10"/>
      <c r="C30" s="10"/>
      <c r="D30" s="2"/>
      <c r="E30" s="2"/>
      <c r="F30" s="6"/>
      <c r="G30" s="2"/>
      <c r="H30" s="2"/>
      <c r="I30" s="2"/>
      <c r="J30" s="6"/>
      <c r="K30" s="2"/>
      <c r="L30" s="2"/>
      <c r="M30" s="2"/>
      <c r="N30" s="6"/>
      <c r="O30" s="10"/>
      <c r="P30" s="2"/>
      <c r="Q30" s="2"/>
      <c r="R30" s="6"/>
      <c r="S30" s="2"/>
      <c r="T30" s="2"/>
      <c r="U30" s="2"/>
      <c r="V30" s="6"/>
      <c r="W30" s="2"/>
      <c r="X30" s="2"/>
      <c r="Y30" s="2"/>
      <c r="Z30" s="6"/>
    </row>
    <row r="31" spans="1:26" s="23" customFormat="1" ht="15" thickBot="1" x14ac:dyDescent="0.35">
      <c r="A31" s="10"/>
      <c r="B31" s="26" t="s">
        <v>126</v>
      </c>
      <c r="C31" s="26"/>
      <c r="D31" s="35" t="e">
        <f ca="1">+D27-D29</f>
        <v>#NAME?</v>
      </c>
      <c r="E31" s="13"/>
      <c r="F31" s="30" t="e">
        <f ca="1">IF(D$12=0,0,D31/D$12)</f>
        <v>#NAME?</v>
      </c>
      <c r="G31" s="13"/>
      <c r="H31" s="35" t="e">
        <f ca="1">+H27-H29</f>
        <v>#NAME?</v>
      </c>
      <c r="I31" s="13"/>
      <c r="J31" s="30" t="e">
        <f ca="1">IF(H$12=0,0,H31/H$12)</f>
        <v>#NAME?</v>
      </c>
      <c r="K31" s="16"/>
      <c r="L31" s="35" t="e">
        <f ca="1">D31-H31</f>
        <v>#NAME?</v>
      </c>
      <c r="M31" s="16"/>
      <c r="N31" s="30" t="e">
        <f ca="1">IF(H31=0,0,L31/H31)</f>
        <v>#NAME?</v>
      </c>
      <c r="O31" s="25"/>
      <c r="P31" s="35" t="e">
        <f ca="1">+P27-P29</f>
        <v>#NAME?</v>
      </c>
      <c r="Q31" s="13"/>
      <c r="R31" s="30" t="e">
        <f ca="1">IF(P$12=0,0,P31/P$12)</f>
        <v>#NAME?</v>
      </c>
      <c r="S31" s="13"/>
      <c r="T31" s="35" t="e">
        <f ca="1">+T27-T29</f>
        <v>#NAME?</v>
      </c>
      <c r="U31" s="13"/>
      <c r="V31" s="30" t="e">
        <f ca="1">IF(T$12=0,0,T31/T$12)</f>
        <v>#NAME?</v>
      </c>
      <c r="W31" s="16"/>
      <c r="X31" s="35" t="e">
        <f ca="1">P31-T31</f>
        <v>#NAME?</v>
      </c>
      <c r="Y31" s="16"/>
      <c r="Z31" s="30" t="e">
        <f ca="1">IF(T31=0,0,X31/T31)</f>
        <v>#NAME?</v>
      </c>
    </row>
    <row r="32" spans="1:26" ht="15" thickTop="1" x14ac:dyDescent="0.3">
      <c r="A32" s="9"/>
      <c r="B32" s="9"/>
      <c r="C32" s="9"/>
      <c r="D32" s="2"/>
      <c r="E32" s="2"/>
      <c r="F32" s="6"/>
      <c r="G32" s="2"/>
      <c r="H32" s="2"/>
      <c r="I32" s="2"/>
      <c r="J32" s="6"/>
      <c r="K32" s="2"/>
      <c r="L32" s="2"/>
      <c r="M32" s="2"/>
      <c r="N32" s="6"/>
      <c r="P32" s="2"/>
      <c r="Q32" s="2"/>
      <c r="R32" s="6"/>
      <c r="S32" s="2"/>
      <c r="T32" s="2"/>
      <c r="U32" s="2"/>
      <c r="V32" s="6"/>
      <c r="W32" s="2"/>
      <c r="X32" s="2"/>
      <c r="Y32" s="2"/>
      <c r="Z32" s="6"/>
    </row>
    <row r="33" spans="1:26" s="23" customFormat="1" x14ac:dyDescent="0.3">
      <c r="A33" s="52"/>
      <c r="B33" s="10" t="s">
        <v>184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3">
      <c r="A34" s="52"/>
      <c r="B34" s="10" t="s">
        <v>82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3">
      <c r="A35" s="9"/>
      <c r="B35" s="9"/>
      <c r="C35" s="9"/>
      <c r="D35" s="2"/>
      <c r="E35" s="2"/>
      <c r="F35" s="6"/>
      <c r="G35" s="2"/>
      <c r="H35" s="2"/>
      <c r="I35" s="2"/>
      <c r="J35" s="6"/>
      <c r="K35" s="2"/>
      <c r="L35" s="2"/>
      <c r="M35" s="2"/>
      <c r="N35" s="6"/>
      <c r="P35" s="2"/>
      <c r="Q35" s="2"/>
      <c r="R35" s="6"/>
      <c r="S35" s="2"/>
      <c r="T35" s="2"/>
      <c r="U35" s="2"/>
      <c r="V35" s="6"/>
      <c r="W35" s="2"/>
      <c r="X35" s="2"/>
      <c r="Y35" s="2"/>
      <c r="Z35" s="6"/>
    </row>
    <row r="36" spans="1:26" s="23" customFormat="1" ht="15" thickBot="1" x14ac:dyDescent="0.35">
      <c r="A36" s="10"/>
      <c r="B36" s="26" t="s">
        <v>294</v>
      </c>
      <c r="C36" s="26"/>
      <c r="D36" s="33" t="e">
        <f ca="1">SUM(D31:D35)</f>
        <v>#NAME?</v>
      </c>
      <c r="E36" s="13"/>
      <c r="F36" s="31" t="e">
        <f ca="1">IF(D$12=0,0,D36/D$12)</f>
        <v>#NAME?</v>
      </c>
      <c r="G36" s="13"/>
      <c r="H36" s="33" t="e">
        <f ca="1">SUM(H31:H35)</f>
        <v>#NAME?</v>
      </c>
      <c r="I36" s="13"/>
      <c r="J36" s="31" t="e">
        <f ca="1">IF(H$12=0,0,H36/H$12)</f>
        <v>#NAME?</v>
      </c>
      <c r="K36" s="16"/>
      <c r="L36" s="33" t="e">
        <f ca="1">+D36-H36</f>
        <v>#NAME?</v>
      </c>
      <c r="M36" s="16"/>
      <c r="N36" s="31" t="e">
        <f ca="1">IF(H36=0,0,L36/H36)</f>
        <v>#NAME?</v>
      </c>
      <c r="O36" s="25"/>
      <c r="P36" s="33" t="e">
        <f ca="1">SUM(P31:P35)</f>
        <v>#NAME?</v>
      </c>
      <c r="Q36" s="13"/>
      <c r="R36" s="31" t="e">
        <f ca="1">IF(P$12=0,0,P36/P$12)</f>
        <v>#NAME?</v>
      </c>
      <c r="S36" s="13"/>
      <c r="T36" s="33" t="e">
        <f ca="1">SUM(T31:T35)</f>
        <v>#NAME?</v>
      </c>
      <c r="U36" s="13"/>
      <c r="V36" s="31" t="e">
        <f ca="1">IF(T$12=0,0,T36/T$12)</f>
        <v>#NAME?</v>
      </c>
      <c r="W36" s="16"/>
      <c r="X36" s="33" t="e">
        <f ca="1">+P36-T36</f>
        <v>#NAME?</v>
      </c>
      <c r="Y36" s="16"/>
      <c r="Z36" s="31" t="e">
        <f ca="1">IF(T36=0,0,X36/T36)</f>
        <v>#NAME?</v>
      </c>
    </row>
    <row r="37" spans="1:26" ht="15" thickTop="1" x14ac:dyDescent="0.3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3">
      <c r="A38" s="9"/>
      <c r="B38" s="54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3">
      <c r="A39" s="9"/>
      <c r="B39" s="59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3">
      <c r="A40" s="9"/>
      <c r="B40" s="55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3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91</vt:i4>
      </vt:variant>
      <vt:variant>
        <vt:lpstr>Named Ranges</vt:lpstr>
      </vt:variant>
      <vt:variant>
        <vt:i4>3042</vt:i4>
      </vt:variant>
    </vt:vector>
  </HeadingPairs>
  <TitlesOfParts>
    <vt:vector size="3133" baseType="lpstr">
      <vt:lpstr>Interface</vt:lpstr>
      <vt:lpstr>DataSetting</vt:lpstr>
      <vt:lpstr>Summary</vt:lpstr>
      <vt:lpstr>OSR_Summary_18VAVWG</vt:lpstr>
      <vt:lpstr>OSR_Current ...69b7dd8c_1IEQKFK</vt:lpstr>
      <vt:lpstr>OSR_Div 1_7H47HR</vt:lpstr>
      <vt:lpstr>OSR_Div 3 (2)...4cb81c06_PBSMLS</vt:lpstr>
      <vt:lpstr>OSR_Div 2_1PQ800A</vt:lpstr>
      <vt:lpstr>OSR_Div 1 (2)...789fe994_2NV3KA</vt:lpstr>
      <vt:lpstr>OSR_Div 3_18723PH</vt:lpstr>
      <vt:lpstr>OSR_300 (2)_7...54cb56fc_UFX0O2</vt:lpstr>
      <vt:lpstr>OSR_300_IYZXI6</vt:lpstr>
      <vt:lpstr>OSR_310 (2)_5...3d931dee_QNK8R2</vt:lpstr>
      <vt:lpstr>OSR_300 &amp; 317_1C00ID4</vt:lpstr>
      <vt:lpstr>OSR_300 (2)_...6aa5a22d_14M6XO4</vt:lpstr>
      <vt:lpstr>OSR_310_1CMTOSB</vt:lpstr>
      <vt:lpstr>OSR_300 (2)_e...5d0da5bf_6BPGAO</vt:lpstr>
      <vt:lpstr>OSR_330_10VFP5Y</vt:lpstr>
      <vt:lpstr>OSR_310 (2)_...6e684f08_1FLCNJG</vt:lpstr>
      <vt:lpstr>OSR_308_UAWDAG</vt:lpstr>
      <vt:lpstr>OSR_330 (2)_...8a14c83e_1NSH7XI</vt:lpstr>
      <vt:lpstr>OSR_331_10VKQAJ</vt:lpstr>
      <vt:lpstr>OSR_308 (2)_...47685838_1YQW4QY</vt:lpstr>
      <vt:lpstr>OSR_332_6NDVBW</vt:lpstr>
      <vt:lpstr>OSR_331 (2)_...7280af70_1P5SPLT</vt:lpstr>
      <vt:lpstr>OSR_Div 4_1740TMT</vt:lpstr>
      <vt:lpstr>OSR_310 (2)_...8cac1423_1JTU33X</vt:lpstr>
      <vt:lpstr>OSR_310 &amp; 491_1NGRCS9</vt:lpstr>
      <vt:lpstr>OSR_491 (2)_...853a34aa_1UNC34K</vt:lpstr>
      <vt:lpstr>OSR_491_9Z9JH5</vt:lpstr>
      <vt:lpstr>OSR_Div 4 (2...2533da42_174R6QX</vt:lpstr>
      <vt:lpstr>OSR_492_943FP1</vt:lpstr>
      <vt:lpstr>OSR_Div 4 (2)...1a9a4454_CQFRNE</vt:lpstr>
      <vt:lpstr>OSR_Div 5_16NAZO2</vt:lpstr>
      <vt:lpstr>OSR_492 (2)_...cd97c6a6_13HYXEV</vt:lpstr>
      <vt:lpstr>OSR_Div 6_P37YY7</vt:lpstr>
      <vt:lpstr>OSR_Div 5 (2)...32d16c57_IVJ1QO</vt:lpstr>
      <vt:lpstr>Div 1</vt:lpstr>
      <vt:lpstr>100</vt:lpstr>
      <vt:lpstr>Div 2</vt:lpstr>
      <vt:lpstr>200</vt:lpstr>
      <vt:lpstr>201</vt:lpstr>
      <vt:lpstr>202</vt:lpstr>
      <vt:lpstr>203</vt:lpstr>
      <vt:lpstr>204</vt:lpstr>
      <vt:lpstr>205</vt:lpstr>
      <vt:lpstr>206</vt:lpstr>
      <vt:lpstr>Div 3</vt:lpstr>
      <vt:lpstr>300</vt:lpstr>
      <vt:lpstr>300 &amp; 317</vt:lpstr>
      <vt:lpstr>301</vt:lpstr>
      <vt:lpstr>330</vt:lpstr>
      <vt:lpstr>307</vt:lpstr>
      <vt:lpstr>308</vt:lpstr>
      <vt:lpstr>311</vt:lpstr>
      <vt:lpstr>324</vt:lpstr>
      <vt:lpstr>331</vt:lpstr>
      <vt:lpstr>315</vt:lpstr>
      <vt:lpstr>326</vt:lpstr>
      <vt:lpstr>332</vt:lpstr>
      <vt:lpstr>316</vt:lpstr>
      <vt:lpstr>Div 6</vt:lpstr>
      <vt:lpstr>317</vt:lpstr>
      <vt:lpstr>310</vt:lpstr>
      <vt:lpstr>309</vt:lpstr>
      <vt:lpstr>313</vt:lpstr>
      <vt:lpstr>321</vt:lpstr>
      <vt:lpstr>325</vt:lpstr>
      <vt:lpstr>Div 4</vt:lpstr>
      <vt:lpstr>310 &amp; 491</vt:lpstr>
      <vt:lpstr>491</vt:lpstr>
      <vt:lpstr>405</vt:lpstr>
      <vt:lpstr>411</vt:lpstr>
      <vt:lpstr>412</vt:lpstr>
      <vt:lpstr>413</vt:lpstr>
      <vt:lpstr>415</vt:lpstr>
      <vt:lpstr>418</vt:lpstr>
      <vt:lpstr>423</vt:lpstr>
      <vt:lpstr>424</vt:lpstr>
      <vt:lpstr>425</vt:lpstr>
      <vt:lpstr>455</vt:lpstr>
      <vt:lpstr>492</vt:lpstr>
      <vt:lpstr>430</vt:lpstr>
      <vt:lpstr>433</vt:lpstr>
      <vt:lpstr>444</vt:lpstr>
      <vt:lpstr>450</vt:lpstr>
      <vt:lpstr>Div 5</vt:lpstr>
      <vt:lpstr>501</vt:lpstr>
      <vt:lpstr>Dept</vt:lpstr>
      <vt:lpstr>OSR_Dept_Y0WUKY</vt:lpstr>
      <vt:lpstr>OSR_Summary (...56e5d78f_5JEYZH</vt:lpstr>
      <vt:lpstr>'300'!OSRRefD13x_0</vt:lpstr>
      <vt:lpstr>'300 &amp; 317'!OSRRefD13x_0</vt:lpstr>
      <vt:lpstr>'307'!OSRRefD13x_0</vt:lpstr>
      <vt:lpstr>'308'!OSRRefD13x_0</vt:lpstr>
      <vt:lpstr>'310'!OSRRefD13x_0</vt:lpstr>
      <vt:lpstr>'310 &amp; 491'!OSRRefD13x_0</vt:lpstr>
      <vt:lpstr>'311'!OSRRefD13x_0</vt:lpstr>
      <vt:lpstr>'315'!OSRRefD13x_0</vt:lpstr>
      <vt:lpstr>'316'!OSRRefD13x_0</vt:lpstr>
      <vt:lpstr>'317'!OSRRefD13x_0</vt:lpstr>
      <vt:lpstr>'321'!OSRRefD13x_0</vt:lpstr>
      <vt:lpstr>'324'!OSRRefD13x_0</vt:lpstr>
      <vt:lpstr>'325'!OSRRefD13x_0</vt:lpstr>
      <vt:lpstr>'326'!OSRRefD13x_0</vt:lpstr>
      <vt:lpstr>'330'!OSRRefD13x_0</vt:lpstr>
      <vt:lpstr>'331'!OSRRefD13x_0</vt:lpstr>
      <vt:lpstr>'332'!OSRRefD13x_0</vt:lpstr>
      <vt:lpstr>'415'!OSRRefD13x_0</vt:lpstr>
      <vt:lpstr>'418'!OSRRefD13x_0</vt:lpstr>
      <vt:lpstr>'444'!OSRRefD13x_0</vt:lpstr>
      <vt:lpstr>'491'!OSRRefD13x_0</vt:lpstr>
      <vt:lpstr>'492'!OSRRefD13x_0</vt:lpstr>
      <vt:lpstr>'501'!OSRRefD13x_0</vt:lpstr>
      <vt:lpstr>'Div 3'!OSRRefD13x_0</vt:lpstr>
      <vt:lpstr>'Div 4'!OSRRefD13x_0</vt:lpstr>
      <vt:lpstr>'Div 5'!OSRRefD13x_0</vt:lpstr>
      <vt:lpstr>'Div 6'!OSRRefD13x_0</vt:lpstr>
      <vt:lpstr>Summary!OSRRefD13x_0</vt:lpstr>
      <vt:lpstr>'300'!OSRRefD16x_0</vt:lpstr>
      <vt:lpstr>'300 &amp; 317'!OSRRefD16x_0</vt:lpstr>
      <vt:lpstr>'307'!OSRRefD16x_0</vt:lpstr>
      <vt:lpstr>'308'!OSRRefD16x_0</vt:lpstr>
      <vt:lpstr>'310'!OSRRefD16x_0</vt:lpstr>
      <vt:lpstr>'310 &amp; 491'!OSRRefD16x_0</vt:lpstr>
      <vt:lpstr>'311'!OSRRefD16x_0</vt:lpstr>
      <vt:lpstr>'315'!OSRRefD16x_0</vt:lpstr>
      <vt:lpstr>'316'!OSRRefD16x_0</vt:lpstr>
      <vt:lpstr>'317'!OSRRefD16x_0</vt:lpstr>
      <vt:lpstr>'321'!OSRRefD16x_0</vt:lpstr>
      <vt:lpstr>'324'!OSRRefD16x_0</vt:lpstr>
      <vt:lpstr>'325'!OSRRefD16x_0</vt:lpstr>
      <vt:lpstr>'326'!OSRRefD16x_0</vt:lpstr>
      <vt:lpstr>'330'!OSRRefD16x_0</vt:lpstr>
      <vt:lpstr>'331'!OSRRefD16x_0</vt:lpstr>
      <vt:lpstr>'332'!OSRRefD16x_0</vt:lpstr>
      <vt:lpstr>'405'!OSRRefD16x_0</vt:lpstr>
      <vt:lpstr>'415'!OSRRefD16x_0</vt:lpstr>
      <vt:lpstr>'418'!OSRRefD16x_0</vt:lpstr>
      <vt:lpstr>'425'!OSRRefD16x_0</vt:lpstr>
      <vt:lpstr>'444'!OSRRefD16x_0</vt:lpstr>
      <vt:lpstr>'491'!OSRRefD16x_0</vt:lpstr>
      <vt:lpstr>'492'!OSRRefD16x_0</vt:lpstr>
      <vt:lpstr>'Div 3'!OSRRefD16x_0</vt:lpstr>
      <vt:lpstr>'Div 4'!OSRRefD16x_0</vt:lpstr>
      <vt:lpstr>'Div 6'!OSRRefD16x_0</vt:lpstr>
      <vt:lpstr>Summary!OSRRefD16x_0</vt:lpstr>
      <vt:lpstr>'200'!OSRRefD22_0x_0</vt:lpstr>
      <vt:lpstr>'201'!OSRRefD22_0x_0</vt:lpstr>
      <vt:lpstr>'202'!OSRRefD22_0x_0</vt:lpstr>
      <vt:lpstr>'203'!OSRRefD22_0x_0</vt:lpstr>
      <vt:lpstr>'204'!OSRRefD22_0x_0</vt:lpstr>
      <vt:lpstr>'205'!OSRRefD22_0x_0</vt:lpstr>
      <vt:lpstr>'206'!OSRRefD22_0x_0</vt:lpstr>
      <vt:lpstr>'300'!OSRRefD22_0x_0</vt:lpstr>
      <vt:lpstr>'300 &amp; 317'!OSRRefD22_0x_0</vt:lpstr>
      <vt:lpstr>'301'!OSRRefD22_0x_0</vt:lpstr>
      <vt:lpstr>'307'!OSRRefD22_0x_0</vt:lpstr>
      <vt:lpstr>'308'!OSRRefD22_0x_0</vt:lpstr>
      <vt:lpstr>'309'!OSRRefD22_0x_0</vt:lpstr>
      <vt:lpstr>'310'!OSRRefD22_0x_0</vt:lpstr>
      <vt:lpstr>'310 &amp; 491'!OSRRefD22_0x_0</vt:lpstr>
      <vt:lpstr>'311'!OSRRefD22_0x_0</vt:lpstr>
      <vt:lpstr>'313'!OSRRefD22_0x_0</vt:lpstr>
      <vt:lpstr>'315'!OSRRefD22_0x_0</vt:lpstr>
      <vt:lpstr>'316'!OSRRefD22_0x_0</vt:lpstr>
      <vt:lpstr>'317'!OSRRefD22_0x_0</vt:lpstr>
      <vt:lpstr>'321'!OSRRefD22_0x_0</vt:lpstr>
      <vt:lpstr>'325'!OSRRefD22_0x_0</vt:lpstr>
      <vt:lpstr>'326'!OSRRefD22_0x_0</vt:lpstr>
      <vt:lpstr>'330'!OSRRefD22_0x_0</vt:lpstr>
      <vt:lpstr>'331'!OSRRefD22_0x_0</vt:lpstr>
      <vt:lpstr>'332'!OSRRefD22_0x_0</vt:lpstr>
      <vt:lpstr>'405'!OSRRefD22_0x_0</vt:lpstr>
      <vt:lpstr>'411'!OSRRefD22_0x_0</vt:lpstr>
      <vt:lpstr>'412'!OSRRefD22_0x_0</vt:lpstr>
      <vt:lpstr>'413'!OSRRefD22_0x_0</vt:lpstr>
      <vt:lpstr>'415'!OSRRefD22_0x_0</vt:lpstr>
      <vt:lpstr>'418'!OSRRefD22_0x_0</vt:lpstr>
      <vt:lpstr>'423'!OSRRefD22_0x_0</vt:lpstr>
      <vt:lpstr>'424'!OSRRefD22_0x_0</vt:lpstr>
      <vt:lpstr>'425'!OSRRefD22_0x_0</vt:lpstr>
      <vt:lpstr>'430'!OSRRefD22_0x_0</vt:lpstr>
      <vt:lpstr>'433'!OSRRefD22_0x_0</vt:lpstr>
      <vt:lpstr>'444'!OSRRefD22_0x_0</vt:lpstr>
      <vt:lpstr>'450'!OSRRefD22_0x_0</vt:lpstr>
      <vt:lpstr>'491'!OSRRefD22_0x_0</vt:lpstr>
      <vt:lpstr>'492'!OSRRefD22_0x_0</vt:lpstr>
      <vt:lpstr>'501'!OSRRefD22_0x_0</vt:lpstr>
      <vt:lpstr>'Div 2'!OSRRefD22_0x_0</vt:lpstr>
      <vt:lpstr>'Div 3'!OSRRefD22_0x_0</vt:lpstr>
      <vt:lpstr>'Div 4'!OSRRefD22_0x_0</vt:lpstr>
      <vt:lpstr>'Div 5'!OSRRefD22_0x_0</vt:lpstr>
      <vt:lpstr>'Div 6'!OSRRefD22_0x_0</vt:lpstr>
      <vt:lpstr>Summary!OSRRefD22_0x_0</vt:lpstr>
      <vt:lpstr>'201'!OSRRefD22_10x_0</vt:lpstr>
      <vt:lpstr>'202'!OSRRefD22_10x_0</vt:lpstr>
      <vt:lpstr>'203'!OSRRefD22_10x_0</vt:lpstr>
      <vt:lpstr>'300'!OSRRefD22_10x_0</vt:lpstr>
      <vt:lpstr>'300 &amp; 317'!OSRRefD22_10x_0</vt:lpstr>
      <vt:lpstr>'301'!OSRRefD22_10x_0</vt:lpstr>
      <vt:lpstr>'308'!OSRRefD22_10x_0</vt:lpstr>
      <vt:lpstr>'310'!OSRRefD22_10x_0</vt:lpstr>
      <vt:lpstr>'310 &amp; 491'!OSRRefD22_10x_0</vt:lpstr>
      <vt:lpstr>'311'!OSRRefD22_10x_0</vt:lpstr>
      <vt:lpstr>'315'!OSRRefD22_10x_0</vt:lpstr>
      <vt:lpstr>'325'!OSRRefD22_10x_0</vt:lpstr>
      <vt:lpstr>'326'!OSRRefD22_10x_0</vt:lpstr>
      <vt:lpstr>'331'!OSRRefD22_10x_0</vt:lpstr>
      <vt:lpstr>'405'!OSRRefD22_10x_0</vt:lpstr>
      <vt:lpstr>'411'!OSRRefD22_10x_0</vt:lpstr>
      <vt:lpstr>'415'!OSRRefD22_10x_0</vt:lpstr>
      <vt:lpstr>'418'!OSRRefD22_10x_0</vt:lpstr>
      <vt:lpstr>'433'!OSRRefD22_10x_0</vt:lpstr>
      <vt:lpstr>'444'!OSRRefD22_10x_0</vt:lpstr>
      <vt:lpstr>'450'!OSRRefD22_10x_0</vt:lpstr>
      <vt:lpstr>'491'!OSRRefD22_10x_0</vt:lpstr>
      <vt:lpstr>'492'!OSRRefD22_10x_0</vt:lpstr>
      <vt:lpstr>'501'!OSRRefD22_10x_0</vt:lpstr>
      <vt:lpstr>'Div 2'!OSRRefD22_10x_0</vt:lpstr>
      <vt:lpstr>'Div 3'!OSRRefD22_10x_0</vt:lpstr>
      <vt:lpstr>'Div 4'!OSRRefD22_10x_0</vt:lpstr>
      <vt:lpstr>'Div 5'!OSRRefD22_10x_0</vt:lpstr>
      <vt:lpstr>Summary!OSRRefD22_10x_0</vt:lpstr>
      <vt:lpstr>'203'!OSRRefD22_11x_0</vt:lpstr>
      <vt:lpstr>'300'!OSRRefD22_11x_0</vt:lpstr>
      <vt:lpstr>'300 &amp; 317'!OSRRefD22_11x_0</vt:lpstr>
      <vt:lpstr>'301'!OSRRefD22_11x_0</vt:lpstr>
      <vt:lpstr>'308'!OSRRefD22_11x_0</vt:lpstr>
      <vt:lpstr>'310'!OSRRefD22_11x_0</vt:lpstr>
      <vt:lpstr>'310 &amp; 491'!OSRRefD22_11x_0</vt:lpstr>
      <vt:lpstr>'311'!OSRRefD22_11x_0</vt:lpstr>
      <vt:lpstr>'315'!OSRRefD22_11x_0</vt:lpstr>
      <vt:lpstr>'325'!OSRRefD22_11x_0</vt:lpstr>
      <vt:lpstr>'326'!OSRRefD22_11x_0</vt:lpstr>
      <vt:lpstr>'331'!OSRRefD22_11x_0</vt:lpstr>
      <vt:lpstr>'411'!OSRRefD22_11x_0</vt:lpstr>
      <vt:lpstr>'415'!OSRRefD22_11x_0</vt:lpstr>
      <vt:lpstr>'418'!OSRRefD22_11x_0</vt:lpstr>
      <vt:lpstr>'433'!OSRRefD22_11x_0</vt:lpstr>
      <vt:lpstr>'444'!OSRRefD22_11x_0</vt:lpstr>
      <vt:lpstr>'450'!OSRRefD22_11x_0</vt:lpstr>
      <vt:lpstr>'491'!OSRRefD22_11x_0</vt:lpstr>
      <vt:lpstr>'492'!OSRRefD22_11x_0</vt:lpstr>
      <vt:lpstr>'501'!OSRRefD22_11x_0</vt:lpstr>
      <vt:lpstr>'Div 2'!OSRRefD22_11x_0</vt:lpstr>
      <vt:lpstr>'Div 3'!OSRRefD22_11x_0</vt:lpstr>
      <vt:lpstr>'Div 4'!OSRRefD22_11x_0</vt:lpstr>
      <vt:lpstr>'Div 5'!OSRRefD22_11x_0</vt:lpstr>
      <vt:lpstr>Summary!OSRRefD22_11x_0</vt:lpstr>
      <vt:lpstr>'203'!OSRRefD22_12x_0</vt:lpstr>
      <vt:lpstr>'300'!OSRRefD22_12x_0</vt:lpstr>
      <vt:lpstr>'300 &amp; 317'!OSRRefD22_12x_0</vt:lpstr>
      <vt:lpstr>'301'!OSRRefD22_12x_0</vt:lpstr>
      <vt:lpstr>'310'!OSRRefD22_12x_0</vt:lpstr>
      <vt:lpstr>'310 &amp; 491'!OSRRefD22_12x_0</vt:lpstr>
      <vt:lpstr>'315'!OSRRefD22_12x_0</vt:lpstr>
      <vt:lpstr>'326'!OSRRefD22_12x_0</vt:lpstr>
      <vt:lpstr>'331'!OSRRefD22_12x_0</vt:lpstr>
      <vt:lpstr>'411'!OSRRefD22_12x_0</vt:lpstr>
      <vt:lpstr>'415'!OSRRefD22_12x_0</vt:lpstr>
      <vt:lpstr>'418'!OSRRefD22_12x_0</vt:lpstr>
      <vt:lpstr>'444'!OSRRefD22_12x_0</vt:lpstr>
      <vt:lpstr>'491'!OSRRefD22_12x_0</vt:lpstr>
      <vt:lpstr>'492'!OSRRefD22_12x_0</vt:lpstr>
      <vt:lpstr>'501'!OSRRefD22_12x_0</vt:lpstr>
      <vt:lpstr>'Div 2'!OSRRefD22_12x_0</vt:lpstr>
      <vt:lpstr>'Div 3'!OSRRefD22_12x_0</vt:lpstr>
      <vt:lpstr>'Div 4'!OSRRefD22_12x_0</vt:lpstr>
      <vt:lpstr>'Div 5'!OSRRefD22_12x_0</vt:lpstr>
      <vt:lpstr>Summary!OSRRefD22_12x_0</vt:lpstr>
      <vt:lpstr>'203'!OSRRefD22_13x_0</vt:lpstr>
      <vt:lpstr>'300'!OSRRefD22_13x_0</vt:lpstr>
      <vt:lpstr>'300 &amp; 317'!OSRRefD22_13x_0</vt:lpstr>
      <vt:lpstr>'301'!OSRRefD22_13x_0</vt:lpstr>
      <vt:lpstr>'310'!OSRRefD22_13x_0</vt:lpstr>
      <vt:lpstr>'310 &amp; 491'!OSRRefD22_13x_0</vt:lpstr>
      <vt:lpstr>'315'!OSRRefD22_13x_0</vt:lpstr>
      <vt:lpstr>'326'!OSRRefD22_13x_0</vt:lpstr>
      <vt:lpstr>'331'!OSRRefD22_13x_0</vt:lpstr>
      <vt:lpstr>'415'!OSRRefD22_13x_0</vt:lpstr>
      <vt:lpstr>'444'!OSRRefD22_13x_0</vt:lpstr>
      <vt:lpstr>'491'!OSRRefD22_13x_0</vt:lpstr>
      <vt:lpstr>'492'!OSRRefD22_13x_0</vt:lpstr>
      <vt:lpstr>'Div 2'!OSRRefD22_13x_0</vt:lpstr>
      <vt:lpstr>'Div 3'!OSRRefD22_13x_0</vt:lpstr>
      <vt:lpstr>'Div 4'!OSRRefD22_13x_0</vt:lpstr>
      <vt:lpstr>Summary!OSRRefD22_13x_0</vt:lpstr>
      <vt:lpstr>'300'!OSRRefD22_14x_0</vt:lpstr>
      <vt:lpstr>'300 &amp; 317'!OSRRefD22_14x_0</vt:lpstr>
      <vt:lpstr>'301'!OSRRefD22_14x_0</vt:lpstr>
      <vt:lpstr>'310 &amp; 491'!OSRRefD22_14x_0</vt:lpstr>
      <vt:lpstr>'315'!OSRRefD22_14x_0</vt:lpstr>
      <vt:lpstr>'326'!OSRRefD22_14x_0</vt:lpstr>
      <vt:lpstr>'331'!OSRRefD22_14x_0</vt:lpstr>
      <vt:lpstr>'415'!OSRRefD22_14x_0</vt:lpstr>
      <vt:lpstr>'491'!OSRRefD22_14x_0</vt:lpstr>
      <vt:lpstr>'492'!OSRRefD22_14x_0</vt:lpstr>
      <vt:lpstr>'Div 2'!OSRRefD22_14x_0</vt:lpstr>
      <vt:lpstr>'Div 3'!OSRRefD22_14x_0</vt:lpstr>
      <vt:lpstr>'Div 4'!OSRRefD22_14x_0</vt:lpstr>
      <vt:lpstr>Summary!OSRRefD22_14x_0</vt:lpstr>
      <vt:lpstr>'300'!OSRRefD22_15x_0</vt:lpstr>
      <vt:lpstr>'300 &amp; 317'!OSRRefD22_15x_0</vt:lpstr>
      <vt:lpstr>'301'!OSRRefD22_15x_0</vt:lpstr>
      <vt:lpstr>'310 &amp; 491'!OSRRefD22_15x_0</vt:lpstr>
      <vt:lpstr>'315'!OSRRefD22_15x_0</vt:lpstr>
      <vt:lpstr>'326'!OSRRefD22_15x_0</vt:lpstr>
      <vt:lpstr>'331'!OSRRefD22_15x_0</vt:lpstr>
      <vt:lpstr>'415'!OSRRefD22_15x_0</vt:lpstr>
      <vt:lpstr>'491'!OSRRefD22_15x_0</vt:lpstr>
      <vt:lpstr>'492'!OSRRefD22_15x_0</vt:lpstr>
      <vt:lpstr>'Div 2'!OSRRefD22_15x_0</vt:lpstr>
      <vt:lpstr>'Div 3'!OSRRefD22_15x_0</vt:lpstr>
      <vt:lpstr>'Div 4'!OSRRefD22_15x_0</vt:lpstr>
      <vt:lpstr>Summary!OSRRefD22_15x_0</vt:lpstr>
      <vt:lpstr>'300'!OSRRefD22_16x_0</vt:lpstr>
      <vt:lpstr>'300 &amp; 317'!OSRRefD22_16x_0</vt:lpstr>
      <vt:lpstr>'301'!OSRRefD22_16x_0</vt:lpstr>
      <vt:lpstr>'310 &amp; 491'!OSRRefD22_16x_0</vt:lpstr>
      <vt:lpstr>'326'!OSRRefD22_16x_0</vt:lpstr>
      <vt:lpstr>'331'!OSRRefD22_16x_0</vt:lpstr>
      <vt:lpstr>'415'!OSRRefD22_16x_0</vt:lpstr>
      <vt:lpstr>'491'!OSRRefD22_16x_0</vt:lpstr>
      <vt:lpstr>'Div 2'!OSRRefD22_16x_0</vt:lpstr>
      <vt:lpstr>'Div 3'!OSRRefD22_16x_0</vt:lpstr>
      <vt:lpstr>'Div 4'!OSRRefD22_16x_0</vt:lpstr>
      <vt:lpstr>Summary!OSRRefD22_16x_0</vt:lpstr>
      <vt:lpstr>'300'!OSRRefD22_17x_0</vt:lpstr>
      <vt:lpstr>'300 &amp; 317'!OSRRefD22_17x_0</vt:lpstr>
      <vt:lpstr>'301'!OSRRefD22_17x_0</vt:lpstr>
      <vt:lpstr>'310 &amp; 491'!OSRRefD22_17x_0</vt:lpstr>
      <vt:lpstr>'326'!OSRRefD22_17x_0</vt:lpstr>
      <vt:lpstr>'331'!OSRRefD22_17x_0</vt:lpstr>
      <vt:lpstr>'491'!OSRRefD22_17x_0</vt:lpstr>
      <vt:lpstr>'Div 2'!OSRRefD22_17x_0</vt:lpstr>
      <vt:lpstr>'Div 3'!OSRRefD22_17x_0</vt:lpstr>
      <vt:lpstr>'Div 4'!OSRRefD22_17x_0</vt:lpstr>
      <vt:lpstr>Summary!OSRRefD22_17x_0</vt:lpstr>
      <vt:lpstr>'300'!OSRRefD22_18x_0</vt:lpstr>
      <vt:lpstr>'300 &amp; 317'!OSRRefD22_18x_0</vt:lpstr>
      <vt:lpstr>'301'!OSRRefD22_18x_0</vt:lpstr>
      <vt:lpstr>'310 &amp; 491'!OSRRefD22_18x_0</vt:lpstr>
      <vt:lpstr>'331'!OSRRefD22_18x_0</vt:lpstr>
      <vt:lpstr>'Div 2'!OSRRefD22_18x_0</vt:lpstr>
      <vt:lpstr>'Div 3'!OSRRefD22_18x_0</vt:lpstr>
      <vt:lpstr>'Div 4'!OSRRefD22_18x_0</vt:lpstr>
      <vt:lpstr>Summary!OSRRefD22_18x_0</vt:lpstr>
      <vt:lpstr>'300'!OSRRefD22_19x_0</vt:lpstr>
      <vt:lpstr>'300 &amp; 317'!OSRRefD22_19x_0</vt:lpstr>
      <vt:lpstr>'331'!OSRRefD22_19x_0</vt:lpstr>
      <vt:lpstr>'Div 2'!OSRRefD22_19x_0</vt:lpstr>
      <vt:lpstr>'Div 3'!OSRRefD22_19x_0</vt:lpstr>
      <vt:lpstr>'Div 4'!OSRRefD22_19x_0</vt:lpstr>
      <vt:lpstr>Summary!OSRRefD22_19x_0</vt:lpstr>
      <vt:lpstr>'200'!OSRRefD22_1x_0</vt:lpstr>
      <vt:lpstr>'201'!OSRRefD22_1x_0</vt:lpstr>
      <vt:lpstr>'202'!OSRRefD22_1x_0</vt:lpstr>
      <vt:lpstr>'203'!OSRRefD22_1x_0</vt:lpstr>
      <vt:lpstr>'204'!OSRRefD22_1x_0</vt:lpstr>
      <vt:lpstr>'205'!OSRRefD22_1x_0</vt:lpstr>
      <vt:lpstr>'206'!OSRRefD22_1x_0</vt:lpstr>
      <vt:lpstr>'300'!OSRRefD22_1x_0</vt:lpstr>
      <vt:lpstr>'300 &amp; 317'!OSRRefD22_1x_0</vt:lpstr>
      <vt:lpstr>'301'!OSRRefD22_1x_0</vt:lpstr>
      <vt:lpstr>'307'!OSRRefD22_1x_0</vt:lpstr>
      <vt:lpstr>'308'!OSRRefD22_1x_0</vt:lpstr>
      <vt:lpstr>'309'!OSRRefD22_1x_0</vt:lpstr>
      <vt:lpstr>'310'!OSRRefD22_1x_0</vt:lpstr>
      <vt:lpstr>'310 &amp; 491'!OSRRefD22_1x_0</vt:lpstr>
      <vt:lpstr>'311'!OSRRefD22_1x_0</vt:lpstr>
      <vt:lpstr>'315'!OSRRefD22_1x_0</vt:lpstr>
      <vt:lpstr>'316'!OSRRefD22_1x_0</vt:lpstr>
      <vt:lpstr>'317'!OSRRefD22_1x_0</vt:lpstr>
      <vt:lpstr>'321'!OSRRefD22_1x_0</vt:lpstr>
      <vt:lpstr>'325'!OSRRefD22_1x_0</vt:lpstr>
      <vt:lpstr>'326'!OSRRefD22_1x_0</vt:lpstr>
      <vt:lpstr>'330'!OSRRefD22_1x_0</vt:lpstr>
      <vt:lpstr>'331'!OSRRefD22_1x_0</vt:lpstr>
      <vt:lpstr>'332'!OSRRefD22_1x_0</vt:lpstr>
      <vt:lpstr>'405'!OSRRefD22_1x_0</vt:lpstr>
      <vt:lpstr>'411'!OSRRefD22_1x_0</vt:lpstr>
      <vt:lpstr>'412'!OSRRefD22_1x_0</vt:lpstr>
      <vt:lpstr>'413'!OSRRefD22_1x_0</vt:lpstr>
      <vt:lpstr>'415'!OSRRefD22_1x_0</vt:lpstr>
      <vt:lpstr>'418'!OSRRefD22_1x_0</vt:lpstr>
      <vt:lpstr>'423'!OSRRefD22_1x_0</vt:lpstr>
      <vt:lpstr>'424'!OSRRefD22_1x_0</vt:lpstr>
      <vt:lpstr>'425'!OSRRefD22_1x_0</vt:lpstr>
      <vt:lpstr>'430'!OSRRefD22_1x_0</vt:lpstr>
      <vt:lpstr>'433'!OSRRefD22_1x_0</vt:lpstr>
      <vt:lpstr>'444'!OSRRefD22_1x_0</vt:lpstr>
      <vt:lpstr>'450'!OSRRefD22_1x_0</vt:lpstr>
      <vt:lpstr>'491'!OSRRefD22_1x_0</vt:lpstr>
      <vt:lpstr>'492'!OSRRefD22_1x_0</vt:lpstr>
      <vt:lpstr>'501'!OSRRefD22_1x_0</vt:lpstr>
      <vt:lpstr>'Div 2'!OSRRefD22_1x_0</vt:lpstr>
      <vt:lpstr>'Div 3'!OSRRefD22_1x_0</vt:lpstr>
      <vt:lpstr>'Div 4'!OSRRefD22_1x_0</vt:lpstr>
      <vt:lpstr>'Div 5'!OSRRefD22_1x_0</vt:lpstr>
      <vt:lpstr>'Div 6'!OSRRefD22_1x_0</vt:lpstr>
      <vt:lpstr>Summary!OSRRefD22_1x_0</vt:lpstr>
      <vt:lpstr>'300'!OSRRefD22_20x_0</vt:lpstr>
      <vt:lpstr>'300 &amp; 317'!OSRRefD22_20x_0</vt:lpstr>
      <vt:lpstr>'Div 3'!OSRRefD22_20x_0</vt:lpstr>
      <vt:lpstr>Summary!OSRRefD22_20x_0</vt:lpstr>
      <vt:lpstr>'300'!OSRRefD22_21x_0</vt:lpstr>
      <vt:lpstr>'300 &amp; 317'!OSRRefD22_21x_0</vt:lpstr>
      <vt:lpstr>'Div 3'!OSRRefD22_21x_0</vt:lpstr>
      <vt:lpstr>Summary!OSRRefD22_21x_0</vt:lpstr>
      <vt:lpstr>'300'!OSRRefD22_22x_0</vt:lpstr>
      <vt:lpstr>'300 &amp; 317'!OSRRefD22_22x_0</vt:lpstr>
      <vt:lpstr>'Div 3'!OSRRefD22_22x_0</vt:lpstr>
      <vt:lpstr>Summary!OSRRefD22_22x_0</vt:lpstr>
      <vt:lpstr>'300'!OSRRefD22_23x_0</vt:lpstr>
      <vt:lpstr>'300 &amp; 317'!OSRRefD22_23x_0</vt:lpstr>
      <vt:lpstr>'Div 3'!OSRRefD22_23x_0</vt:lpstr>
      <vt:lpstr>Summary!OSRRefD22_23x_0</vt:lpstr>
      <vt:lpstr>'Div 3'!OSRRefD22_24x_0</vt:lpstr>
      <vt:lpstr>Summary!OSRRefD22_24x_0</vt:lpstr>
      <vt:lpstr>Summary!OSRRefD22_25x_0</vt:lpstr>
      <vt:lpstr>Summary!OSRRefD22_26x_0</vt:lpstr>
      <vt:lpstr>'200'!OSRRefD22_2x_0</vt:lpstr>
      <vt:lpstr>'201'!OSRRefD22_2x_0</vt:lpstr>
      <vt:lpstr>'202'!OSRRefD22_2x_0</vt:lpstr>
      <vt:lpstr>'203'!OSRRefD22_2x_0</vt:lpstr>
      <vt:lpstr>'204'!OSRRefD22_2x_0</vt:lpstr>
      <vt:lpstr>'205'!OSRRefD22_2x_0</vt:lpstr>
      <vt:lpstr>'206'!OSRRefD22_2x_0</vt:lpstr>
      <vt:lpstr>'300'!OSRRefD22_2x_0</vt:lpstr>
      <vt:lpstr>'300 &amp; 317'!OSRRefD22_2x_0</vt:lpstr>
      <vt:lpstr>'301'!OSRRefD22_2x_0</vt:lpstr>
      <vt:lpstr>'307'!OSRRefD22_2x_0</vt:lpstr>
      <vt:lpstr>'308'!OSRRefD22_2x_0</vt:lpstr>
      <vt:lpstr>'309'!OSRRefD22_2x_0</vt:lpstr>
      <vt:lpstr>'310'!OSRRefD22_2x_0</vt:lpstr>
      <vt:lpstr>'310 &amp; 491'!OSRRefD22_2x_0</vt:lpstr>
      <vt:lpstr>'311'!OSRRefD22_2x_0</vt:lpstr>
      <vt:lpstr>'315'!OSRRefD22_2x_0</vt:lpstr>
      <vt:lpstr>'316'!OSRRefD22_2x_0</vt:lpstr>
      <vt:lpstr>'317'!OSRRefD22_2x_0</vt:lpstr>
      <vt:lpstr>'321'!OSRRefD22_2x_0</vt:lpstr>
      <vt:lpstr>'325'!OSRRefD22_2x_0</vt:lpstr>
      <vt:lpstr>'326'!OSRRefD22_2x_0</vt:lpstr>
      <vt:lpstr>'330'!OSRRefD22_2x_0</vt:lpstr>
      <vt:lpstr>'331'!OSRRefD22_2x_0</vt:lpstr>
      <vt:lpstr>'332'!OSRRefD22_2x_0</vt:lpstr>
      <vt:lpstr>'405'!OSRRefD22_2x_0</vt:lpstr>
      <vt:lpstr>'411'!OSRRefD22_2x_0</vt:lpstr>
      <vt:lpstr>'412'!OSRRefD22_2x_0</vt:lpstr>
      <vt:lpstr>'415'!OSRRefD22_2x_0</vt:lpstr>
      <vt:lpstr>'418'!OSRRefD22_2x_0</vt:lpstr>
      <vt:lpstr>'423'!OSRRefD22_2x_0</vt:lpstr>
      <vt:lpstr>'430'!OSRRefD22_2x_0</vt:lpstr>
      <vt:lpstr>'433'!OSRRefD22_2x_0</vt:lpstr>
      <vt:lpstr>'444'!OSRRefD22_2x_0</vt:lpstr>
      <vt:lpstr>'450'!OSRRefD22_2x_0</vt:lpstr>
      <vt:lpstr>'491'!OSRRefD22_2x_0</vt:lpstr>
      <vt:lpstr>'492'!OSRRefD22_2x_0</vt:lpstr>
      <vt:lpstr>'501'!OSRRefD22_2x_0</vt:lpstr>
      <vt:lpstr>'Div 2'!OSRRefD22_2x_0</vt:lpstr>
      <vt:lpstr>'Div 3'!OSRRefD22_2x_0</vt:lpstr>
      <vt:lpstr>'Div 4'!OSRRefD22_2x_0</vt:lpstr>
      <vt:lpstr>'Div 5'!OSRRefD22_2x_0</vt:lpstr>
      <vt:lpstr>'Div 6'!OSRRefD22_2x_0</vt:lpstr>
      <vt:lpstr>Summary!OSRRefD22_2x_0</vt:lpstr>
      <vt:lpstr>'200'!OSRRefD22_3x_0</vt:lpstr>
      <vt:lpstr>'201'!OSRRefD22_3x_0</vt:lpstr>
      <vt:lpstr>'202'!OSRRefD22_3x_0</vt:lpstr>
      <vt:lpstr>'203'!OSRRefD22_3x_0</vt:lpstr>
      <vt:lpstr>'204'!OSRRefD22_3x_0</vt:lpstr>
      <vt:lpstr>'205'!OSRRefD22_3x_0</vt:lpstr>
      <vt:lpstr>'206'!OSRRefD22_3x_0</vt:lpstr>
      <vt:lpstr>'300'!OSRRefD22_3x_0</vt:lpstr>
      <vt:lpstr>'300 &amp; 317'!OSRRefD22_3x_0</vt:lpstr>
      <vt:lpstr>'301'!OSRRefD22_3x_0</vt:lpstr>
      <vt:lpstr>'307'!OSRRefD22_3x_0</vt:lpstr>
      <vt:lpstr>'308'!OSRRefD22_3x_0</vt:lpstr>
      <vt:lpstr>'310'!OSRRefD22_3x_0</vt:lpstr>
      <vt:lpstr>'310 &amp; 491'!OSRRefD22_3x_0</vt:lpstr>
      <vt:lpstr>'311'!OSRRefD22_3x_0</vt:lpstr>
      <vt:lpstr>'315'!OSRRefD22_3x_0</vt:lpstr>
      <vt:lpstr>'316'!OSRRefD22_3x_0</vt:lpstr>
      <vt:lpstr>'317'!OSRRefD22_3x_0</vt:lpstr>
      <vt:lpstr>'321'!OSRRefD22_3x_0</vt:lpstr>
      <vt:lpstr>'325'!OSRRefD22_3x_0</vt:lpstr>
      <vt:lpstr>'326'!OSRRefD22_3x_0</vt:lpstr>
      <vt:lpstr>'330'!OSRRefD22_3x_0</vt:lpstr>
      <vt:lpstr>'331'!OSRRefD22_3x_0</vt:lpstr>
      <vt:lpstr>'332'!OSRRefD22_3x_0</vt:lpstr>
      <vt:lpstr>'405'!OSRRefD22_3x_0</vt:lpstr>
      <vt:lpstr>'411'!OSRRefD22_3x_0</vt:lpstr>
      <vt:lpstr>'415'!OSRRefD22_3x_0</vt:lpstr>
      <vt:lpstr>'418'!OSRRefD22_3x_0</vt:lpstr>
      <vt:lpstr>'423'!OSRRefD22_3x_0</vt:lpstr>
      <vt:lpstr>'430'!OSRRefD22_3x_0</vt:lpstr>
      <vt:lpstr>'433'!OSRRefD22_3x_0</vt:lpstr>
      <vt:lpstr>'444'!OSRRefD22_3x_0</vt:lpstr>
      <vt:lpstr>'450'!OSRRefD22_3x_0</vt:lpstr>
      <vt:lpstr>'491'!OSRRefD22_3x_0</vt:lpstr>
      <vt:lpstr>'492'!OSRRefD22_3x_0</vt:lpstr>
      <vt:lpstr>'501'!OSRRefD22_3x_0</vt:lpstr>
      <vt:lpstr>'Div 2'!OSRRefD22_3x_0</vt:lpstr>
      <vt:lpstr>'Div 3'!OSRRefD22_3x_0</vt:lpstr>
      <vt:lpstr>'Div 4'!OSRRefD22_3x_0</vt:lpstr>
      <vt:lpstr>'Div 5'!OSRRefD22_3x_0</vt:lpstr>
      <vt:lpstr>'Div 6'!OSRRefD22_3x_0</vt:lpstr>
      <vt:lpstr>Summary!OSRRefD22_3x_0</vt:lpstr>
      <vt:lpstr>'201'!OSRRefD22_4x_0</vt:lpstr>
      <vt:lpstr>'202'!OSRRefD22_4x_0</vt:lpstr>
      <vt:lpstr>'203'!OSRRefD22_4x_0</vt:lpstr>
      <vt:lpstr>'204'!OSRRefD22_4x_0</vt:lpstr>
      <vt:lpstr>'205'!OSRRefD22_4x_0</vt:lpstr>
      <vt:lpstr>'206'!OSRRefD22_4x_0</vt:lpstr>
      <vt:lpstr>'300'!OSRRefD22_4x_0</vt:lpstr>
      <vt:lpstr>'300 &amp; 317'!OSRRefD22_4x_0</vt:lpstr>
      <vt:lpstr>'301'!OSRRefD22_4x_0</vt:lpstr>
      <vt:lpstr>'307'!OSRRefD22_4x_0</vt:lpstr>
      <vt:lpstr>'308'!OSRRefD22_4x_0</vt:lpstr>
      <vt:lpstr>'310'!OSRRefD22_4x_0</vt:lpstr>
      <vt:lpstr>'310 &amp; 491'!OSRRefD22_4x_0</vt:lpstr>
      <vt:lpstr>'311'!OSRRefD22_4x_0</vt:lpstr>
      <vt:lpstr>'315'!OSRRefD22_4x_0</vt:lpstr>
      <vt:lpstr>'316'!OSRRefD22_4x_0</vt:lpstr>
      <vt:lpstr>'317'!OSRRefD22_4x_0</vt:lpstr>
      <vt:lpstr>'321'!OSRRefD22_4x_0</vt:lpstr>
      <vt:lpstr>'325'!OSRRefD22_4x_0</vt:lpstr>
      <vt:lpstr>'326'!OSRRefD22_4x_0</vt:lpstr>
      <vt:lpstr>'330'!OSRRefD22_4x_0</vt:lpstr>
      <vt:lpstr>'331'!OSRRefD22_4x_0</vt:lpstr>
      <vt:lpstr>'332'!OSRRefD22_4x_0</vt:lpstr>
      <vt:lpstr>'405'!OSRRefD22_4x_0</vt:lpstr>
      <vt:lpstr>'411'!OSRRefD22_4x_0</vt:lpstr>
      <vt:lpstr>'415'!OSRRefD22_4x_0</vt:lpstr>
      <vt:lpstr>'418'!OSRRefD22_4x_0</vt:lpstr>
      <vt:lpstr>'423'!OSRRefD22_4x_0</vt:lpstr>
      <vt:lpstr>'430'!OSRRefD22_4x_0</vt:lpstr>
      <vt:lpstr>'433'!OSRRefD22_4x_0</vt:lpstr>
      <vt:lpstr>'444'!OSRRefD22_4x_0</vt:lpstr>
      <vt:lpstr>'450'!OSRRefD22_4x_0</vt:lpstr>
      <vt:lpstr>'491'!OSRRefD22_4x_0</vt:lpstr>
      <vt:lpstr>'492'!OSRRefD22_4x_0</vt:lpstr>
      <vt:lpstr>'501'!OSRRefD22_4x_0</vt:lpstr>
      <vt:lpstr>'Div 2'!OSRRefD22_4x_0</vt:lpstr>
      <vt:lpstr>'Div 3'!OSRRefD22_4x_0</vt:lpstr>
      <vt:lpstr>'Div 4'!OSRRefD22_4x_0</vt:lpstr>
      <vt:lpstr>'Div 5'!OSRRefD22_4x_0</vt:lpstr>
      <vt:lpstr>'Div 6'!OSRRefD22_4x_0</vt:lpstr>
      <vt:lpstr>Summary!OSRRefD22_4x_0</vt:lpstr>
      <vt:lpstr>'201'!OSRRefD22_5x_0</vt:lpstr>
      <vt:lpstr>'202'!OSRRefD22_5x_0</vt:lpstr>
      <vt:lpstr>'203'!OSRRefD22_5x_0</vt:lpstr>
      <vt:lpstr>'204'!OSRRefD22_5x_0</vt:lpstr>
      <vt:lpstr>'205'!OSRRefD22_5x_0</vt:lpstr>
      <vt:lpstr>'206'!OSRRefD22_5x_0</vt:lpstr>
      <vt:lpstr>'300'!OSRRefD22_5x_0</vt:lpstr>
      <vt:lpstr>'300 &amp; 317'!OSRRefD22_5x_0</vt:lpstr>
      <vt:lpstr>'301'!OSRRefD22_5x_0</vt:lpstr>
      <vt:lpstr>'307'!OSRRefD22_5x_0</vt:lpstr>
      <vt:lpstr>'308'!OSRRefD22_5x_0</vt:lpstr>
      <vt:lpstr>'310'!OSRRefD22_5x_0</vt:lpstr>
      <vt:lpstr>'310 &amp; 491'!OSRRefD22_5x_0</vt:lpstr>
      <vt:lpstr>'311'!OSRRefD22_5x_0</vt:lpstr>
      <vt:lpstr>'315'!OSRRefD22_5x_0</vt:lpstr>
      <vt:lpstr>'316'!OSRRefD22_5x_0</vt:lpstr>
      <vt:lpstr>'317'!OSRRefD22_5x_0</vt:lpstr>
      <vt:lpstr>'321'!OSRRefD22_5x_0</vt:lpstr>
      <vt:lpstr>'325'!OSRRefD22_5x_0</vt:lpstr>
      <vt:lpstr>'326'!OSRRefD22_5x_0</vt:lpstr>
      <vt:lpstr>'330'!OSRRefD22_5x_0</vt:lpstr>
      <vt:lpstr>'331'!OSRRefD22_5x_0</vt:lpstr>
      <vt:lpstr>'332'!OSRRefD22_5x_0</vt:lpstr>
      <vt:lpstr>'405'!OSRRefD22_5x_0</vt:lpstr>
      <vt:lpstr>'411'!OSRRefD22_5x_0</vt:lpstr>
      <vt:lpstr>'415'!OSRRefD22_5x_0</vt:lpstr>
      <vt:lpstr>'418'!OSRRefD22_5x_0</vt:lpstr>
      <vt:lpstr>'430'!OSRRefD22_5x_0</vt:lpstr>
      <vt:lpstr>'433'!OSRRefD22_5x_0</vt:lpstr>
      <vt:lpstr>'444'!OSRRefD22_5x_0</vt:lpstr>
      <vt:lpstr>'450'!OSRRefD22_5x_0</vt:lpstr>
      <vt:lpstr>'491'!OSRRefD22_5x_0</vt:lpstr>
      <vt:lpstr>'492'!OSRRefD22_5x_0</vt:lpstr>
      <vt:lpstr>'501'!OSRRefD22_5x_0</vt:lpstr>
      <vt:lpstr>'Div 2'!OSRRefD22_5x_0</vt:lpstr>
      <vt:lpstr>'Div 3'!OSRRefD22_5x_0</vt:lpstr>
      <vt:lpstr>'Div 4'!OSRRefD22_5x_0</vt:lpstr>
      <vt:lpstr>'Div 5'!OSRRefD22_5x_0</vt:lpstr>
      <vt:lpstr>'Div 6'!OSRRefD22_5x_0</vt:lpstr>
      <vt:lpstr>Summary!OSRRefD22_5x_0</vt:lpstr>
      <vt:lpstr>'201'!OSRRefD22_6x_0</vt:lpstr>
      <vt:lpstr>'202'!OSRRefD22_6x_0</vt:lpstr>
      <vt:lpstr>'203'!OSRRefD22_6x_0</vt:lpstr>
      <vt:lpstr>'204'!OSRRefD22_6x_0</vt:lpstr>
      <vt:lpstr>'205'!OSRRefD22_6x_0</vt:lpstr>
      <vt:lpstr>'206'!OSRRefD22_6x_0</vt:lpstr>
      <vt:lpstr>'300'!OSRRefD22_6x_0</vt:lpstr>
      <vt:lpstr>'300 &amp; 317'!OSRRefD22_6x_0</vt:lpstr>
      <vt:lpstr>'301'!OSRRefD22_6x_0</vt:lpstr>
      <vt:lpstr>'307'!OSRRefD22_6x_0</vt:lpstr>
      <vt:lpstr>'308'!OSRRefD22_6x_0</vt:lpstr>
      <vt:lpstr>'310'!OSRRefD22_6x_0</vt:lpstr>
      <vt:lpstr>'310 &amp; 491'!OSRRefD22_6x_0</vt:lpstr>
      <vt:lpstr>'311'!OSRRefD22_6x_0</vt:lpstr>
      <vt:lpstr>'315'!OSRRefD22_6x_0</vt:lpstr>
      <vt:lpstr>'316'!OSRRefD22_6x_0</vt:lpstr>
      <vt:lpstr>'317'!OSRRefD22_6x_0</vt:lpstr>
      <vt:lpstr>'321'!OSRRefD22_6x_0</vt:lpstr>
      <vt:lpstr>'325'!OSRRefD22_6x_0</vt:lpstr>
      <vt:lpstr>'326'!OSRRefD22_6x_0</vt:lpstr>
      <vt:lpstr>'330'!OSRRefD22_6x_0</vt:lpstr>
      <vt:lpstr>'331'!OSRRefD22_6x_0</vt:lpstr>
      <vt:lpstr>'332'!OSRRefD22_6x_0</vt:lpstr>
      <vt:lpstr>'405'!OSRRefD22_6x_0</vt:lpstr>
      <vt:lpstr>'411'!OSRRefD22_6x_0</vt:lpstr>
      <vt:lpstr>'415'!OSRRefD22_6x_0</vt:lpstr>
      <vt:lpstr>'418'!OSRRefD22_6x_0</vt:lpstr>
      <vt:lpstr>'430'!OSRRefD22_6x_0</vt:lpstr>
      <vt:lpstr>'433'!OSRRefD22_6x_0</vt:lpstr>
      <vt:lpstr>'444'!OSRRefD22_6x_0</vt:lpstr>
      <vt:lpstr>'450'!OSRRefD22_6x_0</vt:lpstr>
      <vt:lpstr>'491'!OSRRefD22_6x_0</vt:lpstr>
      <vt:lpstr>'492'!OSRRefD22_6x_0</vt:lpstr>
      <vt:lpstr>'501'!OSRRefD22_6x_0</vt:lpstr>
      <vt:lpstr>'Div 2'!OSRRefD22_6x_0</vt:lpstr>
      <vt:lpstr>'Div 3'!OSRRefD22_6x_0</vt:lpstr>
      <vt:lpstr>'Div 4'!OSRRefD22_6x_0</vt:lpstr>
      <vt:lpstr>'Div 5'!OSRRefD22_6x_0</vt:lpstr>
      <vt:lpstr>'Div 6'!OSRRefD22_6x_0</vt:lpstr>
      <vt:lpstr>Summary!OSRRefD22_6x_0</vt:lpstr>
      <vt:lpstr>'201'!OSRRefD22_7x_0</vt:lpstr>
      <vt:lpstr>'202'!OSRRefD22_7x_0</vt:lpstr>
      <vt:lpstr>'203'!OSRRefD22_7x_0</vt:lpstr>
      <vt:lpstr>'204'!OSRRefD22_7x_0</vt:lpstr>
      <vt:lpstr>'205'!OSRRefD22_7x_0</vt:lpstr>
      <vt:lpstr>'206'!OSRRefD22_7x_0</vt:lpstr>
      <vt:lpstr>'300'!OSRRefD22_7x_0</vt:lpstr>
      <vt:lpstr>'300 &amp; 317'!OSRRefD22_7x_0</vt:lpstr>
      <vt:lpstr>'301'!OSRRefD22_7x_0</vt:lpstr>
      <vt:lpstr>'307'!OSRRefD22_7x_0</vt:lpstr>
      <vt:lpstr>'308'!OSRRefD22_7x_0</vt:lpstr>
      <vt:lpstr>'310'!OSRRefD22_7x_0</vt:lpstr>
      <vt:lpstr>'310 &amp; 491'!OSRRefD22_7x_0</vt:lpstr>
      <vt:lpstr>'311'!OSRRefD22_7x_0</vt:lpstr>
      <vt:lpstr>'315'!OSRRefD22_7x_0</vt:lpstr>
      <vt:lpstr>'316'!OSRRefD22_7x_0</vt:lpstr>
      <vt:lpstr>'317'!OSRRefD22_7x_0</vt:lpstr>
      <vt:lpstr>'321'!OSRRefD22_7x_0</vt:lpstr>
      <vt:lpstr>'325'!OSRRefD22_7x_0</vt:lpstr>
      <vt:lpstr>'326'!OSRRefD22_7x_0</vt:lpstr>
      <vt:lpstr>'330'!OSRRefD22_7x_0</vt:lpstr>
      <vt:lpstr>'331'!OSRRefD22_7x_0</vt:lpstr>
      <vt:lpstr>'332'!OSRRefD22_7x_0</vt:lpstr>
      <vt:lpstr>'405'!OSRRefD22_7x_0</vt:lpstr>
      <vt:lpstr>'411'!OSRRefD22_7x_0</vt:lpstr>
      <vt:lpstr>'415'!OSRRefD22_7x_0</vt:lpstr>
      <vt:lpstr>'418'!OSRRefD22_7x_0</vt:lpstr>
      <vt:lpstr>'433'!OSRRefD22_7x_0</vt:lpstr>
      <vt:lpstr>'444'!OSRRefD22_7x_0</vt:lpstr>
      <vt:lpstr>'450'!OSRRefD22_7x_0</vt:lpstr>
      <vt:lpstr>'491'!OSRRefD22_7x_0</vt:lpstr>
      <vt:lpstr>'492'!OSRRefD22_7x_0</vt:lpstr>
      <vt:lpstr>'501'!OSRRefD22_7x_0</vt:lpstr>
      <vt:lpstr>'Div 2'!OSRRefD22_7x_0</vt:lpstr>
      <vt:lpstr>'Div 3'!OSRRefD22_7x_0</vt:lpstr>
      <vt:lpstr>'Div 4'!OSRRefD22_7x_0</vt:lpstr>
      <vt:lpstr>'Div 5'!OSRRefD22_7x_0</vt:lpstr>
      <vt:lpstr>'Div 6'!OSRRefD22_7x_0</vt:lpstr>
      <vt:lpstr>Summary!OSRRefD22_7x_0</vt:lpstr>
      <vt:lpstr>'201'!OSRRefD22_8x_0</vt:lpstr>
      <vt:lpstr>'202'!OSRRefD22_8x_0</vt:lpstr>
      <vt:lpstr>'203'!OSRRefD22_8x_0</vt:lpstr>
      <vt:lpstr>'300'!OSRRefD22_8x_0</vt:lpstr>
      <vt:lpstr>'300 &amp; 317'!OSRRefD22_8x_0</vt:lpstr>
      <vt:lpstr>'301'!OSRRefD22_8x_0</vt:lpstr>
      <vt:lpstr>'307'!OSRRefD22_8x_0</vt:lpstr>
      <vt:lpstr>'308'!OSRRefD22_8x_0</vt:lpstr>
      <vt:lpstr>'310'!OSRRefD22_8x_0</vt:lpstr>
      <vt:lpstr>'310 &amp; 491'!OSRRefD22_8x_0</vt:lpstr>
      <vt:lpstr>'311'!OSRRefD22_8x_0</vt:lpstr>
      <vt:lpstr>'315'!OSRRefD22_8x_0</vt:lpstr>
      <vt:lpstr>'316'!OSRRefD22_8x_0</vt:lpstr>
      <vt:lpstr>'317'!OSRRefD22_8x_0</vt:lpstr>
      <vt:lpstr>'325'!OSRRefD22_8x_0</vt:lpstr>
      <vt:lpstr>'326'!OSRRefD22_8x_0</vt:lpstr>
      <vt:lpstr>'330'!OSRRefD22_8x_0</vt:lpstr>
      <vt:lpstr>'331'!OSRRefD22_8x_0</vt:lpstr>
      <vt:lpstr>'332'!OSRRefD22_8x_0</vt:lpstr>
      <vt:lpstr>'405'!OSRRefD22_8x_0</vt:lpstr>
      <vt:lpstr>'411'!OSRRefD22_8x_0</vt:lpstr>
      <vt:lpstr>'415'!OSRRefD22_8x_0</vt:lpstr>
      <vt:lpstr>'418'!OSRRefD22_8x_0</vt:lpstr>
      <vt:lpstr>'433'!OSRRefD22_8x_0</vt:lpstr>
      <vt:lpstr>'444'!OSRRefD22_8x_0</vt:lpstr>
      <vt:lpstr>'450'!OSRRefD22_8x_0</vt:lpstr>
      <vt:lpstr>'491'!OSRRefD22_8x_0</vt:lpstr>
      <vt:lpstr>'492'!OSRRefD22_8x_0</vt:lpstr>
      <vt:lpstr>'501'!OSRRefD22_8x_0</vt:lpstr>
      <vt:lpstr>'Div 2'!OSRRefD22_8x_0</vt:lpstr>
      <vt:lpstr>'Div 3'!OSRRefD22_8x_0</vt:lpstr>
      <vt:lpstr>'Div 4'!OSRRefD22_8x_0</vt:lpstr>
      <vt:lpstr>'Div 5'!OSRRefD22_8x_0</vt:lpstr>
      <vt:lpstr>'Div 6'!OSRRefD22_8x_0</vt:lpstr>
      <vt:lpstr>Summary!OSRRefD22_8x_0</vt:lpstr>
      <vt:lpstr>'201'!OSRRefD22_9x_0</vt:lpstr>
      <vt:lpstr>'202'!OSRRefD22_9x_0</vt:lpstr>
      <vt:lpstr>'203'!OSRRefD22_9x_0</vt:lpstr>
      <vt:lpstr>'300'!OSRRefD22_9x_0</vt:lpstr>
      <vt:lpstr>'300 &amp; 317'!OSRRefD22_9x_0</vt:lpstr>
      <vt:lpstr>'301'!OSRRefD22_9x_0</vt:lpstr>
      <vt:lpstr>'307'!OSRRefD22_9x_0</vt:lpstr>
      <vt:lpstr>'308'!OSRRefD22_9x_0</vt:lpstr>
      <vt:lpstr>'310'!OSRRefD22_9x_0</vt:lpstr>
      <vt:lpstr>'310 &amp; 491'!OSRRefD22_9x_0</vt:lpstr>
      <vt:lpstr>'311'!OSRRefD22_9x_0</vt:lpstr>
      <vt:lpstr>'315'!OSRRefD22_9x_0</vt:lpstr>
      <vt:lpstr>'316'!OSRRefD22_9x_0</vt:lpstr>
      <vt:lpstr>'317'!OSRRefD22_9x_0</vt:lpstr>
      <vt:lpstr>'325'!OSRRefD22_9x_0</vt:lpstr>
      <vt:lpstr>'326'!OSRRefD22_9x_0</vt:lpstr>
      <vt:lpstr>'330'!OSRRefD22_9x_0</vt:lpstr>
      <vt:lpstr>'331'!OSRRefD22_9x_0</vt:lpstr>
      <vt:lpstr>'332'!OSRRefD22_9x_0</vt:lpstr>
      <vt:lpstr>'405'!OSRRefD22_9x_0</vt:lpstr>
      <vt:lpstr>'411'!OSRRefD22_9x_0</vt:lpstr>
      <vt:lpstr>'415'!OSRRefD22_9x_0</vt:lpstr>
      <vt:lpstr>'418'!OSRRefD22_9x_0</vt:lpstr>
      <vt:lpstr>'433'!OSRRefD22_9x_0</vt:lpstr>
      <vt:lpstr>'444'!OSRRefD22_9x_0</vt:lpstr>
      <vt:lpstr>'450'!OSRRefD22_9x_0</vt:lpstr>
      <vt:lpstr>'491'!OSRRefD22_9x_0</vt:lpstr>
      <vt:lpstr>'492'!OSRRefD22_9x_0</vt:lpstr>
      <vt:lpstr>'501'!OSRRefD22_9x_0</vt:lpstr>
      <vt:lpstr>'Div 2'!OSRRefD22_9x_0</vt:lpstr>
      <vt:lpstr>'Div 3'!OSRRefD22_9x_0</vt:lpstr>
      <vt:lpstr>'Div 4'!OSRRefD22_9x_0</vt:lpstr>
      <vt:lpstr>'Div 5'!OSRRefD22_9x_0</vt:lpstr>
      <vt:lpstr>'Div 6'!OSRRefD22_9x_0</vt:lpstr>
      <vt:lpstr>Summary!OSRRefD22_9x_0</vt:lpstr>
      <vt:lpstr>'200'!OSRRefD22x_0</vt:lpstr>
      <vt:lpstr>'201'!OSRRefD22x_0</vt:lpstr>
      <vt:lpstr>'202'!OSRRefD22x_0</vt:lpstr>
      <vt:lpstr>'203'!OSRRefD22x_0</vt:lpstr>
      <vt:lpstr>'204'!OSRRefD22x_0</vt:lpstr>
      <vt:lpstr>'205'!OSRRefD22x_0</vt:lpstr>
      <vt:lpstr>'206'!OSRRefD22x_0</vt:lpstr>
      <vt:lpstr>'300'!OSRRefD22x_0</vt:lpstr>
      <vt:lpstr>'300 &amp; 317'!OSRRefD22x_0</vt:lpstr>
      <vt:lpstr>'301'!OSRRefD22x_0</vt:lpstr>
      <vt:lpstr>'307'!OSRRefD22x_0</vt:lpstr>
      <vt:lpstr>'308'!OSRRefD22x_0</vt:lpstr>
      <vt:lpstr>'309'!OSRRefD22x_0</vt:lpstr>
      <vt:lpstr>'310'!OSRRefD22x_0</vt:lpstr>
      <vt:lpstr>'310 &amp; 491'!OSRRefD22x_0</vt:lpstr>
      <vt:lpstr>'311'!OSRRefD22x_0</vt:lpstr>
      <vt:lpstr>'313'!OSRRefD22x_0</vt:lpstr>
      <vt:lpstr>'315'!OSRRefD22x_0</vt:lpstr>
      <vt:lpstr>'316'!OSRRefD22x_0</vt:lpstr>
      <vt:lpstr>'317'!OSRRefD22x_0</vt:lpstr>
      <vt:lpstr>'321'!OSRRefD22x_0</vt:lpstr>
      <vt:lpstr>'325'!OSRRefD22x_0</vt:lpstr>
      <vt:lpstr>'326'!OSRRefD22x_0</vt:lpstr>
      <vt:lpstr>'330'!OSRRefD22x_0</vt:lpstr>
      <vt:lpstr>'331'!OSRRefD22x_0</vt:lpstr>
      <vt:lpstr>'332'!OSRRefD22x_0</vt:lpstr>
      <vt:lpstr>'405'!OSRRefD22x_0</vt:lpstr>
      <vt:lpstr>'411'!OSRRefD22x_0</vt:lpstr>
      <vt:lpstr>'412'!OSRRefD22x_0</vt:lpstr>
      <vt:lpstr>'413'!OSRRefD22x_0</vt:lpstr>
      <vt:lpstr>'415'!OSRRefD22x_0</vt:lpstr>
      <vt:lpstr>'418'!OSRRefD22x_0</vt:lpstr>
      <vt:lpstr>'423'!OSRRefD22x_0</vt:lpstr>
      <vt:lpstr>'424'!OSRRefD22x_0</vt:lpstr>
      <vt:lpstr>'425'!OSRRefD22x_0</vt:lpstr>
      <vt:lpstr>'430'!OSRRefD22x_0</vt:lpstr>
      <vt:lpstr>'433'!OSRRefD22x_0</vt:lpstr>
      <vt:lpstr>'444'!OSRRefD22x_0</vt:lpstr>
      <vt:lpstr>'450'!OSRRefD22x_0</vt:lpstr>
      <vt:lpstr>'491'!OSRRefD22x_0</vt:lpstr>
      <vt:lpstr>'492'!OSRRefD22x_0</vt:lpstr>
      <vt:lpstr>'501'!OSRRefD22x_0</vt:lpstr>
      <vt:lpstr>'Div 2'!OSRRefD22x_0</vt:lpstr>
      <vt:lpstr>'Div 3'!OSRRefD22x_0</vt:lpstr>
      <vt:lpstr>'Div 4'!OSRRefD22x_0</vt:lpstr>
      <vt:lpstr>'Div 5'!OSRRefD22x_0</vt:lpstr>
      <vt:lpstr>'Div 6'!OSRRefD22x_0</vt:lpstr>
      <vt:lpstr>Summary!OSRRefD22x_0</vt:lpstr>
      <vt:lpstr>'300'!OSRRefD25x_0</vt:lpstr>
      <vt:lpstr>'300 &amp; 317'!OSRRefD25x_0</vt:lpstr>
      <vt:lpstr>'301'!OSRRefD25x_0</vt:lpstr>
      <vt:lpstr>'308'!OSRRefD25x_0</vt:lpstr>
      <vt:lpstr>'310 &amp; 491'!OSRRefD25x_0</vt:lpstr>
      <vt:lpstr>'311'!OSRRefD25x_0</vt:lpstr>
      <vt:lpstr>'315'!OSRRefD25x_0</vt:lpstr>
      <vt:lpstr>'316'!OSRRefD25x_0</vt:lpstr>
      <vt:lpstr>'317'!OSRRefD25x_0</vt:lpstr>
      <vt:lpstr>'331'!OSRRefD25x_0</vt:lpstr>
      <vt:lpstr>'332'!OSRRefD25x_0</vt:lpstr>
      <vt:lpstr>'411'!OSRRefD25x_0</vt:lpstr>
      <vt:lpstr>'415'!OSRRefD25x_0</vt:lpstr>
      <vt:lpstr>'455'!OSRRefD25x_0</vt:lpstr>
      <vt:lpstr>'491'!OSRRefD25x_0</vt:lpstr>
      <vt:lpstr>'501'!OSRRefD25x_0</vt:lpstr>
      <vt:lpstr>'Div 3'!OSRRefD25x_0</vt:lpstr>
      <vt:lpstr>'Div 4'!OSRRefD25x_0</vt:lpstr>
      <vt:lpstr>'Div 5'!OSRRefD25x_0</vt:lpstr>
      <vt:lpstr>'Div 6'!OSRRefD25x_0</vt:lpstr>
      <vt:lpstr>Summary!OSRRefD25x_0</vt:lpstr>
      <vt:lpstr>'300'!OSRRefH13x_0</vt:lpstr>
      <vt:lpstr>'300 &amp; 317'!OSRRefH13x_0</vt:lpstr>
      <vt:lpstr>'307'!OSRRefH13x_0</vt:lpstr>
      <vt:lpstr>'308'!OSRRefH13x_0</vt:lpstr>
      <vt:lpstr>'310'!OSRRefH13x_0</vt:lpstr>
      <vt:lpstr>'310 &amp; 491'!OSRRefH13x_0</vt:lpstr>
      <vt:lpstr>'311'!OSRRefH13x_0</vt:lpstr>
      <vt:lpstr>'315'!OSRRefH13x_0</vt:lpstr>
      <vt:lpstr>'316'!OSRRefH13x_0</vt:lpstr>
      <vt:lpstr>'317'!OSRRefH13x_0</vt:lpstr>
      <vt:lpstr>'321'!OSRRefH13x_0</vt:lpstr>
      <vt:lpstr>'324'!OSRRefH13x_0</vt:lpstr>
      <vt:lpstr>'325'!OSRRefH13x_0</vt:lpstr>
      <vt:lpstr>'326'!OSRRefH13x_0</vt:lpstr>
      <vt:lpstr>'330'!OSRRefH13x_0</vt:lpstr>
      <vt:lpstr>'331'!OSRRefH13x_0</vt:lpstr>
      <vt:lpstr>'332'!OSRRefH13x_0</vt:lpstr>
      <vt:lpstr>'415'!OSRRefH13x_0</vt:lpstr>
      <vt:lpstr>'418'!OSRRefH13x_0</vt:lpstr>
      <vt:lpstr>'444'!OSRRefH13x_0</vt:lpstr>
      <vt:lpstr>'491'!OSRRefH13x_0</vt:lpstr>
      <vt:lpstr>'492'!OSRRefH13x_0</vt:lpstr>
      <vt:lpstr>'501'!OSRRefH13x_0</vt:lpstr>
      <vt:lpstr>'Div 3'!OSRRefH13x_0</vt:lpstr>
      <vt:lpstr>'Div 4'!OSRRefH13x_0</vt:lpstr>
      <vt:lpstr>'Div 5'!OSRRefH13x_0</vt:lpstr>
      <vt:lpstr>'Div 6'!OSRRefH13x_0</vt:lpstr>
      <vt:lpstr>Summary!OSRRefH13x_0</vt:lpstr>
      <vt:lpstr>'300'!OSRRefH16x_0</vt:lpstr>
      <vt:lpstr>'300 &amp; 317'!OSRRefH16x_0</vt:lpstr>
      <vt:lpstr>'307'!OSRRefH16x_0</vt:lpstr>
      <vt:lpstr>'308'!OSRRefH16x_0</vt:lpstr>
      <vt:lpstr>'310'!OSRRefH16x_0</vt:lpstr>
      <vt:lpstr>'310 &amp; 491'!OSRRefH16x_0</vt:lpstr>
      <vt:lpstr>'311'!OSRRefH16x_0</vt:lpstr>
      <vt:lpstr>'315'!OSRRefH16x_0</vt:lpstr>
      <vt:lpstr>'316'!OSRRefH16x_0</vt:lpstr>
      <vt:lpstr>'317'!OSRRefH16x_0</vt:lpstr>
      <vt:lpstr>'321'!OSRRefH16x_0</vt:lpstr>
      <vt:lpstr>'324'!OSRRefH16x_0</vt:lpstr>
      <vt:lpstr>'325'!OSRRefH16x_0</vt:lpstr>
      <vt:lpstr>'326'!OSRRefH16x_0</vt:lpstr>
      <vt:lpstr>'330'!OSRRefH16x_0</vt:lpstr>
      <vt:lpstr>'331'!OSRRefH16x_0</vt:lpstr>
      <vt:lpstr>'332'!OSRRefH16x_0</vt:lpstr>
      <vt:lpstr>'405'!OSRRefH16x_0</vt:lpstr>
      <vt:lpstr>'415'!OSRRefH16x_0</vt:lpstr>
      <vt:lpstr>'418'!OSRRefH16x_0</vt:lpstr>
      <vt:lpstr>'425'!OSRRefH16x_0</vt:lpstr>
      <vt:lpstr>'444'!OSRRefH16x_0</vt:lpstr>
      <vt:lpstr>'491'!OSRRefH16x_0</vt:lpstr>
      <vt:lpstr>'492'!OSRRefH16x_0</vt:lpstr>
      <vt:lpstr>'Div 3'!OSRRefH16x_0</vt:lpstr>
      <vt:lpstr>'Div 4'!OSRRefH16x_0</vt:lpstr>
      <vt:lpstr>'Div 6'!OSRRefH16x_0</vt:lpstr>
      <vt:lpstr>Summary!OSRRefH16x_0</vt:lpstr>
      <vt:lpstr>'200'!OSRRefH22_0x_0</vt:lpstr>
      <vt:lpstr>'201'!OSRRefH22_0x_0</vt:lpstr>
      <vt:lpstr>'202'!OSRRefH22_0x_0</vt:lpstr>
      <vt:lpstr>'203'!OSRRefH22_0x_0</vt:lpstr>
      <vt:lpstr>'204'!OSRRefH22_0x_0</vt:lpstr>
      <vt:lpstr>'205'!OSRRefH22_0x_0</vt:lpstr>
      <vt:lpstr>'206'!OSRRefH22_0x_0</vt:lpstr>
      <vt:lpstr>'300'!OSRRefH22_0x_0</vt:lpstr>
      <vt:lpstr>'300 &amp; 317'!OSRRefH22_0x_0</vt:lpstr>
      <vt:lpstr>'301'!OSRRefH22_0x_0</vt:lpstr>
      <vt:lpstr>'307'!OSRRefH22_0x_0</vt:lpstr>
      <vt:lpstr>'308'!OSRRefH22_0x_0</vt:lpstr>
      <vt:lpstr>'309'!OSRRefH22_0x_0</vt:lpstr>
      <vt:lpstr>'310'!OSRRefH22_0x_0</vt:lpstr>
      <vt:lpstr>'310 &amp; 491'!OSRRefH22_0x_0</vt:lpstr>
      <vt:lpstr>'311'!OSRRefH22_0x_0</vt:lpstr>
      <vt:lpstr>'313'!OSRRefH22_0x_0</vt:lpstr>
      <vt:lpstr>'315'!OSRRefH22_0x_0</vt:lpstr>
      <vt:lpstr>'316'!OSRRefH22_0x_0</vt:lpstr>
      <vt:lpstr>'317'!OSRRefH22_0x_0</vt:lpstr>
      <vt:lpstr>'321'!OSRRefH22_0x_0</vt:lpstr>
      <vt:lpstr>'325'!OSRRefH22_0x_0</vt:lpstr>
      <vt:lpstr>'326'!OSRRefH22_0x_0</vt:lpstr>
      <vt:lpstr>'330'!OSRRefH22_0x_0</vt:lpstr>
      <vt:lpstr>'331'!OSRRefH22_0x_0</vt:lpstr>
      <vt:lpstr>'332'!OSRRefH22_0x_0</vt:lpstr>
      <vt:lpstr>'405'!OSRRefH22_0x_0</vt:lpstr>
      <vt:lpstr>'411'!OSRRefH22_0x_0</vt:lpstr>
      <vt:lpstr>'412'!OSRRefH22_0x_0</vt:lpstr>
      <vt:lpstr>'413'!OSRRefH22_0x_0</vt:lpstr>
      <vt:lpstr>'415'!OSRRefH22_0x_0</vt:lpstr>
      <vt:lpstr>'418'!OSRRefH22_0x_0</vt:lpstr>
      <vt:lpstr>'423'!OSRRefH22_0x_0</vt:lpstr>
      <vt:lpstr>'424'!OSRRefH22_0x_0</vt:lpstr>
      <vt:lpstr>'425'!OSRRefH22_0x_0</vt:lpstr>
      <vt:lpstr>'430'!OSRRefH22_0x_0</vt:lpstr>
      <vt:lpstr>'433'!OSRRefH22_0x_0</vt:lpstr>
      <vt:lpstr>'444'!OSRRefH22_0x_0</vt:lpstr>
      <vt:lpstr>'450'!OSRRefH22_0x_0</vt:lpstr>
      <vt:lpstr>'491'!OSRRefH22_0x_0</vt:lpstr>
      <vt:lpstr>'492'!OSRRefH22_0x_0</vt:lpstr>
      <vt:lpstr>'501'!OSRRefH22_0x_0</vt:lpstr>
      <vt:lpstr>'Div 2'!OSRRefH22_0x_0</vt:lpstr>
      <vt:lpstr>'Div 3'!OSRRefH22_0x_0</vt:lpstr>
      <vt:lpstr>'Div 4'!OSRRefH22_0x_0</vt:lpstr>
      <vt:lpstr>'Div 5'!OSRRefH22_0x_0</vt:lpstr>
      <vt:lpstr>'Div 6'!OSRRefH22_0x_0</vt:lpstr>
      <vt:lpstr>Summary!OSRRefH22_0x_0</vt:lpstr>
      <vt:lpstr>'201'!OSRRefH22_10x_0</vt:lpstr>
      <vt:lpstr>'202'!OSRRefH22_10x_0</vt:lpstr>
      <vt:lpstr>'203'!OSRRefH22_10x_0</vt:lpstr>
      <vt:lpstr>'300'!OSRRefH22_10x_0</vt:lpstr>
      <vt:lpstr>'300 &amp; 317'!OSRRefH22_10x_0</vt:lpstr>
      <vt:lpstr>'301'!OSRRefH22_10x_0</vt:lpstr>
      <vt:lpstr>'308'!OSRRefH22_10x_0</vt:lpstr>
      <vt:lpstr>'310'!OSRRefH22_10x_0</vt:lpstr>
      <vt:lpstr>'310 &amp; 491'!OSRRefH22_10x_0</vt:lpstr>
      <vt:lpstr>'311'!OSRRefH22_10x_0</vt:lpstr>
      <vt:lpstr>'315'!OSRRefH22_10x_0</vt:lpstr>
      <vt:lpstr>'325'!OSRRefH22_10x_0</vt:lpstr>
      <vt:lpstr>'326'!OSRRefH22_10x_0</vt:lpstr>
      <vt:lpstr>'331'!OSRRefH22_10x_0</vt:lpstr>
      <vt:lpstr>'405'!OSRRefH22_10x_0</vt:lpstr>
      <vt:lpstr>'411'!OSRRefH22_10x_0</vt:lpstr>
      <vt:lpstr>'415'!OSRRefH22_10x_0</vt:lpstr>
      <vt:lpstr>'418'!OSRRefH22_10x_0</vt:lpstr>
      <vt:lpstr>'433'!OSRRefH22_10x_0</vt:lpstr>
      <vt:lpstr>'444'!OSRRefH22_10x_0</vt:lpstr>
      <vt:lpstr>'450'!OSRRefH22_10x_0</vt:lpstr>
      <vt:lpstr>'491'!OSRRefH22_10x_0</vt:lpstr>
      <vt:lpstr>'492'!OSRRefH22_10x_0</vt:lpstr>
      <vt:lpstr>'501'!OSRRefH22_10x_0</vt:lpstr>
      <vt:lpstr>'Div 2'!OSRRefH22_10x_0</vt:lpstr>
      <vt:lpstr>'Div 3'!OSRRefH22_10x_0</vt:lpstr>
      <vt:lpstr>'Div 4'!OSRRefH22_10x_0</vt:lpstr>
      <vt:lpstr>'Div 5'!OSRRefH22_10x_0</vt:lpstr>
      <vt:lpstr>Summary!OSRRefH22_10x_0</vt:lpstr>
      <vt:lpstr>'203'!OSRRefH22_11x_0</vt:lpstr>
      <vt:lpstr>'300'!OSRRefH22_11x_0</vt:lpstr>
      <vt:lpstr>'300 &amp; 317'!OSRRefH22_11x_0</vt:lpstr>
      <vt:lpstr>'301'!OSRRefH22_11x_0</vt:lpstr>
      <vt:lpstr>'308'!OSRRefH22_11x_0</vt:lpstr>
      <vt:lpstr>'310'!OSRRefH22_11x_0</vt:lpstr>
      <vt:lpstr>'310 &amp; 491'!OSRRefH22_11x_0</vt:lpstr>
      <vt:lpstr>'311'!OSRRefH22_11x_0</vt:lpstr>
      <vt:lpstr>'315'!OSRRefH22_11x_0</vt:lpstr>
      <vt:lpstr>'325'!OSRRefH22_11x_0</vt:lpstr>
      <vt:lpstr>'326'!OSRRefH22_11x_0</vt:lpstr>
      <vt:lpstr>'331'!OSRRefH22_11x_0</vt:lpstr>
      <vt:lpstr>'411'!OSRRefH22_11x_0</vt:lpstr>
      <vt:lpstr>'415'!OSRRefH22_11x_0</vt:lpstr>
      <vt:lpstr>'418'!OSRRefH22_11x_0</vt:lpstr>
      <vt:lpstr>'433'!OSRRefH22_11x_0</vt:lpstr>
      <vt:lpstr>'444'!OSRRefH22_11x_0</vt:lpstr>
      <vt:lpstr>'450'!OSRRefH22_11x_0</vt:lpstr>
      <vt:lpstr>'491'!OSRRefH22_11x_0</vt:lpstr>
      <vt:lpstr>'492'!OSRRefH22_11x_0</vt:lpstr>
      <vt:lpstr>'501'!OSRRefH22_11x_0</vt:lpstr>
      <vt:lpstr>'Div 2'!OSRRefH22_11x_0</vt:lpstr>
      <vt:lpstr>'Div 3'!OSRRefH22_11x_0</vt:lpstr>
      <vt:lpstr>'Div 4'!OSRRefH22_11x_0</vt:lpstr>
      <vt:lpstr>'Div 5'!OSRRefH22_11x_0</vt:lpstr>
      <vt:lpstr>Summary!OSRRefH22_11x_0</vt:lpstr>
      <vt:lpstr>'203'!OSRRefH22_12x_0</vt:lpstr>
      <vt:lpstr>'300'!OSRRefH22_12x_0</vt:lpstr>
      <vt:lpstr>'300 &amp; 317'!OSRRefH22_12x_0</vt:lpstr>
      <vt:lpstr>'301'!OSRRefH22_12x_0</vt:lpstr>
      <vt:lpstr>'310'!OSRRefH22_12x_0</vt:lpstr>
      <vt:lpstr>'310 &amp; 491'!OSRRefH22_12x_0</vt:lpstr>
      <vt:lpstr>'315'!OSRRefH22_12x_0</vt:lpstr>
      <vt:lpstr>'326'!OSRRefH22_12x_0</vt:lpstr>
      <vt:lpstr>'331'!OSRRefH22_12x_0</vt:lpstr>
      <vt:lpstr>'411'!OSRRefH22_12x_0</vt:lpstr>
      <vt:lpstr>'415'!OSRRefH22_12x_0</vt:lpstr>
      <vt:lpstr>'418'!OSRRefH22_12x_0</vt:lpstr>
      <vt:lpstr>'444'!OSRRefH22_12x_0</vt:lpstr>
      <vt:lpstr>'491'!OSRRefH22_12x_0</vt:lpstr>
      <vt:lpstr>'492'!OSRRefH22_12x_0</vt:lpstr>
      <vt:lpstr>'501'!OSRRefH22_12x_0</vt:lpstr>
      <vt:lpstr>'Div 2'!OSRRefH22_12x_0</vt:lpstr>
      <vt:lpstr>'Div 3'!OSRRefH22_12x_0</vt:lpstr>
      <vt:lpstr>'Div 4'!OSRRefH22_12x_0</vt:lpstr>
      <vt:lpstr>'Div 5'!OSRRefH22_12x_0</vt:lpstr>
      <vt:lpstr>Summary!OSRRefH22_12x_0</vt:lpstr>
      <vt:lpstr>'203'!OSRRefH22_13x_0</vt:lpstr>
      <vt:lpstr>'300'!OSRRefH22_13x_0</vt:lpstr>
      <vt:lpstr>'300 &amp; 317'!OSRRefH22_13x_0</vt:lpstr>
      <vt:lpstr>'301'!OSRRefH22_13x_0</vt:lpstr>
      <vt:lpstr>'310'!OSRRefH22_13x_0</vt:lpstr>
      <vt:lpstr>'310 &amp; 491'!OSRRefH22_13x_0</vt:lpstr>
      <vt:lpstr>'315'!OSRRefH22_13x_0</vt:lpstr>
      <vt:lpstr>'326'!OSRRefH22_13x_0</vt:lpstr>
      <vt:lpstr>'331'!OSRRefH22_13x_0</vt:lpstr>
      <vt:lpstr>'415'!OSRRefH22_13x_0</vt:lpstr>
      <vt:lpstr>'444'!OSRRefH22_13x_0</vt:lpstr>
      <vt:lpstr>'491'!OSRRefH22_13x_0</vt:lpstr>
      <vt:lpstr>'492'!OSRRefH22_13x_0</vt:lpstr>
      <vt:lpstr>'Div 2'!OSRRefH22_13x_0</vt:lpstr>
      <vt:lpstr>'Div 3'!OSRRefH22_13x_0</vt:lpstr>
      <vt:lpstr>'Div 4'!OSRRefH22_13x_0</vt:lpstr>
      <vt:lpstr>Summary!OSRRefH22_13x_0</vt:lpstr>
      <vt:lpstr>'300'!OSRRefH22_14x_0</vt:lpstr>
      <vt:lpstr>'300 &amp; 317'!OSRRefH22_14x_0</vt:lpstr>
      <vt:lpstr>'301'!OSRRefH22_14x_0</vt:lpstr>
      <vt:lpstr>'310 &amp; 491'!OSRRefH22_14x_0</vt:lpstr>
      <vt:lpstr>'315'!OSRRefH22_14x_0</vt:lpstr>
      <vt:lpstr>'326'!OSRRefH22_14x_0</vt:lpstr>
      <vt:lpstr>'331'!OSRRefH22_14x_0</vt:lpstr>
      <vt:lpstr>'415'!OSRRefH22_14x_0</vt:lpstr>
      <vt:lpstr>'491'!OSRRefH22_14x_0</vt:lpstr>
      <vt:lpstr>'492'!OSRRefH22_14x_0</vt:lpstr>
      <vt:lpstr>'Div 2'!OSRRefH22_14x_0</vt:lpstr>
      <vt:lpstr>'Div 3'!OSRRefH22_14x_0</vt:lpstr>
      <vt:lpstr>'Div 4'!OSRRefH22_14x_0</vt:lpstr>
      <vt:lpstr>Summary!OSRRefH22_14x_0</vt:lpstr>
      <vt:lpstr>'300'!OSRRefH22_15x_0</vt:lpstr>
      <vt:lpstr>'300 &amp; 317'!OSRRefH22_15x_0</vt:lpstr>
      <vt:lpstr>'301'!OSRRefH22_15x_0</vt:lpstr>
      <vt:lpstr>'310 &amp; 491'!OSRRefH22_15x_0</vt:lpstr>
      <vt:lpstr>'315'!OSRRefH22_15x_0</vt:lpstr>
      <vt:lpstr>'326'!OSRRefH22_15x_0</vt:lpstr>
      <vt:lpstr>'331'!OSRRefH22_15x_0</vt:lpstr>
      <vt:lpstr>'415'!OSRRefH22_15x_0</vt:lpstr>
      <vt:lpstr>'491'!OSRRefH22_15x_0</vt:lpstr>
      <vt:lpstr>'492'!OSRRefH22_15x_0</vt:lpstr>
      <vt:lpstr>'Div 2'!OSRRefH22_15x_0</vt:lpstr>
      <vt:lpstr>'Div 3'!OSRRefH22_15x_0</vt:lpstr>
      <vt:lpstr>'Div 4'!OSRRefH22_15x_0</vt:lpstr>
      <vt:lpstr>Summary!OSRRefH22_15x_0</vt:lpstr>
      <vt:lpstr>'300'!OSRRefH22_16x_0</vt:lpstr>
      <vt:lpstr>'300 &amp; 317'!OSRRefH22_16x_0</vt:lpstr>
      <vt:lpstr>'301'!OSRRefH22_16x_0</vt:lpstr>
      <vt:lpstr>'310 &amp; 491'!OSRRefH22_16x_0</vt:lpstr>
      <vt:lpstr>'326'!OSRRefH22_16x_0</vt:lpstr>
      <vt:lpstr>'331'!OSRRefH22_16x_0</vt:lpstr>
      <vt:lpstr>'415'!OSRRefH22_16x_0</vt:lpstr>
      <vt:lpstr>'491'!OSRRefH22_16x_0</vt:lpstr>
      <vt:lpstr>'Div 2'!OSRRefH22_16x_0</vt:lpstr>
      <vt:lpstr>'Div 3'!OSRRefH22_16x_0</vt:lpstr>
      <vt:lpstr>'Div 4'!OSRRefH22_16x_0</vt:lpstr>
      <vt:lpstr>Summary!OSRRefH22_16x_0</vt:lpstr>
      <vt:lpstr>'300'!OSRRefH22_17x_0</vt:lpstr>
      <vt:lpstr>'300 &amp; 317'!OSRRefH22_17x_0</vt:lpstr>
      <vt:lpstr>'301'!OSRRefH22_17x_0</vt:lpstr>
      <vt:lpstr>'310 &amp; 491'!OSRRefH22_17x_0</vt:lpstr>
      <vt:lpstr>'326'!OSRRefH22_17x_0</vt:lpstr>
      <vt:lpstr>'331'!OSRRefH22_17x_0</vt:lpstr>
      <vt:lpstr>'491'!OSRRefH22_17x_0</vt:lpstr>
      <vt:lpstr>'Div 2'!OSRRefH22_17x_0</vt:lpstr>
      <vt:lpstr>'Div 3'!OSRRefH22_17x_0</vt:lpstr>
      <vt:lpstr>'Div 4'!OSRRefH22_17x_0</vt:lpstr>
      <vt:lpstr>Summary!OSRRefH22_17x_0</vt:lpstr>
      <vt:lpstr>'300'!OSRRefH22_18x_0</vt:lpstr>
      <vt:lpstr>'300 &amp; 317'!OSRRefH22_18x_0</vt:lpstr>
      <vt:lpstr>'301'!OSRRefH22_18x_0</vt:lpstr>
      <vt:lpstr>'310 &amp; 491'!OSRRefH22_18x_0</vt:lpstr>
      <vt:lpstr>'331'!OSRRefH22_18x_0</vt:lpstr>
      <vt:lpstr>'Div 2'!OSRRefH22_18x_0</vt:lpstr>
      <vt:lpstr>'Div 3'!OSRRefH22_18x_0</vt:lpstr>
      <vt:lpstr>'Div 4'!OSRRefH22_18x_0</vt:lpstr>
      <vt:lpstr>Summary!OSRRefH22_18x_0</vt:lpstr>
      <vt:lpstr>'300'!OSRRefH22_19x_0</vt:lpstr>
      <vt:lpstr>'300 &amp; 317'!OSRRefH22_19x_0</vt:lpstr>
      <vt:lpstr>'331'!OSRRefH22_19x_0</vt:lpstr>
      <vt:lpstr>'Div 2'!OSRRefH22_19x_0</vt:lpstr>
      <vt:lpstr>'Div 3'!OSRRefH22_19x_0</vt:lpstr>
      <vt:lpstr>'Div 4'!OSRRefH22_19x_0</vt:lpstr>
      <vt:lpstr>Summary!OSRRefH22_19x_0</vt:lpstr>
      <vt:lpstr>'200'!OSRRefH22_1x_0</vt:lpstr>
      <vt:lpstr>'201'!OSRRefH22_1x_0</vt:lpstr>
      <vt:lpstr>'202'!OSRRefH22_1x_0</vt:lpstr>
      <vt:lpstr>'203'!OSRRefH22_1x_0</vt:lpstr>
      <vt:lpstr>'204'!OSRRefH22_1x_0</vt:lpstr>
      <vt:lpstr>'205'!OSRRefH22_1x_0</vt:lpstr>
      <vt:lpstr>'206'!OSRRefH22_1x_0</vt:lpstr>
      <vt:lpstr>'300'!OSRRefH22_1x_0</vt:lpstr>
      <vt:lpstr>'300 &amp; 317'!OSRRefH22_1x_0</vt:lpstr>
      <vt:lpstr>'301'!OSRRefH22_1x_0</vt:lpstr>
      <vt:lpstr>'307'!OSRRefH22_1x_0</vt:lpstr>
      <vt:lpstr>'308'!OSRRefH22_1x_0</vt:lpstr>
      <vt:lpstr>'309'!OSRRefH22_1x_0</vt:lpstr>
      <vt:lpstr>'310'!OSRRefH22_1x_0</vt:lpstr>
      <vt:lpstr>'310 &amp; 491'!OSRRefH22_1x_0</vt:lpstr>
      <vt:lpstr>'311'!OSRRefH22_1x_0</vt:lpstr>
      <vt:lpstr>'315'!OSRRefH22_1x_0</vt:lpstr>
      <vt:lpstr>'316'!OSRRefH22_1x_0</vt:lpstr>
      <vt:lpstr>'317'!OSRRefH22_1x_0</vt:lpstr>
      <vt:lpstr>'321'!OSRRefH22_1x_0</vt:lpstr>
      <vt:lpstr>'325'!OSRRefH22_1x_0</vt:lpstr>
      <vt:lpstr>'326'!OSRRefH22_1x_0</vt:lpstr>
      <vt:lpstr>'330'!OSRRefH22_1x_0</vt:lpstr>
      <vt:lpstr>'331'!OSRRefH22_1x_0</vt:lpstr>
      <vt:lpstr>'332'!OSRRefH22_1x_0</vt:lpstr>
      <vt:lpstr>'405'!OSRRefH22_1x_0</vt:lpstr>
      <vt:lpstr>'411'!OSRRefH22_1x_0</vt:lpstr>
      <vt:lpstr>'412'!OSRRefH22_1x_0</vt:lpstr>
      <vt:lpstr>'413'!OSRRefH22_1x_0</vt:lpstr>
      <vt:lpstr>'415'!OSRRefH22_1x_0</vt:lpstr>
      <vt:lpstr>'418'!OSRRefH22_1x_0</vt:lpstr>
      <vt:lpstr>'423'!OSRRefH22_1x_0</vt:lpstr>
      <vt:lpstr>'424'!OSRRefH22_1x_0</vt:lpstr>
      <vt:lpstr>'425'!OSRRefH22_1x_0</vt:lpstr>
      <vt:lpstr>'430'!OSRRefH22_1x_0</vt:lpstr>
      <vt:lpstr>'433'!OSRRefH22_1x_0</vt:lpstr>
      <vt:lpstr>'444'!OSRRefH22_1x_0</vt:lpstr>
      <vt:lpstr>'450'!OSRRefH22_1x_0</vt:lpstr>
      <vt:lpstr>'491'!OSRRefH22_1x_0</vt:lpstr>
      <vt:lpstr>'492'!OSRRefH22_1x_0</vt:lpstr>
      <vt:lpstr>'501'!OSRRefH22_1x_0</vt:lpstr>
      <vt:lpstr>'Div 2'!OSRRefH22_1x_0</vt:lpstr>
      <vt:lpstr>'Div 3'!OSRRefH22_1x_0</vt:lpstr>
      <vt:lpstr>'Div 4'!OSRRefH22_1x_0</vt:lpstr>
      <vt:lpstr>'Div 5'!OSRRefH22_1x_0</vt:lpstr>
      <vt:lpstr>'Div 6'!OSRRefH22_1x_0</vt:lpstr>
      <vt:lpstr>Summary!OSRRefH22_1x_0</vt:lpstr>
      <vt:lpstr>'300'!OSRRefH22_20x_0</vt:lpstr>
      <vt:lpstr>'300 &amp; 317'!OSRRefH22_20x_0</vt:lpstr>
      <vt:lpstr>'Div 3'!OSRRefH22_20x_0</vt:lpstr>
      <vt:lpstr>Summary!OSRRefH22_20x_0</vt:lpstr>
      <vt:lpstr>'300'!OSRRefH22_21x_0</vt:lpstr>
      <vt:lpstr>'300 &amp; 317'!OSRRefH22_21x_0</vt:lpstr>
      <vt:lpstr>'Div 3'!OSRRefH22_21x_0</vt:lpstr>
      <vt:lpstr>Summary!OSRRefH22_21x_0</vt:lpstr>
      <vt:lpstr>'300'!OSRRefH22_22x_0</vt:lpstr>
      <vt:lpstr>'300 &amp; 317'!OSRRefH22_22x_0</vt:lpstr>
      <vt:lpstr>'Div 3'!OSRRefH22_22x_0</vt:lpstr>
      <vt:lpstr>Summary!OSRRefH22_22x_0</vt:lpstr>
      <vt:lpstr>'300'!OSRRefH22_23x_0</vt:lpstr>
      <vt:lpstr>'300 &amp; 317'!OSRRefH22_23x_0</vt:lpstr>
      <vt:lpstr>'Div 3'!OSRRefH22_23x_0</vt:lpstr>
      <vt:lpstr>Summary!OSRRefH22_23x_0</vt:lpstr>
      <vt:lpstr>'Div 3'!OSRRefH22_24x_0</vt:lpstr>
      <vt:lpstr>Summary!OSRRefH22_24x_0</vt:lpstr>
      <vt:lpstr>Summary!OSRRefH22_25x_0</vt:lpstr>
      <vt:lpstr>Summary!OSRRefH22_26x_0</vt:lpstr>
      <vt:lpstr>'200'!OSRRefH22_2x_0</vt:lpstr>
      <vt:lpstr>'201'!OSRRefH22_2x_0</vt:lpstr>
      <vt:lpstr>'202'!OSRRefH22_2x_0</vt:lpstr>
      <vt:lpstr>'203'!OSRRefH22_2x_0</vt:lpstr>
      <vt:lpstr>'204'!OSRRefH22_2x_0</vt:lpstr>
      <vt:lpstr>'205'!OSRRefH22_2x_0</vt:lpstr>
      <vt:lpstr>'206'!OSRRefH22_2x_0</vt:lpstr>
      <vt:lpstr>'300'!OSRRefH22_2x_0</vt:lpstr>
      <vt:lpstr>'300 &amp; 317'!OSRRefH22_2x_0</vt:lpstr>
      <vt:lpstr>'301'!OSRRefH22_2x_0</vt:lpstr>
      <vt:lpstr>'307'!OSRRefH22_2x_0</vt:lpstr>
      <vt:lpstr>'308'!OSRRefH22_2x_0</vt:lpstr>
      <vt:lpstr>'309'!OSRRefH22_2x_0</vt:lpstr>
      <vt:lpstr>'310'!OSRRefH22_2x_0</vt:lpstr>
      <vt:lpstr>'310 &amp; 491'!OSRRefH22_2x_0</vt:lpstr>
      <vt:lpstr>'311'!OSRRefH22_2x_0</vt:lpstr>
      <vt:lpstr>'315'!OSRRefH22_2x_0</vt:lpstr>
      <vt:lpstr>'316'!OSRRefH22_2x_0</vt:lpstr>
      <vt:lpstr>'317'!OSRRefH22_2x_0</vt:lpstr>
      <vt:lpstr>'321'!OSRRefH22_2x_0</vt:lpstr>
      <vt:lpstr>'325'!OSRRefH22_2x_0</vt:lpstr>
      <vt:lpstr>'326'!OSRRefH22_2x_0</vt:lpstr>
      <vt:lpstr>'330'!OSRRefH22_2x_0</vt:lpstr>
      <vt:lpstr>'331'!OSRRefH22_2x_0</vt:lpstr>
      <vt:lpstr>'332'!OSRRefH22_2x_0</vt:lpstr>
      <vt:lpstr>'405'!OSRRefH22_2x_0</vt:lpstr>
      <vt:lpstr>'411'!OSRRefH22_2x_0</vt:lpstr>
      <vt:lpstr>'412'!OSRRefH22_2x_0</vt:lpstr>
      <vt:lpstr>'415'!OSRRefH22_2x_0</vt:lpstr>
      <vt:lpstr>'418'!OSRRefH22_2x_0</vt:lpstr>
      <vt:lpstr>'423'!OSRRefH22_2x_0</vt:lpstr>
      <vt:lpstr>'430'!OSRRefH22_2x_0</vt:lpstr>
      <vt:lpstr>'433'!OSRRefH22_2x_0</vt:lpstr>
      <vt:lpstr>'444'!OSRRefH22_2x_0</vt:lpstr>
      <vt:lpstr>'450'!OSRRefH22_2x_0</vt:lpstr>
      <vt:lpstr>'491'!OSRRefH22_2x_0</vt:lpstr>
      <vt:lpstr>'492'!OSRRefH22_2x_0</vt:lpstr>
      <vt:lpstr>'501'!OSRRefH22_2x_0</vt:lpstr>
      <vt:lpstr>'Div 2'!OSRRefH22_2x_0</vt:lpstr>
      <vt:lpstr>'Div 3'!OSRRefH22_2x_0</vt:lpstr>
      <vt:lpstr>'Div 4'!OSRRefH22_2x_0</vt:lpstr>
      <vt:lpstr>'Div 5'!OSRRefH22_2x_0</vt:lpstr>
      <vt:lpstr>'Div 6'!OSRRefH22_2x_0</vt:lpstr>
      <vt:lpstr>Summary!OSRRefH22_2x_0</vt:lpstr>
      <vt:lpstr>'200'!OSRRefH22_3x_0</vt:lpstr>
      <vt:lpstr>'201'!OSRRefH22_3x_0</vt:lpstr>
      <vt:lpstr>'202'!OSRRefH22_3x_0</vt:lpstr>
      <vt:lpstr>'203'!OSRRefH22_3x_0</vt:lpstr>
      <vt:lpstr>'204'!OSRRefH22_3x_0</vt:lpstr>
      <vt:lpstr>'205'!OSRRefH22_3x_0</vt:lpstr>
      <vt:lpstr>'206'!OSRRefH22_3x_0</vt:lpstr>
      <vt:lpstr>'300'!OSRRefH22_3x_0</vt:lpstr>
      <vt:lpstr>'300 &amp; 317'!OSRRefH22_3x_0</vt:lpstr>
      <vt:lpstr>'301'!OSRRefH22_3x_0</vt:lpstr>
      <vt:lpstr>'307'!OSRRefH22_3x_0</vt:lpstr>
      <vt:lpstr>'308'!OSRRefH22_3x_0</vt:lpstr>
      <vt:lpstr>'310'!OSRRefH22_3x_0</vt:lpstr>
      <vt:lpstr>'310 &amp; 491'!OSRRefH22_3x_0</vt:lpstr>
      <vt:lpstr>'311'!OSRRefH22_3x_0</vt:lpstr>
      <vt:lpstr>'315'!OSRRefH22_3x_0</vt:lpstr>
      <vt:lpstr>'316'!OSRRefH22_3x_0</vt:lpstr>
      <vt:lpstr>'317'!OSRRefH22_3x_0</vt:lpstr>
      <vt:lpstr>'321'!OSRRefH22_3x_0</vt:lpstr>
      <vt:lpstr>'325'!OSRRefH22_3x_0</vt:lpstr>
      <vt:lpstr>'326'!OSRRefH22_3x_0</vt:lpstr>
      <vt:lpstr>'330'!OSRRefH22_3x_0</vt:lpstr>
      <vt:lpstr>'331'!OSRRefH22_3x_0</vt:lpstr>
      <vt:lpstr>'332'!OSRRefH22_3x_0</vt:lpstr>
      <vt:lpstr>'405'!OSRRefH22_3x_0</vt:lpstr>
      <vt:lpstr>'411'!OSRRefH22_3x_0</vt:lpstr>
      <vt:lpstr>'415'!OSRRefH22_3x_0</vt:lpstr>
      <vt:lpstr>'418'!OSRRefH22_3x_0</vt:lpstr>
      <vt:lpstr>'423'!OSRRefH22_3x_0</vt:lpstr>
      <vt:lpstr>'430'!OSRRefH22_3x_0</vt:lpstr>
      <vt:lpstr>'433'!OSRRefH22_3x_0</vt:lpstr>
      <vt:lpstr>'444'!OSRRefH22_3x_0</vt:lpstr>
      <vt:lpstr>'450'!OSRRefH22_3x_0</vt:lpstr>
      <vt:lpstr>'491'!OSRRefH22_3x_0</vt:lpstr>
      <vt:lpstr>'492'!OSRRefH22_3x_0</vt:lpstr>
      <vt:lpstr>'501'!OSRRefH22_3x_0</vt:lpstr>
      <vt:lpstr>'Div 2'!OSRRefH22_3x_0</vt:lpstr>
      <vt:lpstr>'Div 3'!OSRRefH22_3x_0</vt:lpstr>
      <vt:lpstr>'Div 4'!OSRRefH22_3x_0</vt:lpstr>
      <vt:lpstr>'Div 5'!OSRRefH22_3x_0</vt:lpstr>
      <vt:lpstr>'Div 6'!OSRRefH22_3x_0</vt:lpstr>
      <vt:lpstr>Summary!OSRRefH22_3x_0</vt:lpstr>
      <vt:lpstr>'201'!OSRRefH22_4x_0</vt:lpstr>
      <vt:lpstr>'202'!OSRRefH22_4x_0</vt:lpstr>
      <vt:lpstr>'203'!OSRRefH22_4x_0</vt:lpstr>
      <vt:lpstr>'204'!OSRRefH22_4x_0</vt:lpstr>
      <vt:lpstr>'205'!OSRRefH22_4x_0</vt:lpstr>
      <vt:lpstr>'206'!OSRRefH22_4x_0</vt:lpstr>
      <vt:lpstr>'300'!OSRRefH22_4x_0</vt:lpstr>
      <vt:lpstr>'300 &amp; 317'!OSRRefH22_4x_0</vt:lpstr>
      <vt:lpstr>'301'!OSRRefH22_4x_0</vt:lpstr>
      <vt:lpstr>'307'!OSRRefH22_4x_0</vt:lpstr>
      <vt:lpstr>'308'!OSRRefH22_4x_0</vt:lpstr>
      <vt:lpstr>'310'!OSRRefH22_4x_0</vt:lpstr>
      <vt:lpstr>'310 &amp; 491'!OSRRefH22_4x_0</vt:lpstr>
      <vt:lpstr>'311'!OSRRefH22_4x_0</vt:lpstr>
      <vt:lpstr>'315'!OSRRefH22_4x_0</vt:lpstr>
      <vt:lpstr>'316'!OSRRefH22_4x_0</vt:lpstr>
      <vt:lpstr>'317'!OSRRefH22_4x_0</vt:lpstr>
      <vt:lpstr>'321'!OSRRefH22_4x_0</vt:lpstr>
      <vt:lpstr>'325'!OSRRefH22_4x_0</vt:lpstr>
      <vt:lpstr>'326'!OSRRefH22_4x_0</vt:lpstr>
      <vt:lpstr>'330'!OSRRefH22_4x_0</vt:lpstr>
      <vt:lpstr>'331'!OSRRefH22_4x_0</vt:lpstr>
      <vt:lpstr>'332'!OSRRefH22_4x_0</vt:lpstr>
      <vt:lpstr>'405'!OSRRefH22_4x_0</vt:lpstr>
      <vt:lpstr>'411'!OSRRefH22_4x_0</vt:lpstr>
      <vt:lpstr>'415'!OSRRefH22_4x_0</vt:lpstr>
      <vt:lpstr>'418'!OSRRefH22_4x_0</vt:lpstr>
      <vt:lpstr>'423'!OSRRefH22_4x_0</vt:lpstr>
      <vt:lpstr>'430'!OSRRefH22_4x_0</vt:lpstr>
      <vt:lpstr>'433'!OSRRefH22_4x_0</vt:lpstr>
      <vt:lpstr>'444'!OSRRefH22_4x_0</vt:lpstr>
      <vt:lpstr>'450'!OSRRefH22_4x_0</vt:lpstr>
      <vt:lpstr>'491'!OSRRefH22_4x_0</vt:lpstr>
      <vt:lpstr>'492'!OSRRefH22_4x_0</vt:lpstr>
      <vt:lpstr>'501'!OSRRefH22_4x_0</vt:lpstr>
      <vt:lpstr>'Div 2'!OSRRefH22_4x_0</vt:lpstr>
      <vt:lpstr>'Div 3'!OSRRefH22_4x_0</vt:lpstr>
      <vt:lpstr>'Div 4'!OSRRefH22_4x_0</vt:lpstr>
      <vt:lpstr>'Div 5'!OSRRefH22_4x_0</vt:lpstr>
      <vt:lpstr>'Div 6'!OSRRefH22_4x_0</vt:lpstr>
      <vt:lpstr>Summary!OSRRefH22_4x_0</vt:lpstr>
      <vt:lpstr>'201'!OSRRefH22_5x_0</vt:lpstr>
      <vt:lpstr>'202'!OSRRefH22_5x_0</vt:lpstr>
      <vt:lpstr>'203'!OSRRefH22_5x_0</vt:lpstr>
      <vt:lpstr>'204'!OSRRefH22_5x_0</vt:lpstr>
      <vt:lpstr>'205'!OSRRefH22_5x_0</vt:lpstr>
      <vt:lpstr>'206'!OSRRefH22_5x_0</vt:lpstr>
      <vt:lpstr>'300'!OSRRefH22_5x_0</vt:lpstr>
      <vt:lpstr>'300 &amp; 317'!OSRRefH22_5x_0</vt:lpstr>
      <vt:lpstr>'301'!OSRRefH22_5x_0</vt:lpstr>
      <vt:lpstr>'307'!OSRRefH22_5x_0</vt:lpstr>
      <vt:lpstr>'308'!OSRRefH22_5x_0</vt:lpstr>
      <vt:lpstr>'310'!OSRRefH22_5x_0</vt:lpstr>
      <vt:lpstr>'310 &amp; 491'!OSRRefH22_5x_0</vt:lpstr>
      <vt:lpstr>'311'!OSRRefH22_5x_0</vt:lpstr>
      <vt:lpstr>'315'!OSRRefH22_5x_0</vt:lpstr>
      <vt:lpstr>'316'!OSRRefH22_5x_0</vt:lpstr>
      <vt:lpstr>'317'!OSRRefH22_5x_0</vt:lpstr>
      <vt:lpstr>'321'!OSRRefH22_5x_0</vt:lpstr>
      <vt:lpstr>'325'!OSRRefH22_5x_0</vt:lpstr>
      <vt:lpstr>'326'!OSRRefH22_5x_0</vt:lpstr>
      <vt:lpstr>'330'!OSRRefH22_5x_0</vt:lpstr>
      <vt:lpstr>'331'!OSRRefH22_5x_0</vt:lpstr>
      <vt:lpstr>'332'!OSRRefH22_5x_0</vt:lpstr>
      <vt:lpstr>'405'!OSRRefH22_5x_0</vt:lpstr>
      <vt:lpstr>'411'!OSRRefH22_5x_0</vt:lpstr>
      <vt:lpstr>'415'!OSRRefH22_5x_0</vt:lpstr>
      <vt:lpstr>'418'!OSRRefH22_5x_0</vt:lpstr>
      <vt:lpstr>'430'!OSRRefH22_5x_0</vt:lpstr>
      <vt:lpstr>'433'!OSRRefH22_5x_0</vt:lpstr>
      <vt:lpstr>'444'!OSRRefH22_5x_0</vt:lpstr>
      <vt:lpstr>'450'!OSRRefH22_5x_0</vt:lpstr>
      <vt:lpstr>'491'!OSRRefH22_5x_0</vt:lpstr>
      <vt:lpstr>'492'!OSRRefH22_5x_0</vt:lpstr>
      <vt:lpstr>'501'!OSRRefH22_5x_0</vt:lpstr>
      <vt:lpstr>'Div 2'!OSRRefH22_5x_0</vt:lpstr>
      <vt:lpstr>'Div 3'!OSRRefH22_5x_0</vt:lpstr>
      <vt:lpstr>'Div 4'!OSRRefH22_5x_0</vt:lpstr>
      <vt:lpstr>'Div 5'!OSRRefH22_5x_0</vt:lpstr>
      <vt:lpstr>'Div 6'!OSRRefH22_5x_0</vt:lpstr>
      <vt:lpstr>Summary!OSRRefH22_5x_0</vt:lpstr>
      <vt:lpstr>'201'!OSRRefH22_6x_0</vt:lpstr>
      <vt:lpstr>'202'!OSRRefH22_6x_0</vt:lpstr>
      <vt:lpstr>'203'!OSRRefH22_6x_0</vt:lpstr>
      <vt:lpstr>'204'!OSRRefH22_6x_0</vt:lpstr>
      <vt:lpstr>'205'!OSRRefH22_6x_0</vt:lpstr>
      <vt:lpstr>'206'!OSRRefH22_6x_0</vt:lpstr>
      <vt:lpstr>'300'!OSRRefH22_6x_0</vt:lpstr>
      <vt:lpstr>'300 &amp; 317'!OSRRefH22_6x_0</vt:lpstr>
      <vt:lpstr>'301'!OSRRefH22_6x_0</vt:lpstr>
      <vt:lpstr>'307'!OSRRefH22_6x_0</vt:lpstr>
      <vt:lpstr>'308'!OSRRefH22_6x_0</vt:lpstr>
      <vt:lpstr>'310'!OSRRefH22_6x_0</vt:lpstr>
      <vt:lpstr>'310 &amp; 491'!OSRRefH22_6x_0</vt:lpstr>
      <vt:lpstr>'311'!OSRRefH22_6x_0</vt:lpstr>
      <vt:lpstr>'315'!OSRRefH22_6x_0</vt:lpstr>
      <vt:lpstr>'316'!OSRRefH22_6x_0</vt:lpstr>
      <vt:lpstr>'317'!OSRRefH22_6x_0</vt:lpstr>
      <vt:lpstr>'321'!OSRRefH22_6x_0</vt:lpstr>
      <vt:lpstr>'325'!OSRRefH22_6x_0</vt:lpstr>
      <vt:lpstr>'326'!OSRRefH22_6x_0</vt:lpstr>
      <vt:lpstr>'330'!OSRRefH22_6x_0</vt:lpstr>
      <vt:lpstr>'331'!OSRRefH22_6x_0</vt:lpstr>
      <vt:lpstr>'332'!OSRRefH22_6x_0</vt:lpstr>
      <vt:lpstr>'405'!OSRRefH22_6x_0</vt:lpstr>
      <vt:lpstr>'411'!OSRRefH22_6x_0</vt:lpstr>
      <vt:lpstr>'415'!OSRRefH22_6x_0</vt:lpstr>
      <vt:lpstr>'418'!OSRRefH22_6x_0</vt:lpstr>
      <vt:lpstr>'430'!OSRRefH22_6x_0</vt:lpstr>
      <vt:lpstr>'433'!OSRRefH22_6x_0</vt:lpstr>
      <vt:lpstr>'444'!OSRRefH22_6x_0</vt:lpstr>
      <vt:lpstr>'450'!OSRRefH22_6x_0</vt:lpstr>
      <vt:lpstr>'491'!OSRRefH22_6x_0</vt:lpstr>
      <vt:lpstr>'492'!OSRRefH22_6x_0</vt:lpstr>
      <vt:lpstr>'501'!OSRRefH22_6x_0</vt:lpstr>
      <vt:lpstr>'Div 2'!OSRRefH22_6x_0</vt:lpstr>
      <vt:lpstr>'Div 3'!OSRRefH22_6x_0</vt:lpstr>
      <vt:lpstr>'Div 4'!OSRRefH22_6x_0</vt:lpstr>
      <vt:lpstr>'Div 5'!OSRRefH22_6x_0</vt:lpstr>
      <vt:lpstr>'Div 6'!OSRRefH22_6x_0</vt:lpstr>
      <vt:lpstr>Summary!OSRRefH22_6x_0</vt:lpstr>
      <vt:lpstr>'201'!OSRRefH22_7x_0</vt:lpstr>
      <vt:lpstr>'202'!OSRRefH22_7x_0</vt:lpstr>
      <vt:lpstr>'203'!OSRRefH22_7x_0</vt:lpstr>
      <vt:lpstr>'204'!OSRRefH22_7x_0</vt:lpstr>
      <vt:lpstr>'205'!OSRRefH22_7x_0</vt:lpstr>
      <vt:lpstr>'206'!OSRRefH22_7x_0</vt:lpstr>
      <vt:lpstr>'300'!OSRRefH22_7x_0</vt:lpstr>
      <vt:lpstr>'300 &amp; 317'!OSRRefH22_7x_0</vt:lpstr>
      <vt:lpstr>'301'!OSRRefH22_7x_0</vt:lpstr>
      <vt:lpstr>'307'!OSRRefH22_7x_0</vt:lpstr>
      <vt:lpstr>'308'!OSRRefH22_7x_0</vt:lpstr>
      <vt:lpstr>'310'!OSRRefH22_7x_0</vt:lpstr>
      <vt:lpstr>'310 &amp; 491'!OSRRefH22_7x_0</vt:lpstr>
      <vt:lpstr>'311'!OSRRefH22_7x_0</vt:lpstr>
      <vt:lpstr>'315'!OSRRefH22_7x_0</vt:lpstr>
      <vt:lpstr>'316'!OSRRefH22_7x_0</vt:lpstr>
      <vt:lpstr>'317'!OSRRefH22_7x_0</vt:lpstr>
      <vt:lpstr>'321'!OSRRefH22_7x_0</vt:lpstr>
      <vt:lpstr>'325'!OSRRefH22_7x_0</vt:lpstr>
      <vt:lpstr>'326'!OSRRefH22_7x_0</vt:lpstr>
      <vt:lpstr>'330'!OSRRefH22_7x_0</vt:lpstr>
      <vt:lpstr>'331'!OSRRefH22_7x_0</vt:lpstr>
      <vt:lpstr>'332'!OSRRefH22_7x_0</vt:lpstr>
      <vt:lpstr>'405'!OSRRefH22_7x_0</vt:lpstr>
      <vt:lpstr>'411'!OSRRefH22_7x_0</vt:lpstr>
      <vt:lpstr>'415'!OSRRefH22_7x_0</vt:lpstr>
      <vt:lpstr>'418'!OSRRefH22_7x_0</vt:lpstr>
      <vt:lpstr>'433'!OSRRefH22_7x_0</vt:lpstr>
      <vt:lpstr>'444'!OSRRefH22_7x_0</vt:lpstr>
      <vt:lpstr>'450'!OSRRefH22_7x_0</vt:lpstr>
      <vt:lpstr>'491'!OSRRefH22_7x_0</vt:lpstr>
      <vt:lpstr>'492'!OSRRefH22_7x_0</vt:lpstr>
      <vt:lpstr>'501'!OSRRefH22_7x_0</vt:lpstr>
      <vt:lpstr>'Div 2'!OSRRefH22_7x_0</vt:lpstr>
      <vt:lpstr>'Div 3'!OSRRefH22_7x_0</vt:lpstr>
      <vt:lpstr>'Div 4'!OSRRefH22_7x_0</vt:lpstr>
      <vt:lpstr>'Div 5'!OSRRefH22_7x_0</vt:lpstr>
      <vt:lpstr>'Div 6'!OSRRefH22_7x_0</vt:lpstr>
      <vt:lpstr>Summary!OSRRefH22_7x_0</vt:lpstr>
      <vt:lpstr>'201'!OSRRefH22_8x_0</vt:lpstr>
      <vt:lpstr>'202'!OSRRefH22_8x_0</vt:lpstr>
      <vt:lpstr>'203'!OSRRefH22_8x_0</vt:lpstr>
      <vt:lpstr>'300'!OSRRefH22_8x_0</vt:lpstr>
      <vt:lpstr>'300 &amp; 317'!OSRRefH22_8x_0</vt:lpstr>
      <vt:lpstr>'301'!OSRRefH22_8x_0</vt:lpstr>
      <vt:lpstr>'307'!OSRRefH22_8x_0</vt:lpstr>
      <vt:lpstr>'308'!OSRRefH22_8x_0</vt:lpstr>
      <vt:lpstr>'310'!OSRRefH22_8x_0</vt:lpstr>
      <vt:lpstr>'310 &amp; 491'!OSRRefH22_8x_0</vt:lpstr>
      <vt:lpstr>'311'!OSRRefH22_8x_0</vt:lpstr>
      <vt:lpstr>'315'!OSRRefH22_8x_0</vt:lpstr>
      <vt:lpstr>'316'!OSRRefH22_8x_0</vt:lpstr>
      <vt:lpstr>'317'!OSRRefH22_8x_0</vt:lpstr>
      <vt:lpstr>'325'!OSRRefH22_8x_0</vt:lpstr>
      <vt:lpstr>'326'!OSRRefH22_8x_0</vt:lpstr>
      <vt:lpstr>'330'!OSRRefH22_8x_0</vt:lpstr>
      <vt:lpstr>'331'!OSRRefH22_8x_0</vt:lpstr>
      <vt:lpstr>'332'!OSRRefH22_8x_0</vt:lpstr>
      <vt:lpstr>'405'!OSRRefH22_8x_0</vt:lpstr>
      <vt:lpstr>'411'!OSRRefH22_8x_0</vt:lpstr>
      <vt:lpstr>'415'!OSRRefH22_8x_0</vt:lpstr>
      <vt:lpstr>'418'!OSRRefH22_8x_0</vt:lpstr>
      <vt:lpstr>'433'!OSRRefH22_8x_0</vt:lpstr>
      <vt:lpstr>'444'!OSRRefH22_8x_0</vt:lpstr>
      <vt:lpstr>'450'!OSRRefH22_8x_0</vt:lpstr>
      <vt:lpstr>'491'!OSRRefH22_8x_0</vt:lpstr>
      <vt:lpstr>'492'!OSRRefH22_8x_0</vt:lpstr>
      <vt:lpstr>'501'!OSRRefH22_8x_0</vt:lpstr>
      <vt:lpstr>'Div 2'!OSRRefH22_8x_0</vt:lpstr>
      <vt:lpstr>'Div 3'!OSRRefH22_8x_0</vt:lpstr>
      <vt:lpstr>'Div 4'!OSRRefH22_8x_0</vt:lpstr>
      <vt:lpstr>'Div 5'!OSRRefH22_8x_0</vt:lpstr>
      <vt:lpstr>'Div 6'!OSRRefH22_8x_0</vt:lpstr>
      <vt:lpstr>Summary!OSRRefH22_8x_0</vt:lpstr>
      <vt:lpstr>'201'!OSRRefH22_9x_0</vt:lpstr>
      <vt:lpstr>'202'!OSRRefH22_9x_0</vt:lpstr>
      <vt:lpstr>'203'!OSRRefH22_9x_0</vt:lpstr>
      <vt:lpstr>'300'!OSRRefH22_9x_0</vt:lpstr>
      <vt:lpstr>'300 &amp; 317'!OSRRefH22_9x_0</vt:lpstr>
      <vt:lpstr>'301'!OSRRefH22_9x_0</vt:lpstr>
      <vt:lpstr>'307'!OSRRefH22_9x_0</vt:lpstr>
      <vt:lpstr>'308'!OSRRefH22_9x_0</vt:lpstr>
      <vt:lpstr>'310'!OSRRefH22_9x_0</vt:lpstr>
      <vt:lpstr>'310 &amp; 491'!OSRRefH22_9x_0</vt:lpstr>
      <vt:lpstr>'311'!OSRRefH22_9x_0</vt:lpstr>
      <vt:lpstr>'315'!OSRRefH22_9x_0</vt:lpstr>
      <vt:lpstr>'316'!OSRRefH22_9x_0</vt:lpstr>
      <vt:lpstr>'317'!OSRRefH22_9x_0</vt:lpstr>
      <vt:lpstr>'325'!OSRRefH22_9x_0</vt:lpstr>
      <vt:lpstr>'326'!OSRRefH22_9x_0</vt:lpstr>
      <vt:lpstr>'330'!OSRRefH22_9x_0</vt:lpstr>
      <vt:lpstr>'331'!OSRRefH22_9x_0</vt:lpstr>
      <vt:lpstr>'332'!OSRRefH22_9x_0</vt:lpstr>
      <vt:lpstr>'405'!OSRRefH22_9x_0</vt:lpstr>
      <vt:lpstr>'411'!OSRRefH22_9x_0</vt:lpstr>
      <vt:lpstr>'415'!OSRRefH22_9x_0</vt:lpstr>
      <vt:lpstr>'418'!OSRRefH22_9x_0</vt:lpstr>
      <vt:lpstr>'433'!OSRRefH22_9x_0</vt:lpstr>
      <vt:lpstr>'444'!OSRRefH22_9x_0</vt:lpstr>
      <vt:lpstr>'450'!OSRRefH22_9x_0</vt:lpstr>
      <vt:lpstr>'491'!OSRRefH22_9x_0</vt:lpstr>
      <vt:lpstr>'492'!OSRRefH22_9x_0</vt:lpstr>
      <vt:lpstr>'501'!OSRRefH22_9x_0</vt:lpstr>
      <vt:lpstr>'Div 2'!OSRRefH22_9x_0</vt:lpstr>
      <vt:lpstr>'Div 3'!OSRRefH22_9x_0</vt:lpstr>
      <vt:lpstr>'Div 4'!OSRRefH22_9x_0</vt:lpstr>
      <vt:lpstr>'Div 5'!OSRRefH22_9x_0</vt:lpstr>
      <vt:lpstr>'Div 6'!OSRRefH22_9x_0</vt:lpstr>
      <vt:lpstr>Summary!OSRRefH22_9x_0</vt:lpstr>
      <vt:lpstr>'200'!OSRRefH22x_0</vt:lpstr>
      <vt:lpstr>'201'!OSRRefH22x_0</vt:lpstr>
      <vt:lpstr>'202'!OSRRefH22x_0</vt:lpstr>
      <vt:lpstr>'203'!OSRRefH22x_0</vt:lpstr>
      <vt:lpstr>'204'!OSRRefH22x_0</vt:lpstr>
      <vt:lpstr>'205'!OSRRefH22x_0</vt:lpstr>
      <vt:lpstr>'206'!OSRRefH22x_0</vt:lpstr>
      <vt:lpstr>'300'!OSRRefH22x_0</vt:lpstr>
      <vt:lpstr>'300 &amp; 317'!OSRRefH22x_0</vt:lpstr>
      <vt:lpstr>'301'!OSRRefH22x_0</vt:lpstr>
      <vt:lpstr>'307'!OSRRefH22x_0</vt:lpstr>
      <vt:lpstr>'308'!OSRRefH22x_0</vt:lpstr>
      <vt:lpstr>'309'!OSRRefH22x_0</vt:lpstr>
      <vt:lpstr>'310'!OSRRefH22x_0</vt:lpstr>
      <vt:lpstr>'310 &amp; 491'!OSRRefH22x_0</vt:lpstr>
      <vt:lpstr>'311'!OSRRefH22x_0</vt:lpstr>
      <vt:lpstr>'313'!OSRRefH22x_0</vt:lpstr>
      <vt:lpstr>'315'!OSRRefH22x_0</vt:lpstr>
      <vt:lpstr>'316'!OSRRefH22x_0</vt:lpstr>
      <vt:lpstr>'317'!OSRRefH22x_0</vt:lpstr>
      <vt:lpstr>'321'!OSRRefH22x_0</vt:lpstr>
      <vt:lpstr>'325'!OSRRefH22x_0</vt:lpstr>
      <vt:lpstr>'326'!OSRRefH22x_0</vt:lpstr>
      <vt:lpstr>'330'!OSRRefH22x_0</vt:lpstr>
      <vt:lpstr>'331'!OSRRefH22x_0</vt:lpstr>
      <vt:lpstr>'332'!OSRRefH22x_0</vt:lpstr>
      <vt:lpstr>'405'!OSRRefH22x_0</vt:lpstr>
      <vt:lpstr>'411'!OSRRefH22x_0</vt:lpstr>
      <vt:lpstr>'412'!OSRRefH22x_0</vt:lpstr>
      <vt:lpstr>'413'!OSRRefH22x_0</vt:lpstr>
      <vt:lpstr>'415'!OSRRefH22x_0</vt:lpstr>
      <vt:lpstr>'418'!OSRRefH22x_0</vt:lpstr>
      <vt:lpstr>'423'!OSRRefH22x_0</vt:lpstr>
      <vt:lpstr>'424'!OSRRefH22x_0</vt:lpstr>
      <vt:lpstr>'425'!OSRRefH22x_0</vt:lpstr>
      <vt:lpstr>'430'!OSRRefH22x_0</vt:lpstr>
      <vt:lpstr>'433'!OSRRefH22x_0</vt:lpstr>
      <vt:lpstr>'444'!OSRRefH22x_0</vt:lpstr>
      <vt:lpstr>'450'!OSRRefH22x_0</vt:lpstr>
      <vt:lpstr>'491'!OSRRefH22x_0</vt:lpstr>
      <vt:lpstr>'492'!OSRRefH22x_0</vt:lpstr>
      <vt:lpstr>'501'!OSRRefH22x_0</vt:lpstr>
      <vt:lpstr>'Div 2'!OSRRefH22x_0</vt:lpstr>
      <vt:lpstr>'Div 3'!OSRRefH22x_0</vt:lpstr>
      <vt:lpstr>'Div 4'!OSRRefH22x_0</vt:lpstr>
      <vt:lpstr>'Div 5'!OSRRefH22x_0</vt:lpstr>
      <vt:lpstr>'Div 6'!OSRRefH22x_0</vt:lpstr>
      <vt:lpstr>Summary!OSRRefH22x_0</vt:lpstr>
      <vt:lpstr>'300'!OSRRefH25x_0</vt:lpstr>
      <vt:lpstr>'300 &amp; 317'!OSRRefH25x_0</vt:lpstr>
      <vt:lpstr>'301'!OSRRefH25x_0</vt:lpstr>
      <vt:lpstr>'308'!OSRRefH25x_0</vt:lpstr>
      <vt:lpstr>'310 &amp; 491'!OSRRefH25x_0</vt:lpstr>
      <vt:lpstr>'311'!OSRRefH25x_0</vt:lpstr>
      <vt:lpstr>'315'!OSRRefH25x_0</vt:lpstr>
      <vt:lpstr>'316'!OSRRefH25x_0</vt:lpstr>
      <vt:lpstr>'317'!OSRRefH25x_0</vt:lpstr>
      <vt:lpstr>'331'!OSRRefH25x_0</vt:lpstr>
      <vt:lpstr>'332'!OSRRefH25x_0</vt:lpstr>
      <vt:lpstr>'411'!OSRRefH25x_0</vt:lpstr>
      <vt:lpstr>'415'!OSRRefH25x_0</vt:lpstr>
      <vt:lpstr>'455'!OSRRefH25x_0</vt:lpstr>
      <vt:lpstr>'491'!OSRRefH25x_0</vt:lpstr>
      <vt:lpstr>'501'!OSRRefH25x_0</vt:lpstr>
      <vt:lpstr>'Div 3'!OSRRefH25x_0</vt:lpstr>
      <vt:lpstr>'Div 4'!OSRRefH25x_0</vt:lpstr>
      <vt:lpstr>'Div 5'!OSRRefH25x_0</vt:lpstr>
      <vt:lpstr>'Div 6'!OSRRefH25x_0</vt:lpstr>
      <vt:lpstr>Summary!OSRRefH25x_0</vt:lpstr>
      <vt:lpstr>'300'!OSRRefP13x_0</vt:lpstr>
      <vt:lpstr>'300 &amp; 317'!OSRRefP13x_0</vt:lpstr>
      <vt:lpstr>'307'!OSRRefP13x_0</vt:lpstr>
      <vt:lpstr>'308'!OSRRefP13x_0</vt:lpstr>
      <vt:lpstr>'310'!OSRRefP13x_0</vt:lpstr>
      <vt:lpstr>'310 &amp; 491'!OSRRefP13x_0</vt:lpstr>
      <vt:lpstr>'311'!OSRRefP13x_0</vt:lpstr>
      <vt:lpstr>'315'!OSRRefP13x_0</vt:lpstr>
      <vt:lpstr>'316'!OSRRefP13x_0</vt:lpstr>
      <vt:lpstr>'317'!OSRRefP13x_0</vt:lpstr>
      <vt:lpstr>'321'!OSRRefP13x_0</vt:lpstr>
      <vt:lpstr>'324'!OSRRefP13x_0</vt:lpstr>
      <vt:lpstr>'325'!OSRRefP13x_0</vt:lpstr>
      <vt:lpstr>'326'!OSRRefP13x_0</vt:lpstr>
      <vt:lpstr>'330'!OSRRefP13x_0</vt:lpstr>
      <vt:lpstr>'331'!OSRRefP13x_0</vt:lpstr>
      <vt:lpstr>'332'!OSRRefP13x_0</vt:lpstr>
      <vt:lpstr>'415'!OSRRefP13x_0</vt:lpstr>
      <vt:lpstr>'418'!OSRRefP13x_0</vt:lpstr>
      <vt:lpstr>'444'!OSRRefP13x_0</vt:lpstr>
      <vt:lpstr>'491'!OSRRefP13x_0</vt:lpstr>
      <vt:lpstr>'492'!OSRRefP13x_0</vt:lpstr>
      <vt:lpstr>'501'!OSRRefP13x_0</vt:lpstr>
      <vt:lpstr>'Div 3'!OSRRefP13x_0</vt:lpstr>
      <vt:lpstr>'Div 4'!OSRRefP13x_0</vt:lpstr>
      <vt:lpstr>'Div 5'!OSRRefP13x_0</vt:lpstr>
      <vt:lpstr>'Div 6'!OSRRefP13x_0</vt:lpstr>
      <vt:lpstr>Summary!OSRRefP13x_0</vt:lpstr>
      <vt:lpstr>'300'!OSRRefP16x_0</vt:lpstr>
      <vt:lpstr>'300 &amp; 317'!OSRRefP16x_0</vt:lpstr>
      <vt:lpstr>'307'!OSRRefP16x_0</vt:lpstr>
      <vt:lpstr>'308'!OSRRefP16x_0</vt:lpstr>
      <vt:lpstr>'310'!OSRRefP16x_0</vt:lpstr>
      <vt:lpstr>'310 &amp; 491'!OSRRefP16x_0</vt:lpstr>
      <vt:lpstr>'311'!OSRRefP16x_0</vt:lpstr>
      <vt:lpstr>'315'!OSRRefP16x_0</vt:lpstr>
      <vt:lpstr>'316'!OSRRefP16x_0</vt:lpstr>
      <vt:lpstr>'317'!OSRRefP16x_0</vt:lpstr>
      <vt:lpstr>'321'!OSRRefP16x_0</vt:lpstr>
      <vt:lpstr>'324'!OSRRefP16x_0</vt:lpstr>
      <vt:lpstr>'325'!OSRRefP16x_0</vt:lpstr>
      <vt:lpstr>'326'!OSRRefP16x_0</vt:lpstr>
      <vt:lpstr>'330'!OSRRefP16x_0</vt:lpstr>
      <vt:lpstr>'331'!OSRRefP16x_0</vt:lpstr>
      <vt:lpstr>'332'!OSRRefP16x_0</vt:lpstr>
      <vt:lpstr>'405'!OSRRefP16x_0</vt:lpstr>
      <vt:lpstr>'415'!OSRRefP16x_0</vt:lpstr>
      <vt:lpstr>'418'!OSRRefP16x_0</vt:lpstr>
      <vt:lpstr>'425'!OSRRefP16x_0</vt:lpstr>
      <vt:lpstr>'444'!OSRRefP16x_0</vt:lpstr>
      <vt:lpstr>'491'!OSRRefP16x_0</vt:lpstr>
      <vt:lpstr>'492'!OSRRefP16x_0</vt:lpstr>
      <vt:lpstr>'Div 3'!OSRRefP16x_0</vt:lpstr>
      <vt:lpstr>'Div 4'!OSRRefP16x_0</vt:lpstr>
      <vt:lpstr>'Div 6'!OSRRefP16x_0</vt:lpstr>
      <vt:lpstr>Summary!OSRRefP16x_0</vt:lpstr>
      <vt:lpstr>'200'!OSRRefP22_0x_0</vt:lpstr>
      <vt:lpstr>'201'!OSRRefP22_0x_0</vt:lpstr>
      <vt:lpstr>'202'!OSRRefP22_0x_0</vt:lpstr>
      <vt:lpstr>'203'!OSRRefP22_0x_0</vt:lpstr>
      <vt:lpstr>'204'!OSRRefP22_0x_0</vt:lpstr>
      <vt:lpstr>'205'!OSRRefP22_0x_0</vt:lpstr>
      <vt:lpstr>'206'!OSRRefP22_0x_0</vt:lpstr>
      <vt:lpstr>'300'!OSRRefP22_0x_0</vt:lpstr>
      <vt:lpstr>'300 &amp; 317'!OSRRefP22_0x_0</vt:lpstr>
      <vt:lpstr>'301'!OSRRefP22_0x_0</vt:lpstr>
      <vt:lpstr>'307'!OSRRefP22_0x_0</vt:lpstr>
      <vt:lpstr>'308'!OSRRefP22_0x_0</vt:lpstr>
      <vt:lpstr>'309'!OSRRefP22_0x_0</vt:lpstr>
      <vt:lpstr>'310'!OSRRefP22_0x_0</vt:lpstr>
      <vt:lpstr>'310 &amp; 491'!OSRRefP22_0x_0</vt:lpstr>
      <vt:lpstr>'311'!OSRRefP22_0x_0</vt:lpstr>
      <vt:lpstr>'313'!OSRRefP22_0x_0</vt:lpstr>
      <vt:lpstr>'315'!OSRRefP22_0x_0</vt:lpstr>
      <vt:lpstr>'316'!OSRRefP22_0x_0</vt:lpstr>
      <vt:lpstr>'317'!OSRRefP22_0x_0</vt:lpstr>
      <vt:lpstr>'321'!OSRRefP22_0x_0</vt:lpstr>
      <vt:lpstr>'325'!OSRRefP22_0x_0</vt:lpstr>
      <vt:lpstr>'326'!OSRRefP22_0x_0</vt:lpstr>
      <vt:lpstr>'330'!OSRRefP22_0x_0</vt:lpstr>
      <vt:lpstr>'331'!OSRRefP22_0x_0</vt:lpstr>
      <vt:lpstr>'332'!OSRRefP22_0x_0</vt:lpstr>
      <vt:lpstr>'405'!OSRRefP22_0x_0</vt:lpstr>
      <vt:lpstr>'411'!OSRRefP22_0x_0</vt:lpstr>
      <vt:lpstr>'412'!OSRRefP22_0x_0</vt:lpstr>
      <vt:lpstr>'413'!OSRRefP22_0x_0</vt:lpstr>
      <vt:lpstr>'415'!OSRRefP22_0x_0</vt:lpstr>
      <vt:lpstr>'418'!OSRRefP22_0x_0</vt:lpstr>
      <vt:lpstr>'423'!OSRRefP22_0x_0</vt:lpstr>
      <vt:lpstr>'424'!OSRRefP22_0x_0</vt:lpstr>
      <vt:lpstr>'425'!OSRRefP22_0x_0</vt:lpstr>
      <vt:lpstr>'430'!OSRRefP22_0x_0</vt:lpstr>
      <vt:lpstr>'433'!OSRRefP22_0x_0</vt:lpstr>
      <vt:lpstr>'444'!OSRRefP22_0x_0</vt:lpstr>
      <vt:lpstr>'450'!OSRRefP22_0x_0</vt:lpstr>
      <vt:lpstr>'491'!OSRRefP22_0x_0</vt:lpstr>
      <vt:lpstr>'492'!OSRRefP22_0x_0</vt:lpstr>
      <vt:lpstr>'501'!OSRRefP22_0x_0</vt:lpstr>
      <vt:lpstr>'Div 2'!OSRRefP22_0x_0</vt:lpstr>
      <vt:lpstr>'Div 3'!OSRRefP22_0x_0</vt:lpstr>
      <vt:lpstr>'Div 4'!OSRRefP22_0x_0</vt:lpstr>
      <vt:lpstr>'Div 5'!OSRRefP22_0x_0</vt:lpstr>
      <vt:lpstr>'Div 6'!OSRRefP22_0x_0</vt:lpstr>
      <vt:lpstr>Summary!OSRRefP22_0x_0</vt:lpstr>
      <vt:lpstr>'201'!OSRRefP22_10x_0</vt:lpstr>
      <vt:lpstr>'202'!OSRRefP22_10x_0</vt:lpstr>
      <vt:lpstr>'203'!OSRRefP22_10x_0</vt:lpstr>
      <vt:lpstr>'300'!OSRRefP22_10x_0</vt:lpstr>
      <vt:lpstr>'300 &amp; 317'!OSRRefP22_10x_0</vt:lpstr>
      <vt:lpstr>'301'!OSRRefP22_10x_0</vt:lpstr>
      <vt:lpstr>'308'!OSRRefP22_10x_0</vt:lpstr>
      <vt:lpstr>'310'!OSRRefP22_10x_0</vt:lpstr>
      <vt:lpstr>'310 &amp; 491'!OSRRefP22_10x_0</vt:lpstr>
      <vt:lpstr>'311'!OSRRefP22_10x_0</vt:lpstr>
      <vt:lpstr>'315'!OSRRefP22_10x_0</vt:lpstr>
      <vt:lpstr>'325'!OSRRefP22_10x_0</vt:lpstr>
      <vt:lpstr>'326'!OSRRefP22_10x_0</vt:lpstr>
      <vt:lpstr>'331'!OSRRefP22_10x_0</vt:lpstr>
      <vt:lpstr>'405'!OSRRefP22_10x_0</vt:lpstr>
      <vt:lpstr>'411'!OSRRefP22_10x_0</vt:lpstr>
      <vt:lpstr>'415'!OSRRefP22_10x_0</vt:lpstr>
      <vt:lpstr>'418'!OSRRefP22_10x_0</vt:lpstr>
      <vt:lpstr>'433'!OSRRefP22_10x_0</vt:lpstr>
      <vt:lpstr>'444'!OSRRefP22_10x_0</vt:lpstr>
      <vt:lpstr>'450'!OSRRefP22_10x_0</vt:lpstr>
      <vt:lpstr>'491'!OSRRefP22_10x_0</vt:lpstr>
      <vt:lpstr>'492'!OSRRefP22_10x_0</vt:lpstr>
      <vt:lpstr>'501'!OSRRefP22_10x_0</vt:lpstr>
      <vt:lpstr>'Div 2'!OSRRefP22_10x_0</vt:lpstr>
      <vt:lpstr>'Div 3'!OSRRefP22_10x_0</vt:lpstr>
      <vt:lpstr>'Div 4'!OSRRefP22_10x_0</vt:lpstr>
      <vt:lpstr>'Div 5'!OSRRefP22_10x_0</vt:lpstr>
      <vt:lpstr>Summary!OSRRefP22_10x_0</vt:lpstr>
      <vt:lpstr>'203'!OSRRefP22_11x_0</vt:lpstr>
      <vt:lpstr>'300'!OSRRefP22_11x_0</vt:lpstr>
      <vt:lpstr>'300 &amp; 317'!OSRRefP22_11x_0</vt:lpstr>
      <vt:lpstr>'301'!OSRRefP22_11x_0</vt:lpstr>
      <vt:lpstr>'308'!OSRRefP22_11x_0</vt:lpstr>
      <vt:lpstr>'310'!OSRRefP22_11x_0</vt:lpstr>
      <vt:lpstr>'310 &amp; 491'!OSRRefP22_11x_0</vt:lpstr>
      <vt:lpstr>'311'!OSRRefP22_11x_0</vt:lpstr>
      <vt:lpstr>'315'!OSRRefP22_11x_0</vt:lpstr>
      <vt:lpstr>'325'!OSRRefP22_11x_0</vt:lpstr>
      <vt:lpstr>'326'!OSRRefP22_11x_0</vt:lpstr>
      <vt:lpstr>'331'!OSRRefP22_11x_0</vt:lpstr>
      <vt:lpstr>'411'!OSRRefP22_11x_0</vt:lpstr>
      <vt:lpstr>'415'!OSRRefP22_11x_0</vt:lpstr>
      <vt:lpstr>'418'!OSRRefP22_11x_0</vt:lpstr>
      <vt:lpstr>'433'!OSRRefP22_11x_0</vt:lpstr>
      <vt:lpstr>'444'!OSRRefP22_11x_0</vt:lpstr>
      <vt:lpstr>'450'!OSRRefP22_11x_0</vt:lpstr>
      <vt:lpstr>'491'!OSRRefP22_11x_0</vt:lpstr>
      <vt:lpstr>'492'!OSRRefP22_11x_0</vt:lpstr>
      <vt:lpstr>'501'!OSRRefP22_11x_0</vt:lpstr>
      <vt:lpstr>'Div 2'!OSRRefP22_11x_0</vt:lpstr>
      <vt:lpstr>'Div 3'!OSRRefP22_11x_0</vt:lpstr>
      <vt:lpstr>'Div 4'!OSRRefP22_11x_0</vt:lpstr>
      <vt:lpstr>'Div 5'!OSRRefP22_11x_0</vt:lpstr>
      <vt:lpstr>Summary!OSRRefP22_11x_0</vt:lpstr>
      <vt:lpstr>'203'!OSRRefP22_12x_0</vt:lpstr>
      <vt:lpstr>'300'!OSRRefP22_12x_0</vt:lpstr>
      <vt:lpstr>'300 &amp; 317'!OSRRefP22_12x_0</vt:lpstr>
      <vt:lpstr>'301'!OSRRefP22_12x_0</vt:lpstr>
      <vt:lpstr>'310'!OSRRefP22_12x_0</vt:lpstr>
      <vt:lpstr>'310 &amp; 491'!OSRRefP22_12x_0</vt:lpstr>
      <vt:lpstr>'315'!OSRRefP22_12x_0</vt:lpstr>
      <vt:lpstr>'326'!OSRRefP22_12x_0</vt:lpstr>
      <vt:lpstr>'331'!OSRRefP22_12x_0</vt:lpstr>
      <vt:lpstr>'411'!OSRRefP22_12x_0</vt:lpstr>
      <vt:lpstr>'415'!OSRRefP22_12x_0</vt:lpstr>
      <vt:lpstr>'418'!OSRRefP22_12x_0</vt:lpstr>
      <vt:lpstr>'444'!OSRRefP22_12x_0</vt:lpstr>
      <vt:lpstr>'491'!OSRRefP22_12x_0</vt:lpstr>
      <vt:lpstr>'492'!OSRRefP22_12x_0</vt:lpstr>
      <vt:lpstr>'501'!OSRRefP22_12x_0</vt:lpstr>
      <vt:lpstr>'Div 2'!OSRRefP22_12x_0</vt:lpstr>
      <vt:lpstr>'Div 3'!OSRRefP22_12x_0</vt:lpstr>
      <vt:lpstr>'Div 4'!OSRRefP22_12x_0</vt:lpstr>
      <vt:lpstr>'Div 5'!OSRRefP22_12x_0</vt:lpstr>
      <vt:lpstr>Summary!OSRRefP22_12x_0</vt:lpstr>
      <vt:lpstr>'203'!OSRRefP22_13x_0</vt:lpstr>
      <vt:lpstr>'300'!OSRRefP22_13x_0</vt:lpstr>
      <vt:lpstr>'300 &amp; 317'!OSRRefP22_13x_0</vt:lpstr>
      <vt:lpstr>'301'!OSRRefP22_13x_0</vt:lpstr>
      <vt:lpstr>'310'!OSRRefP22_13x_0</vt:lpstr>
      <vt:lpstr>'310 &amp; 491'!OSRRefP22_13x_0</vt:lpstr>
      <vt:lpstr>'315'!OSRRefP22_13x_0</vt:lpstr>
      <vt:lpstr>'326'!OSRRefP22_13x_0</vt:lpstr>
      <vt:lpstr>'331'!OSRRefP22_13x_0</vt:lpstr>
      <vt:lpstr>'415'!OSRRefP22_13x_0</vt:lpstr>
      <vt:lpstr>'444'!OSRRefP22_13x_0</vt:lpstr>
      <vt:lpstr>'491'!OSRRefP22_13x_0</vt:lpstr>
      <vt:lpstr>'492'!OSRRefP22_13x_0</vt:lpstr>
      <vt:lpstr>'Div 2'!OSRRefP22_13x_0</vt:lpstr>
      <vt:lpstr>'Div 3'!OSRRefP22_13x_0</vt:lpstr>
      <vt:lpstr>'Div 4'!OSRRefP22_13x_0</vt:lpstr>
      <vt:lpstr>Summary!OSRRefP22_13x_0</vt:lpstr>
      <vt:lpstr>'300'!OSRRefP22_14x_0</vt:lpstr>
      <vt:lpstr>'300 &amp; 317'!OSRRefP22_14x_0</vt:lpstr>
      <vt:lpstr>'301'!OSRRefP22_14x_0</vt:lpstr>
      <vt:lpstr>'310 &amp; 491'!OSRRefP22_14x_0</vt:lpstr>
      <vt:lpstr>'315'!OSRRefP22_14x_0</vt:lpstr>
      <vt:lpstr>'326'!OSRRefP22_14x_0</vt:lpstr>
      <vt:lpstr>'331'!OSRRefP22_14x_0</vt:lpstr>
      <vt:lpstr>'415'!OSRRefP22_14x_0</vt:lpstr>
      <vt:lpstr>'491'!OSRRefP22_14x_0</vt:lpstr>
      <vt:lpstr>'492'!OSRRefP22_14x_0</vt:lpstr>
      <vt:lpstr>'Div 2'!OSRRefP22_14x_0</vt:lpstr>
      <vt:lpstr>'Div 3'!OSRRefP22_14x_0</vt:lpstr>
      <vt:lpstr>'Div 4'!OSRRefP22_14x_0</vt:lpstr>
      <vt:lpstr>Summary!OSRRefP22_14x_0</vt:lpstr>
      <vt:lpstr>'300'!OSRRefP22_15x_0</vt:lpstr>
      <vt:lpstr>'300 &amp; 317'!OSRRefP22_15x_0</vt:lpstr>
      <vt:lpstr>'301'!OSRRefP22_15x_0</vt:lpstr>
      <vt:lpstr>'310 &amp; 491'!OSRRefP22_15x_0</vt:lpstr>
      <vt:lpstr>'315'!OSRRefP22_15x_0</vt:lpstr>
      <vt:lpstr>'326'!OSRRefP22_15x_0</vt:lpstr>
      <vt:lpstr>'331'!OSRRefP22_15x_0</vt:lpstr>
      <vt:lpstr>'415'!OSRRefP22_15x_0</vt:lpstr>
      <vt:lpstr>'491'!OSRRefP22_15x_0</vt:lpstr>
      <vt:lpstr>'492'!OSRRefP22_15x_0</vt:lpstr>
      <vt:lpstr>'Div 2'!OSRRefP22_15x_0</vt:lpstr>
      <vt:lpstr>'Div 3'!OSRRefP22_15x_0</vt:lpstr>
      <vt:lpstr>'Div 4'!OSRRefP22_15x_0</vt:lpstr>
      <vt:lpstr>Summary!OSRRefP22_15x_0</vt:lpstr>
      <vt:lpstr>'300'!OSRRefP22_16x_0</vt:lpstr>
      <vt:lpstr>'300 &amp; 317'!OSRRefP22_16x_0</vt:lpstr>
      <vt:lpstr>'301'!OSRRefP22_16x_0</vt:lpstr>
      <vt:lpstr>'310 &amp; 491'!OSRRefP22_16x_0</vt:lpstr>
      <vt:lpstr>'326'!OSRRefP22_16x_0</vt:lpstr>
      <vt:lpstr>'331'!OSRRefP22_16x_0</vt:lpstr>
      <vt:lpstr>'415'!OSRRefP22_16x_0</vt:lpstr>
      <vt:lpstr>'491'!OSRRefP22_16x_0</vt:lpstr>
      <vt:lpstr>'Div 2'!OSRRefP22_16x_0</vt:lpstr>
      <vt:lpstr>'Div 3'!OSRRefP22_16x_0</vt:lpstr>
      <vt:lpstr>'Div 4'!OSRRefP22_16x_0</vt:lpstr>
      <vt:lpstr>Summary!OSRRefP22_16x_0</vt:lpstr>
      <vt:lpstr>'300'!OSRRefP22_17x_0</vt:lpstr>
      <vt:lpstr>'300 &amp; 317'!OSRRefP22_17x_0</vt:lpstr>
      <vt:lpstr>'301'!OSRRefP22_17x_0</vt:lpstr>
      <vt:lpstr>'310 &amp; 491'!OSRRefP22_17x_0</vt:lpstr>
      <vt:lpstr>'326'!OSRRefP22_17x_0</vt:lpstr>
      <vt:lpstr>'331'!OSRRefP22_17x_0</vt:lpstr>
      <vt:lpstr>'491'!OSRRefP22_17x_0</vt:lpstr>
      <vt:lpstr>'Div 2'!OSRRefP22_17x_0</vt:lpstr>
      <vt:lpstr>'Div 3'!OSRRefP22_17x_0</vt:lpstr>
      <vt:lpstr>'Div 4'!OSRRefP22_17x_0</vt:lpstr>
      <vt:lpstr>Summary!OSRRefP22_17x_0</vt:lpstr>
      <vt:lpstr>'300'!OSRRefP22_18x_0</vt:lpstr>
      <vt:lpstr>'300 &amp; 317'!OSRRefP22_18x_0</vt:lpstr>
      <vt:lpstr>'301'!OSRRefP22_18x_0</vt:lpstr>
      <vt:lpstr>'310 &amp; 491'!OSRRefP22_18x_0</vt:lpstr>
      <vt:lpstr>'331'!OSRRefP22_18x_0</vt:lpstr>
      <vt:lpstr>'Div 2'!OSRRefP22_18x_0</vt:lpstr>
      <vt:lpstr>'Div 3'!OSRRefP22_18x_0</vt:lpstr>
      <vt:lpstr>'Div 4'!OSRRefP22_18x_0</vt:lpstr>
      <vt:lpstr>Summary!OSRRefP22_18x_0</vt:lpstr>
      <vt:lpstr>'300'!OSRRefP22_19x_0</vt:lpstr>
      <vt:lpstr>'300 &amp; 317'!OSRRefP22_19x_0</vt:lpstr>
      <vt:lpstr>'331'!OSRRefP22_19x_0</vt:lpstr>
      <vt:lpstr>'Div 2'!OSRRefP22_19x_0</vt:lpstr>
      <vt:lpstr>'Div 3'!OSRRefP22_19x_0</vt:lpstr>
      <vt:lpstr>'Div 4'!OSRRefP22_19x_0</vt:lpstr>
      <vt:lpstr>Summary!OSRRefP22_19x_0</vt:lpstr>
      <vt:lpstr>'200'!OSRRefP22_1x_0</vt:lpstr>
      <vt:lpstr>'201'!OSRRefP22_1x_0</vt:lpstr>
      <vt:lpstr>'202'!OSRRefP22_1x_0</vt:lpstr>
      <vt:lpstr>'203'!OSRRefP22_1x_0</vt:lpstr>
      <vt:lpstr>'204'!OSRRefP22_1x_0</vt:lpstr>
      <vt:lpstr>'205'!OSRRefP22_1x_0</vt:lpstr>
      <vt:lpstr>'206'!OSRRefP22_1x_0</vt:lpstr>
      <vt:lpstr>'300'!OSRRefP22_1x_0</vt:lpstr>
      <vt:lpstr>'300 &amp; 317'!OSRRefP22_1x_0</vt:lpstr>
      <vt:lpstr>'301'!OSRRefP22_1x_0</vt:lpstr>
      <vt:lpstr>'307'!OSRRefP22_1x_0</vt:lpstr>
      <vt:lpstr>'308'!OSRRefP22_1x_0</vt:lpstr>
      <vt:lpstr>'309'!OSRRefP22_1x_0</vt:lpstr>
      <vt:lpstr>'310'!OSRRefP22_1x_0</vt:lpstr>
      <vt:lpstr>'310 &amp; 491'!OSRRefP22_1x_0</vt:lpstr>
      <vt:lpstr>'311'!OSRRefP22_1x_0</vt:lpstr>
      <vt:lpstr>'315'!OSRRefP22_1x_0</vt:lpstr>
      <vt:lpstr>'316'!OSRRefP22_1x_0</vt:lpstr>
      <vt:lpstr>'317'!OSRRefP22_1x_0</vt:lpstr>
      <vt:lpstr>'321'!OSRRefP22_1x_0</vt:lpstr>
      <vt:lpstr>'325'!OSRRefP22_1x_0</vt:lpstr>
      <vt:lpstr>'326'!OSRRefP22_1x_0</vt:lpstr>
      <vt:lpstr>'330'!OSRRefP22_1x_0</vt:lpstr>
      <vt:lpstr>'331'!OSRRefP22_1x_0</vt:lpstr>
      <vt:lpstr>'332'!OSRRefP22_1x_0</vt:lpstr>
      <vt:lpstr>'405'!OSRRefP22_1x_0</vt:lpstr>
      <vt:lpstr>'411'!OSRRefP22_1x_0</vt:lpstr>
      <vt:lpstr>'412'!OSRRefP22_1x_0</vt:lpstr>
      <vt:lpstr>'413'!OSRRefP22_1x_0</vt:lpstr>
      <vt:lpstr>'415'!OSRRefP22_1x_0</vt:lpstr>
      <vt:lpstr>'418'!OSRRefP22_1x_0</vt:lpstr>
      <vt:lpstr>'423'!OSRRefP22_1x_0</vt:lpstr>
      <vt:lpstr>'424'!OSRRefP22_1x_0</vt:lpstr>
      <vt:lpstr>'425'!OSRRefP22_1x_0</vt:lpstr>
      <vt:lpstr>'430'!OSRRefP22_1x_0</vt:lpstr>
      <vt:lpstr>'433'!OSRRefP22_1x_0</vt:lpstr>
      <vt:lpstr>'444'!OSRRefP22_1x_0</vt:lpstr>
      <vt:lpstr>'450'!OSRRefP22_1x_0</vt:lpstr>
      <vt:lpstr>'491'!OSRRefP22_1x_0</vt:lpstr>
      <vt:lpstr>'492'!OSRRefP22_1x_0</vt:lpstr>
      <vt:lpstr>'501'!OSRRefP22_1x_0</vt:lpstr>
      <vt:lpstr>'Div 2'!OSRRefP22_1x_0</vt:lpstr>
      <vt:lpstr>'Div 3'!OSRRefP22_1x_0</vt:lpstr>
      <vt:lpstr>'Div 4'!OSRRefP22_1x_0</vt:lpstr>
      <vt:lpstr>'Div 5'!OSRRefP22_1x_0</vt:lpstr>
      <vt:lpstr>'Div 6'!OSRRefP22_1x_0</vt:lpstr>
      <vt:lpstr>Summary!OSRRefP22_1x_0</vt:lpstr>
      <vt:lpstr>'300'!OSRRefP22_20x_0</vt:lpstr>
      <vt:lpstr>'300 &amp; 317'!OSRRefP22_20x_0</vt:lpstr>
      <vt:lpstr>'Div 3'!OSRRefP22_20x_0</vt:lpstr>
      <vt:lpstr>Summary!OSRRefP22_20x_0</vt:lpstr>
      <vt:lpstr>'300'!OSRRefP22_21x_0</vt:lpstr>
      <vt:lpstr>'300 &amp; 317'!OSRRefP22_21x_0</vt:lpstr>
      <vt:lpstr>'Div 3'!OSRRefP22_21x_0</vt:lpstr>
      <vt:lpstr>Summary!OSRRefP22_21x_0</vt:lpstr>
      <vt:lpstr>'300'!OSRRefP22_22x_0</vt:lpstr>
      <vt:lpstr>'300 &amp; 317'!OSRRefP22_22x_0</vt:lpstr>
      <vt:lpstr>'Div 3'!OSRRefP22_22x_0</vt:lpstr>
      <vt:lpstr>Summary!OSRRefP22_22x_0</vt:lpstr>
      <vt:lpstr>'300'!OSRRefP22_23x_0</vt:lpstr>
      <vt:lpstr>'300 &amp; 317'!OSRRefP22_23x_0</vt:lpstr>
      <vt:lpstr>'Div 3'!OSRRefP22_23x_0</vt:lpstr>
      <vt:lpstr>Summary!OSRRefP22_23x_0</vt:lpstr>
      <vt:lpstr>'Div 3'!OSRRefP22_24x_0</vt:lpstr>
      <vt:lpstr>Summary!OSRRefP22_24x_0</vt:lpstr>
      <vt:lpstr>Summary!OSRRefP22_25x_0</vt:lpstr>
      <vt:lpstr>Summary!OSRRefP22_26x_0</vt:lpstr>
      <vt:lpstr>'200'!OSRRefP22_2x_0</vt:lpstr>
      <vt:lpstr>'201'!OSRRefP22_2x_0</vt:lpstr>
      <vt:lpstr>'202'!OSRRefP22_2x_0</vt:lpstr>
      <vt:lpstr>'203'!OSRRefP22_2x_0</vt:lpstr>
      <vt:lpstr>'204'!OSRRefP22_2x_0</vt:lpstr>
      <vt:lpstr>'205'!OSRRefP22_2x_0</vt:lpstr>
      <vt:lpstr>'206'!OSRRefP22_2x_0</vt:lpstr>
      <vt:lpstr>'300'!OSRRefP22_2x_0</vt:lpstr>
      <vt:lpstr>'300 &amp; 317'!OSRRefP22_2x_0</vt:lpstr>
      <vt:lpstr>'301'!OSRRefP22_2x_0</vt:lpstr>
      <vt:lpstr>'307'!OSRRefP22_2x_0</vt:lpstr>
      <vt:lpstr>'308'!OSRRefP22_2x_0</vt:lpstr>
      <vt:lpstr>'309'!OSRRefP22_2x_0</vt:lpstr>
      <vt:lpstr>'310'!OSRRefP22_2x_0</vt:lpstr>
      <vt:lpstr>'310 &amp; 491'!OSRRefP22_2x_0</vt:lpstr>
      <vt:lpstr>'311'!OSRRefP22_2x_0</vt:lpstr>
      <vt:lpstr>'315'!OSRRefP22_2x_0</vt:lpstr>
      <vt:lpstr>'316'!OSRRefP22_2x_0</vt:lpstr>
      <vt:lpstr>'317'!OSRRefP22_2x_0</vt:lpstr>
      <vt:lpstr>'321'!OSRRefP22_2x_0</vt:lpstr>
      <vt:lpstr>'325'!OSRRefP22_2x_0</vt:lpstr>
      <vt:lpstr>'326'!OSRRefP22_2x_0</vt:lpstr>
      <vt:lpstr>'330'!OSRRefP22_2x_0</vt:lpstr>
      <vt:lpstr>'331'!OSRRefP22_2x_0</vt:lpstr>
      <vt:lpstr>'332'!OSRRefP22_2x_0</vt:lpstr>
      <vt:lpstr>'405'!OSRRefP22_2x_0</vt:lpstr>
      <vt:lpstr>'411'!OSRRefP22_2x_0</vt:lpstr>
      <vt:lpstr>'412'!OSRRefP22_2x_0</vt:lpstr>
      <vt:lpstr>'415'!OSRRefP22_2x_0</vt:lpstr>
      <vt:lpstr>'418'!OSRRefP22_2x_0</vt:lpstr>
      <vt:lpstr>'423'!OSRRefP22_2x_0</vt:lpstr>
      <vt:lpstr>'430'!OSRRefP22_2x_0</vt:lpstr>
      <vt:lpstr>'433'!OSRRefP22_2x_0</vt:lpstr>
      <vt:lpstr>'444'!OSRRefP22_2x_0</vt:lpstr>
      <vt:lpstr>'450'!OSRRefP22_2x_0</vt:lpstr>
      <vt:lpstr>'491'!OSRRefP22_2x_0</vt:lpstr>
      <vt:lpstr>'492'!OSRRefP22_2x_0</vt:lpstr>
      <vt:lpstr>'501'!OSRRefP22_2x_0</vt:lpstr>
      <vt:lpstr>'Div 2'!OSRRefP22_2x_0</vt:lpstr>
      <vt:lpstr>'Div 3'!OSRRefP22_2x_0</vt:lpstr>
      <vt:lpstr>'Div 4'!OSRRefP22_2x_0</vt:lpstr>
      <vt:lpstr>'Div 5'!OSRRefP22_2x_0</vt:lpstr>
      <vt:lpstr>'Div 6'!OSRRefP22_2x_0</vt:lpstr>
      <vt:lpstr>Summary!OSRRefP22_2x_0</vt:lpstr>
      <vt:lpstr>'200'!OSRRefP22_3x_0</vt:lpstr>
      <vt:lpstr>'201'!OSRRefP22_3x_0</vt:lpstr>
      <vt:lpstr>'202'!OSRRefP22_3x_0</vt:lpstr>
      <vt:lpstr>'203'!OSRRefP22_3x_0</vt:lpstr>
      <vt:lpstr>'204'!OSRRefP22_3x_0</vt:lpstr>
      <vt:lpstr>'205'!OSRRefP22_3x_0</vt:lpstr>
      <vt:lpstr>'206'!OSRRefP22_3x_0</vt:lpstr>
      <vt:lpstr>'300'!OSRRefP22_3x_0</vt:lpstr>
      <vt:lpstr>'300 &amp; 317'!OSRRefP22_3x_0</vt:lpstr>
      <vt:lpstr>'301'!OSRRefP22_3x_0</vt:lpstr>
      <vt:lpstr>'307'!OSRRefP22_3x_0</vt:lpstr>
      <vt:lpstr>'308'!OSRRefP22_3x_0</vt:lpstr>
      <vt:lpstr>'310'!OSRRefP22_3x_0</vt:lpstr>
      <vt:lpstr>'310 &amp; 491'!OSRRefP22_3x_0</vt:lpstr>
      <vt:lpstr>'311'!OSRRefP22_3x_0</vt:lpstr>
      <vt:lpstr>'315'!OSRRefP22_3x_0</vt:lpstr>
      <vt:lpstr>'316'!OSRRefP22_3x_0</vt:lpstr>
      <vt:lpstr>'317'!OSRRefP22_3x_0</vt:lpstr>
      <vt:lpstr>'321'!OSRRefP22_3x_0</vt:lpstr>
      <vt:lpstr>'325'!OSRRefP22_3x_0</vt:lpstr>
      <vt:lpstr>'326'!OSRRefP22_3x_0</vt:lpstr>
      <vt:lpstr>'330'!OSRRefP22_3x_0</vt:lpstr>
      <vt:lpstr>'331'!OSRRefP22_3x_0</vt:lpstr>
      <vt:lpstr>'332'!OSRRefP22_3x_0</vt:lpstr>
      <vt:lpstr>'405'!OSRRefP22_3x_0</vt:lpstr>
      <vt:lpstr>'411'!OSRRefP22_3x_0</vt:lpstr>
      <vt:lpstr>'415'!OSRRefP22_3x_0</vt:lpstr>
      <vt:lpstr>'418'!OSRRefP22_3x_0</vt:lpstr>
      <vt:lpstr>'423'!OSRRefP22_3x_0</vt:lpstr>
      <vt:lpstr>'430'!OSRRefP22_3x_0</vt:lpstr>
      <vt:lpstr>'433'!OSRRefP22_3x_0</vt:lpstr>
      <vt:lpstr>'444'!OSRRefP22_3x_0</vt:lpstr>
      <vt:lpstr>'450'!OSRRefP22_3x_0</vt:lpstr>
      <vt:lpstr>'491'!OSRRefP22_3x_0</vt:lpstr>
      <vt:lpstr>'492'!OSRRefP22_3x_0</vt:lpstr>
      <vt:lpstr>'501'!OSRRefP22_3x_0</vt:lpstr>
      <vt:lpstr>'Div 2'!OSRRefP22_3x_0</vt:lpstr>
      <vt:lpstr>'Div 3'!OSRRefP22_3x_0</vt:lpstr>
      <vt:lpstr>'Div 4'!OSRRefP22_3x_0</vt:lpstr>
      <vt:lpstr>'Div 5'!OSRRefP22_3x_0</vt:lpstr>
      <vt:lpstr>'Div 6'!OSRRefP22_3x_0</vt:lpstr>
      <vt:lpstr>Summary!OSRRefP22_3x_0</vt:lpstr>
      <vt:lpstr>'201'!OSRRefP22_4x_0</vt:lpstr>
      <vt:lpstr>'202'!OSRRefP22_4x_0</vt:lpstr>
      <vt:lpstr>'203'!OSRRefP22_4x_0</vt:lpstr>
      <vt:lpstr>'204'!OSRRefP22_4x_0</vt:lpstr>
      <vt:lpstr>'205'!OSRRefP22_4x_0</vt:lpstr>
      <vt:lpstr>'206'!OSRRefP22_4x_0</vt:lpstr>
      <vt:lpstr>'300'!OSRRefP22_4x_0</vt:lpstr>
      <vt:lpstr>'300 &amp; 317'!OSRRefP22_4x_0</vt:lpstr>
      <vt:lpstr>'301'!OSRRefP22_4x_0</vt:lpstr>
      <vt:lpstr>'307'!OSRRefP22_4x_0</vt:lpstr>
      <vt:lpstr>'308'!OSRRefP22_4x_0</vt:lpstr>
      <vt:lpstr>'310'!OSRRefP22_4x_0</vt:lpstr>
      <vt:lpstr>'310 &amp; 491'!OSRRefP22_4x_0</vt:lpstr>
      <vt:lpstr>'311'!OSRRefP22_4x_0</vt:lpstr>
      <vt:lpstr>'315'!OSRRefP22_4x_0</vt:lpstr>
      <vt:lpstr>'316'!OSRRefP22_4x_0</vt:lpstr>
      <vt:lpstr>'317'!OSRRefP22_4x_0</vt:lpstr>
      <vt:lpstr>'321'!OSRRefP22_4x_0</vt:lpstr>
      <vt:lpstr>'325'!OSRRefP22_4x_0</vt:lpstr>
      <vt:lpstr>'326'!OSRRefP22_4x_0</vt:lpstr>
      <vt:lpstr>'330'!OSRRefP22_4x_0</vt:lpstr>
      <vt:lpstr>'331'!OSRRefP22_4x_0</vt:lpstr>
      <vt:lpstr>'332'!OSRRefP22_4x_0</vt:lpstr>
      <vt:lpstr>'405'!OSRRefP22_4x_0</vt:lpstr>
      <vt:lpstr>'411'!OSRRefP22_4x_0</vt:lpstr>
      <vt:lpstr>'415'!OSRRefP22_4x_0</vt:lpstr>
      <vt:lpstr>'418'!OSRRefP22_4x_0</vt:lpstr>
      <vt:lpstr>'423'!OSRRefP22_4x_0</vt:lpstr>
      <vt:lpstr>'430'!OSRRefP22_4x_0</vt:lpstr>
      <vt:lpstr>'433'!OSRRefP22_4x_0</vt:lpstr>
      <vt:lpstr>'444'!OSRRefP22_4x_0</vt:lpstr>
      <vt:lpstr>'450'!OSRRefP22_4x_0</vt:lpstr>
      <vt:lpstr>'491'!OSRRefP22_4x_0</vt:lpstr>
      <vt:lpstr>'492'!OSRRefP22_4x_0</vt:lpstr>
      <vt:lpstr>'501'!OSRRefP22_4x_0</vt:lpstr>
      <vt:lpstr>'Div 2'!OSRRefP22_4x_0</vt:lpstr>
      <vt:lpstr>'Div 3'!OSRRefP22_4x_0</vt:lpstr>
      <vt:lpstr>'Div 4'!OSRRefP22_4x_0</vt:lpstr>
      <vt:lpstr>'Div 5'!OSRRefP22_4x_0</vt:lpstr>
      <vt:lpstr>'Div 6'!OSRRefP22_4x_0</vt:lpstr>
      <vt:lpstr>Summary!OSRRefP22_4x_0</vt:lpstr>
      <vt:lpstr>'201'!OSRRefP22_5x_0</vt:lpstr>
      <vt:lpstr>'202'!OSRRefP22_5x_0</vt:lpstr>
      <vt:lpstr>'203'!OSRRefP22_5x_0</vt:lpstr>
      <vt:lpstr>'204'!OSRRefP22_5x_0</vt:lpstr>
      <vt:lpstr>'205'!OSRRefP22_5x_0</vt:lpstr>
      <vt:lpstr>'206'!OSRRefP22_5x_0</vt:lpstr>
      <vt:lpstr>'300'!OSRRefP22_5x_0</vt:lpstr>
      <vt:lpstr>'300 &amp; 317'!OSRRefP22_5x_0</vt:lpstr>
      <vt:lpstr>'301'!OSRRefP22_5x_0</vt:lpstr>
      <vt:lpstr>'307'!OSRRefP22_5x_0</vt:lpstr>
      <vt:lpstr>'308'!OSRRefP22_5x_0</vt:lpstr>
      <vt:lpstr>'310'!OSRRefP22_5x_0</vt:lpstr>
      <vt:lpstr>'310 &amp; 491'!OSRRefP22_5x_0</vt:lpstr>
      <vt:lpstr>'311'!OSRRefP22_5x_0</vt:lpstr>
      <vt:lpstr>'315'!OSRRefP22_5x_0</vt:lpstr>
      <vt:lpstr>'316'!OSRRefP22_5x_0</vt:lpstr>
      <vt:lpstr>'317'!OSRRefP22_5x_0</vt:lpstr>
      <vt:lpstr>'321'!OSRRefP22_5x_0</vt:lpstr>
      <vt:lpstr>'325'!OSRRefP22_5x_0</vt:lpstr>
      <vt:lpstr>'326'!OSRRefP22_5x_0</vt:lpstr>
      <vt:lpstr>'330'!OSRRefP22_5x_0</vt:lpstr>
      <vt:lpstr>'331'!OSRRefP22_5x_0</vt:lpstr>
      <vt:lpstr>'332'!OSRRefP22_5x_0</vt:lpstr>
      <vt:lpstr>'405'!OSRRefP22_5x_0</vt:lpstr>
      <vt:lpstr>'411'!OSRRefP22_5x_0</vt:lpstr>
      <vt:lpstr>'415'!OSRRefP22_5x_0</vt:lpstr>
      <vt:lpstr>'418'!OSRRefP22_5x_0</vt:lpstr>
      <vt:lpstr>'430'!OSRRefP22_5x_0</vt:lpstr>
      <vt:lpstr>'433'!OSRRefP22_5x_0</vt:lpstr>
      <vt:lpstr>'444'!OSRRefP22_5x_0</vt:lpstr>
      <vt:lpstr>'450'!OSRRefP22_5x_0</vt:lpstr>
      <vt:lpstr>'491'!OSRRefP22_5x_0</vt:lpstr>
      <vt:lpstr>'492'!OSRRefP22_5x_0</vt:lpstr>
      <vt:lpstr>'501'!OSRRefP22_5x_0</vt:lpstr>
      <vt:lpstr>'Div 2'!OSRRefP22_5x_0</vt:lpstr>
      <vt:lpstr>'Div 3'!OSRRefP22_5x_0</vt:lpstr>
      <vt:lpstr>'Div 4'!OSRRefP22_5x_0</vt:lpstr>
      <vt:lpstr>'Div 5'!OSRRefP22_5x_0</vt:lpstr>
      <vt:lpstr>'Div 6'!OSRRefP22_5x_0</vt:lpstr>
      <vt:lpstr>Summary!OSRRefP22_5x_0</vt:lpstr>
      <vt:lpstr>'201'!OSRRefP22_6x_0</vt:lpstr>
      <vt:lpstr>'202'!OSRRefP22_6x_0</vt:lpstr>
      <vt:lpstr>'203'!OSRRefP22_6x_0</vt:lpstr>
      <vt:lpstr>'204'!OSRRefP22_6x_0</vt:lpstr>
      <vt:lpstr>'205'!OSRRefP22_6x_0</vt:lpstr>
      <vt:lpstr>'206'!OSRRefP22_6x_0</vt:lpstr>
      <vt:lpstr>'300'!OSRRefP22_6x_0</vt:lpstr>
      <vt:lpstr>'300 &amp; 317'!OSRRefP22_6x_0</vt:lpstr>
      <vt:lpstr>'301'!OSRRefP22_6x_0</vt:lpstr>
      <vt:lpstr>'307'!OSRRefP22_6x_0</vt:lpstr>
      <vt:lpstr>'308'!OSRRefP22_6x_0</vt:lpstr>
      <vt:lpstr>'310'!OSRRefP22_6x_0</vt:lpstr>
      <vt:lpstr>'310 &amp; 491'!OSRRefP22_6x_0</vt:lpstr>
      <vt:lpstr>'311'!OSRRefP22_6x_0</vt:lpstr>
      <vt:lpstr>'315'!OSRRefP22_6x_0</vt:lpstr>
      <vt:lpstr>'316'!OSRRefP22_6x_0</vt:lpstr>
      <vt:lpstr>'317'!OSRRefP22_6x_0</vt:lpstr>
      <vt:lpstr>'321'!OSRRefP22_6x_0</vt:lpstr>
      <vt:lpstr>'325'!OSRRefP22_6x_0</vt:lpstr>
      <vt:lpstr>'326'!OSRRefP22_6x_0</vt:lpstr>
      <vt:lpstr>'330'!OSRRefP22_6x_0</vt:lpstr>
      <vt:lpstr>'331'!OSRRefP22_6x_0</vt:lpstr>
      <vt:lpstr>'332'!OSRRefP22_6x_0</vt:lpstr>
      <vt:lpstr>'405'!OSRRefP22_6x_0</vt:lpstr>
      <vt:lpstr>'411'!OSRRefP22_6x_0</vt:lpstr>
      <vt:lpstr>'415'!OSRRefP22_6x_0</vt:lpstr>
      <vt:lpstr>'418'!OSRRefP22_6x_0</vt:lpstr>
      <vt:lpstr>'430'!OSRRefP22_6x_0</vt:lpstr>
      <vt:lpstr>'433'!OSRRefP22_6x_0</vt:lpstr>
      <vt:lpstr>'444'!OSRRefP22_6x_0</vt:lpstr>
      <vt:lpstr>'450'!OSRRefP22_6x_0</vt:lpstr>
      <vt:lpstr>'491'!OSRRefP22_6x_0</vt:lpstr>
      <vt:lpstr>'492'!OSRRefP22_6x_0</vt:lpstr>
      <vt:lpstr>'501'!OSRRefP22_6x_0</vt:lpstr>
      <vt:lpstr>'Div 2'!OSRRefP22_6x_0</vt:lpstr>
      <vt:lpstr>'Div 3'!OSRRefP22_6x_0</vt:lpstr>
      <vt:lpstr>'Div 4'!OSRRefP22_6x_0</vt:lpstr>
      <vt:lpstr>'Div 5'!OSRRefP22_6x_0</vt:lpstr>
      <vt:lpstr>'Div 6'!OSRRefP22_6x_0</vt:lpstr>
      <vt:lpstr>Summary!OSRRefP22_6x_0</vt:lpstr>
      <vt:lpstr>'201'!OSRRefP22_7x_0</vt:lpstr>
      <vt:lpstr>'202'!OSRRefP22_7x_0</vt:lpstr>
      <vt:lpstr>'203'!OSRRefP22_7x_0</vt:lpstr>
      <vt:lpstr>'204'!OSRRefP22_7x_0</vt:lpstr>
      <vt:lpstr>'205'!OSRRefP22_7x_0</vt:lpstr>
      <vt:lpstr>'206'!OSRRefP22_7x_0</vt:lpstr>
      <vt:lpstr>'300'!OSRRefP22_7x_0</vt:lpstr>
      <vt:lpstr>'300 &amp; 317'!OSRRefP22_7x_0</vt:lpstr>
      <vt:lpstr>'301'!OSRRefP22_7x_0</vt:lpstr>
      <vt:lpstr>'307'!OSRRefP22_7x_0</vt:lpstr>
      <vt:lpstr>'308'!OSRRefP22_7x_0</vt:lpstr>
      <vt:lpstr>'310'!OSRRefP22_7x_0</vt:lpstr>
      <vt:lpstr>'310 &amp; 491'!OSRRefP22_7x_0</vt:lpstr>
      <vt:lpstr>'311'!OSRRefP22_7x_0</vt:lpstr>
      <vt:lpstr>'315'!OSRRefP22_7x_0</vt:lpstr>
      <vt:lpstr>'316'!OSRRefP22_7x_0</vt:lpstr>
      <vt:lpstr>'317'!OSRRefP22_7x_0</vt:lpstr>
      <vt:lpstr>'321'!OSRRefP22_7x_0</vt:lpstr>
      <vt:lpstr>'325'!OSRRefP22_7x_0</vt:lpstr>
      <vt:lpstr>'326'!OSRRefP22_7x_0</vt:lpstr>
      <vt:lpstr>'330'!OSRRefP22_7x_0</vt:lpstr>
      <vt:lpstr>'331'!OSRRefP22_7x_0</vt:lpstr>
      <vt:lpstr>'332'!OSRRefP22_7x_0</vt:lpstr>
      <vt:lpstr>'405'!OSRRefP22_7x_0</vt:lpstr>
      <vt:lpstr>'411'!OSRRefP22_7x_0</vt:lpstr>
      <vt:lpstr>'415'!OSRRefP22_7x_0</vt:lpstr>
      <vt:lpstr>'418'!OSRRefP22_7x_0</vt:lpstr>
      <vt:lpstr>'433'!OSRRefP22_7x_0</vt:lpstr>
      <vt:lpstr>'444'!OSRRefP22_7x_0</vt:lpstr>
      <vt:lpstr>'450'!OSRRefP22_7x_0</vt:lpstr>
      <vt:lpstr>'491'!OSRRefP22_7x_0</vt:lpstr>
      <vt:lpstr>'492'!OSRRefP22_7x_0</vt:lpstr>
      <vt:lpstr>'501'!OSRRefP22_7x_0</vt:lpstr>
      <vt:lpstr>'Div 2'!OSRRefP22_7x_0</vt:lpstr>
      <vt:lpstr>'Div 3'!OSRRefP22_7x_0</vt:lpstr>
      <vt:lpstr>'Div 4'!OSRRefP22_7x_0</vt:lpstr>
      <vt:lpstr>'Div 5'!OSRRefP22_7x_0</vt:lpstr>
      <vt:lpstr>'Div 6'!OSRRefP22_7x_0</vt:lpstr>
      <vt:lpstr>Summary!OSRRefP22_7x_0</vt:lpstr>
      <vt:lpstr>'201'!OSRRefP22_8x_0</vt:lpstr>
      <vt:lpstr>'202'!OSRRefP22_8x_0</vt:lpstr>
      <vt:lpstr>'203'!OSRRefP22_8x_0</vt:lpstr>
      <vt:lpstr>'300'!OSRRefP22_8x_0</vt:lpstr>
      <vt:lpstr>'300 &amp; 317'!OSRRefP22_8x_0</vt:lpstr>
      <vt:lpstr>'301'!OSRRefP22_8x_0</vt:lpstr>
      <vt:lpstr>'307'!OSRRefP22_8x_0</vt:lpstr>
      <vt:lpstr>'308'!OSRRefP22_8x_0</vt:lpstr>
      <vt:lpstr>'310'!OSRRefP22_8x_0</vt:lpstr>
      <vt:lpstr>'310 &amp; 491'!OSRRefP22_8x_0</vt:lpstr>
      <vt:lpstr>'311'!OSRRefP22_8x_0</vt:lpstr>
      <vt:lpstr>'315'!OSRRefP22_8x_0</vt:lpstr>
      <vt:lpstr>'316'!OSRRefP22_8x_0</vt:lpstr>
      <vt:lpstr>'317'!OSRRefP22_8x_0</vt:lpstr>
      <vt:lpstr>'325'!OSRRefP22_8x_0</vt:lpstr>
      <vt:lpstr>'326'!OSRRefP22_8x_0</vt:lpstr>
      <vt:lpstr>'330'!OSRRefP22_8x_0</vt:lpstr>
      <vt:lpstr>'331'!OSRRefP22_8x_0</vt:lpstr>
      <vt:lpstr>'332'!OSRRefP22_8x_0</vt:lpstr>
      <vt:lpstr>'405'!OSRRefP22_8x_0</vt:lpstr>
      <vt:lpstr>'411'!OSRRefP22_8x_0</vt:lpstr>
      <vt:lpstr>'415'!OSRRefP22_8x_0</vt:lpstr>
      <vt:lpstr>'418'!OSRRefP22_8x_0</vt:lpstr>
      <vt:lpstr>'433'!OSRRefP22_8x_0</vt:lpstr>
      <vt:lpstr>'444'!OSRRefP22_8x_0</vt:lpstr>
      <vt:lpstr>'450'!OSRRefP22_8x_0</vt:lpstr>
      <vt:lpstr>'491'!OSRRefP22_8x_0</vt:lpstr>
      <vt:lpstr>'492'!OSRRefP22_8x_0</vt:lpstr>
      <vt:lpstr>'501'!OSRRefP22_8x_0</vt:lpstr>
      <vt:lpstr>'Div 2'!OSRRefP22_8x_0</vt:lpstr>
      <vt:lpstr>'Div 3'!OSRRefP22_8x_0</vt:lpstr>
      <vt:lpstr>'Div 4'!OSRRefP22_8x_0</vt:lpstr>
      <vt:lpstr>'Div 5'!OSRRefP22_8x_0</vt:lpstr>
      <vt:lpstr>'Div 6'!OSRRefP22_8x_0</vt:lpstr>
      <vt:lpstr>Summary!OSRRefP22_8x_0</vt:lpstr>
      <vt:lpstr>'201'!OSRRefP22_9x_0</vt:lpstr>
      <vt:lpstr>'202'!OSRRefP22_9x_0</vt:lpstr>
      <vt:lpstr>'203'!OSRRefP22_9x_0</vt:lpstr>
      <vt:lpstr>'300'!OSRRefP22_9x_0</vt:lpstr>
      <vt:lpstr>'300 &amp; 317'!OSRRefP22_9x_0</vt:lpstr>
      <vt:lpstr>'301'!OSRRefP22_9x_0</vt:lpstr>
      <vt:lpstr>'307'!OSRRefP22_9x_0</vt:lpstr>
      <vt:lpstr>'308'!OSRRefP22_9x_0</vt:lpstr>
      <vt:lpstr>'310'!OSRRefP22_9x_0</vt:lpstr>
      <vt:lpstr>'310 &amp; 491'!OSRRefP22_9x_0</vt:lpstr>
      <vt:lpstr>'311'!OSRRefP22_9x_0</vt:lpstr>
      <vt:lpstr>'315'!OSRRefP22_9x_0</vt:lpstr>
      <vt:lpstr>'316'!OSRRefP22_9x_0</vt:lpstr>
      <vt:lpstr>'317'!OSRRefP22_9x_0</vt:lpstr>
      <vt:lpstr>'325'!OSRRefP22_9x_0</vt:lpstr>
      <vt:lpstr>'326'!OSRRefP22_9x_0</vt:lpstr>
      <vt:lpstr>'330'!OSRRefP22_9x_0</vt:lpstr>
      <vt:lpstr>'331'!OSRRefP22_9x_0</vt:lpstr>
      <vt:lpstr>'332'!OSRRefP22_9x_0</vt:lpstr>
      <vt:lpstr>'405'!OSRRefP22_9x_0</vt:lpstr>
      <vt:lpstr>'411'!OSRRefP22_9x_0</vt:lpstr>
      <vt:lpstr>'415'!OSRRefP22_9x_0</vt:lpstr>
      <vt:lpstr>'418'!OSRRefP22_9x_0</vt:lpstr>
      <vt:lpstr>'433'!OSRRefP22_9x_0</vt:lpstr>
      <vt:lpstr>'444'!OSRRefP22_9x_0</vt:lpstr>
      <vt:lpstr>'450'!OSRRefP22_9x_0</vt:lpstr>
      <vt:lpstr>'491'!OSRRefP22_9x_0</vt:lpstr>
      <vt:lpstr>'492'!OSRRefP22_9x_0</vt:lpstr>
      <vt:lpstr>'501'!OSRRefP22_9x_0</vt:lpstr>
      <vt:lpstr>'Div 2'!OSRRefP22_9x_0</vt:lpstr>
      <vt:lpstr>'Div 3'!OSRRefP22_9x_0</vt:lpstr>
      <vt:lpstr>'Div 4'!OSRRefP22_9x_0</vt:lpstr>
      <vt:lpstr>'Div 5'!OSRRefP22_9x_0</vt:lpstr>
      <vt:lpstr>'Div 6'!OSRRefP22_9x_0</vt:lpstr>
      <vt:lpstr>Summary!OSRRefP22_9x_0</vt:lpstr>
      <vt:lpstr>'200'!OSRRefP22x_0</vt:lpstr>
      <vt:lpstr>'201'!OSRRefP22x_0</vt:lpstr>
      <vt:lpstr>'202'!OSRRefP22x_0</vt:lpstr>
      <vt:lpstr>'203'!OSRRefP22x_0</vt:lpstr>
      <vt:lpstr>'204'!OSRRefP22x_0</vt:lpstr>
      <vt:lpstr>'205'!OSRRefP22x_0</vt:lpstr>
      <vt:lpstr>'206'!OSRRefP22x_0</vt:lpstr>
      <vt:lpstr>'300'!OSRRefP22x_0</vt:lpstr>
      <vt:lpstr>'300 &amp; 317'!OSRRefP22x_0</vt:lpstr>
      <vt:lpstr>'301'!OSRRefP22x_0</vt:lpstr>
      <vt:lpstr>'307'!OSRRefP22x_0</vt:lpstr>
      <vt:lpstr>'308'!OSRRefP22x_0</vt:lpstr>
      <vt:lpstr>'309'!OSRRefP22x_0</vt:lpstr>
      <vt:lpstr>'310'!OSRRefP22x_0</vt:lpstr>
      <vt:lpstr>'310 &amp; 491'!OSRRefP22x_0</vt:lpstr>
      <vt:lpstr>'311'!OSRRefP22x_0</vt:lpstr>
      <vt:lpstr>'313'!OSRRefP22x_0</vt:lpstr>
      <vt:lpstr>'315'!OSRRefP22x_0</vt:lpstr>
      <vt:lpstr>'316'!OSRRefP22x_0</vt:lpstr>
      <vt:lpstr>'317'!OSRRefP22x_0</vt:lpstr>
      <vt:lpstr>'321'!OSRRefP22x_0</vt:lpstr>
      <vt:lpstr>'325'!OSRRefP22x_0</vt:lpstr>
      <vt:lpstr>'326'!OSRRefP22x_0</vt:lpstr>
      <vt:lpstr>'330'!OSRRefP22x_0</vt:lpstr>
      <vt:lpstr>'331'!OSRRefP22x_0</vt:lpstr>
      <vt:lpstr>'332'!OSRRefP22x_0</vt:lpstr>
      <vt:lpstr>'405'!OSRRefP22x_0</vt:lpstr>
      <vt:lpstr>'411'!OSRRefP22x_0</vt:lpstr>
      <vt:lpstr>'412'!OSRRefP22x_0</vt:lpstr>
      <vt:lpstr>'413'!OSRRefP22x_0</vt:lpstr>
      <vt:lpstr>'415'!OSRRefP22x_0</vt:lpstr>
      <vt:lpstr>'418'!OSRRefP22x_0</vt:lpstr>
      <vt:lpstr>'423'!OSRRefP22x_0</vt:lpstr>
      <vt:lpstr>'424'!OSRRefP22x_0</vt:lpstr>
      <vt:lpstr>'425'!OSRRefP22x_0</vt:lpstr>
      <vt:lpstr>'430'!OSRRefP22x_0</vt:lpstr>
      <vt:lpstr>'433'!OSRRefP22x_0</vt:lpstr>
      <vt:lpstr>'444'!OSRRefP22x_0</vt:lpstr>
      <vt:lpstr>'450'!OSRRefP22x_0</vt:lpstr>
      <vt:lpstr>'491'!OSRRefP22x_0</vt:lpstr>
      <vt:lpstr>'492'!OSRRefP22x_0</vt:lpstr>
      <vt:lpstr>'501'!OSRRefP22x_0</vt:lpstr>
      <vt:lpstr>'Div 2'!OSRRefP22x_0</vt:lpstr>
      <vt:lpstr>'Div 3'!OSRRefP22x_0</vt:lpstr>
      <vt:lpstr>'Div 4'!OSRRefP22x_0</vt:lpstr>
      <vt:lpstr>'Div 5'!OSRRefP22x_0</vt:lpstr>
      <vt:lpstr>'Div 6'!OSRRefP22x_0</vt:lpstr>
      <vt:lpstr>Summary!OSRRefP22x_0</vt:lpstr>
      <vt:lpstr>'300'!OSRRefP25x_0</vt:lpstr>
      <vt:lpstr>'300 &amp; 317'!OSRRefP25x_0</vt:lpstr>
      <vt:lpstr>'301'!OSRRefP25x_0</vt:lpstr>
      <vt:lpstr>'308'!OSRRefP25x_0</vt:lpstr>
      <vt:lpstr>'310 &amp; 491'!OSRRefP25x_0</vt:lpstr>
      <vt:lpstr>'311'!OSRRefP25x_0</vt:lpstr>
      <vt:lpstr>'315'!OSRRefP25x_0</vt:lpstr>
      <vt:lpstr>'316'!OSRRefP25x_0</vt:lpstr>
      <vt:lpstr>'317'!OSRRefP25x_0</vt:lpstr>
      <vt:lpstr>'331'!OSRRefP25x_0</vt:lpstr>
      <vt:lpstr>'332'!OSRRefP25x_0</vt:lpstr>
      <vt:lpstr>'411'!OSRRefP25x_0</vt:lpstr>
      <vt:lpstr>'415'!OSRRefP25x_0</vt:lpstr>
      <vt:lpstr>'455'!OSRRefP25x_0</vt:lpstr>
      <vt:lpstr>'491'!OSRRefP25x_0</vt:lpstr>
      <vt:lpstr>'501'!OSRRefP25x_0</vt:lpstr>
      <vt:lpstr>'Div 3'!OSRRefP25x_0</vt:lpstr>
      <vt:lpstr>'Div 4'!OSRRefP25x_0</vt:lpstr>
      <vt:lpstr>'Div 5'!OSRRefP25x_0</vt:lpstr>
      <vt:lpstr>'Div 6'!OSRRefP25x_0</vt:lpstr>
      <vt:lpstr>Summary!OSRRefP25x_0</vt:lpstr>
      <vt:lpstr>'300'!OSRRefT13x_0</vt:lpstr>
      <vt:lpstr>'300 &amp; 317'!OSRRefT13x_0</vt:lpstr>
      <vt:lpstr>'307'!OSRRefT13x_0</vt:lpstr>
      <vt:lpstr>'308'!OSRRefT13x_0</vt:lpstr>
      <vt:lpstr>'310'!OSRRefT13x_0</vt:lpstr>
      <vt:lpstr>'310 &amp; 491'!OSRRefT13x_0</vt:lpstr>
      <vt:lpstr>'311'!OSRRefT13x_0</vt:lpstr>
      <vt:lpstr>'315'!OSRRefT13x_0</vt:lpstr>
      <vt:lpstr>'316'!OSRRefT13x_0</vt:lpstr>
      <vt:lpstr>'317'!OSRRefT13x_0</vt:lpstr>
      <vt:lpstr>'321'!OSRRefT13x_0</vt:lpstr>
      <vt:lpstr>'324'!OSRRefT13x_0</vt:lpstr>
      <vt:lpstr>'325'!OSRRefT13x_0</vt:lpstr>
      <vt:lpstr>'326'!OSRRefT13x_0</vt:lpstr>
      <vt:lpstr>'330'!OSRRefT13x_0</vt:lpstr>
      <vt:lpstr>'331'!OSRRefT13x_0</vt:lpstr>
      <vt:lpstr>'332'!OSRRefT13x_0</vt:lpstr>
      <vt:lpstr>'415'!OSRRefT13x_0</vt:lpstr>
      <vt:lpstr>'418'!OSRRefT13x_0</vt:lpstr>
      <vt:lpstr>'444'!OSRRefT13x_0</vt:lpstr>
      <vt:lpstr>'491'!OSRRefT13x_0</vt:lpstr>
      <vt:lpstr>'492'!OSRRefT13x_0</vt:lpstr>
      <vt:lpstr>'501'!OSRRefT13x_0</vt:lpstr>
      <vt:lpstr>'Div 3'!OSRRefT13x_0</vt:lpstr>
      <vt:lpstr>'Div 4'!OSRRefT13x_0</vt:lpstr>
      <vt:lpstr>'Div 5'!OSRRefT13x_0</vt:lpstr>
      <vt:lpstr>'Div 6'!OSRRefT13x_0</vt:lpstr>
      <vt:lpstr>Summary!OSRRefT13x_0</vt:lpstr>
      <vt:lpstr>'300'!OSRRefT16x_0</vt:lpstr>
      <vt:lpstr>'300 &amp; 317'!OSRRefT16x_0</vt:lpstr>
      <vt:lpstr>'307'!OSRRefT16x_0</vt:lpstr>
      <vt:lpstr>'308'!OSRRefT16x_0</vt:lpstr>
      <vt:lpstr>'310'!OSRRefT16x_0</vt:lpstr>
      <vt:lpstr>'310 &amp; 491'!OSRRefT16x_0</vt:lpstr>
      <vt:lpstr>'311'!OSRRefT16x_0</vt:lpstr>
      <vt:lpstr>'315'!OSRRefT16x_0</vt:lpstr>
      <vt:lpstr>'316'!OSRRefT16x_0</vt:lpstr>
      <vt:lpstr>'317'!OSRRefT16x_0</vt:lpstr>
      <vt:lpstr>'321'!OSRRefT16x_0</vt:lpstr>
      <vt:lpstr>'324'!OSRRefT16x_0</vt:lpstr>
      <vt:lpstr>'325'!OSRRefT16x_0</vt:lpstr>
      <vt:lpstr>'326'!OSRRefT16x_0</vt:lpstr>
      <vt:lpstr>'330'!OSRRefT16x_0</vt:lpstr>
      <vt:lpstr>'331'!OSRRefT16x_0</vt:lpstr>
      <vt:lpstr>'332'!OSRRefT16x_0</vt:lpstr>
      <vt:lpstr>'405'!OSRRefT16x_0</vt:lpstr>
      <vt:lpstr>'415'!OSRRefT16x_0</vt:lpstr>
      <vt:lpstr>'418'!OSRRefT16x_0</vt:lpstr>
      <vt:lpstr>'425'!OSRRefT16x_0</vt:lpstr>
      <vt:lpstr>'444'!OSRRefT16x_0</vt:lpstr>
      <vt:lpstr>'491'!OSRRefT16x_0</vt:lpstr>
      <vt:lpstr>'492'!OSRRefT16x_0</vt:lpstr>
      <vt:lpstr>'Div 3'!OSRRefT16x_0</vt:lpstr>
      <vt:lpstr>'Div 4'!OSRRefT16x_0</vt:lpstr>
      <vt:lpstr>'Div 6'!OSRRefT16x_0</vt:lpstr>
      <vt:lpstr>Summary!OSRRefT16x_0</vt:lpstr>
      <vt:lpstr>'200'!OSRRefT22_0x_0</vt:lpstr>
      <vt:lpstr>'201'!OSRRefT22_0x_0</vt:lpstr>
      <vt:lpstr>'202'!OSRRefT22_0x_0</vt:lpstr>
      <vt:lpstr>'203'!OSRRefT22_0x_0</vt:lpstr>
      <vt:lpstr>'204'!OSRRefT22_0x_0</vt:lpstr>
      <vt:lpstr>'205'!OSRRefT22_0x_0</vt:lpstr>
      <vt:lpstr>'206'!OSRRefT22_0x_0</vt:lpstr>
      <vt:lpstr>'300'!OSRRefT22_0x_0</vt:lpstr>
      <vt:lpstr>'300 &amp; 317'!OSRRefT22_0x_0</vt:lpstr>
      <vt:lpstr>'301'!OSRRefT22_0x_0</vt:lpstr>
      <vt:lpstr>'307'!OSRRefT22_0x_0</vt:lpstr>
      <vt:lpstr>'308'!OSRRefT22_0x_0</vt:lpstr>
      <vt:lpstr>'309'!OSRRefT22_0x_0</vt:lpstr>
      <vt:lpstr>'310'!OSRRefT22_0x_0</vt:lpstr>
      <vt:lpstr>'310 &amp; 491'!OSRRefT22_0x_0</vt:lpstr>
      <vt:lpstr>'311'!OSRRefT22_0x_0</vt:lpstr>
      <vt:lpstr>'313'!OSRRefT22_0x_0</vt:lpstr>
      <vt:lpstr>'315'!OSRRefT22_0x_0</vt:lpstr>
      <vt:lpstr>'316'!OSRRefT22_0x_0</vt:lpstr>
      <vt:lpstr>'317'!OSRRefT22_0x_0</vt:lpstr>
      <vt:lpstr>'321'!OSRRefT22_0x_0</vt:lpstr>
      <vt:lpstr>'325'!OSRRefT22_0x_0</vt:lpstr>
      <vt:lpstr>'326'!OSRRefT22_0x_0</vt:lpstr>
      <vt:lpstr>'330'!OSRRefT22_0x_0</vt:lpstr>
      <vt:lpstr>'331'!OSRRefT22_0x_0</vt:lpstr>
      <vt:lpstr>'332'!OSRRefT22_0x_0</vt:lpstr>
      <vt:lpstr>'405'!OSRRefT22_0x_0</vt:lpstr>
      <vt:lpstr>'411'!OSRRefT22_0x_0</vt:lpstr>
      <vt:lpstr>'412'!OSRRefT22_0x_0</vt:lpstr>
      <vt:lpstr>'413'!OSRRefT22_0x_0</vt:lpstr>
      <vt:lpstr>'415'!OSRRefT22_0x_0</vt:lpstr>
      <vt:lpstr>'418'!OSRRefT22_0x_0</vt:lpstr>
      <vt:lpstr>'423'!OSRRefT22_0x_0</vt:lpstr>
      <vt:lpstr>'424'!OSRRefT22_0x_0</vt:lpstr>
      <vt:lpstr>'425'!OSRRefT22_0x_0</vt:lpstr>
      <vt:lpstr>'430'!OSRRefT22_0x_0</vt:lpstr>
      <vt:lpstr>'433'!OSRRefT22_0x_0</vt:lpstr>
      <vt:lpstr>'444'!OSRRefT22_0x_0</vt:lpstr>
      <vt:lpstr>'450'!OSRRefT22_0x_0</vt:lpstr>
      <vt:lpstr>'491'!OSRRefT22_0x_0</vt:lpstr>
      <vt:lpstr>'492'!OSRRefT22_0x_0</vt:lpstr>
      <vt:lpstr>'501'!OSRRefT22_0x_0</vt:lpstr>
      <vt:lpstr>'Div 2'!OSRRefT22_0x_0</vt:lpstr>
      <vt:lpstr>'Div 3'!OSRRefT22_0x_0</vt:lpstr>
      <vt:lpstr>'Div 4'!OSRRefT22_0x_0</vt:lpstr>
      <vt:lpstr>'Div 5'!OSRRefT22_0x_0</vt:lpstr>
      <vt:lpstr>'Div 6'!OSRRefT22_0x_0</vt:lpstr>
      <vt:lpstr>Summary!OSRRefT22_0x_0</vt:lpstr>
      <vt:lpstr>'201'!OSRRefT22_10x_0</vt:lpstr>
      <vt:lpstr>'202'!OSRRefT22_10x_0</vt:lpstr>
      <vt:lpstr>'203'!OSRRefT22_10x_0</vt:lpstr>
      <vt:lpstr>'300'!OSRRefT22_10x_0</vt:lpstr>
      <vt:lpstr>'300 &amp; 317'!OSRRefT22_10x_0</vt:lpstr>
      <vt:lpstr>'301'!OSRRefT22_10x_0</vt:lpstr>
      <vt:lpstr>'308'!OSRRefT22_10x_0</vt:lpstr>
      <vt:lpstr>'310'!OSRRefT22_10x_0</vt:lpstr>
      <vt:lpstr>'310 &amp; 491'!OSRRefT22_10x_0</vt:lpstr>
      <vt:lpstr>'311'!OSRRefT22_10x_0</vt:lpstr>
      <vt:lpstr>'315'!OSRRefT22_10x_0</vt:lpstr>
      <vt:lpstr>'325'!OSRRefT22_10x_0</vt:lpstr>
      <vt:lpstr>'326'!OSRRefT22_10x_0</vt:lpstr>
      <vt:lpstr>'331'!OSRRefT22_10x_0</vt:lpstr>
      <vt:lpstr>'405'!OSRRefT22_10x_0</vt:lpstr>
      <vt:lpstr>'411'!OSRRefT22_10x_0</vt:lpstr>
      <vt:lpstr>'415'!OSRRefT22_10x_0</vt:lpstr>
      <vt:lpstr>'418'!OSRRefT22_10x_0</vt:lpstr>
      <vt:lpstr>'433'!OSRRefT22_10x_0</vt:lpstr>
      <vt:lpstr>'444'!OSRRefT22_10x_0</vt:lpstr>
      <vt:lpstr>'450'!OSRRefT22_10x_0</vt:lpstr>
      <vt:lpstr>'491'!OSRRefT22_10x_0</vt:lpstr>
      <vt:lpstr>'492'!OSRRefT22_10x_0</vt:lpstr>
      <vt:lpstr>'501'!OSRRefT22_10x_0</vt:lpstr>
      <vt:lpstr>'Div 2'!OSRRefT22_10x_0</vt:lpstr>
      <vt:lpstr>'Div 3'!OSRRefT22_10x_0</vt:lpstr>
      <vt:lpstr>'Div 4'!OSRRefT22_10x_0</vt:lpstr>
      <vt:lpstr>'Div 5'!OSRRefT22_10x_0</vt:lpstr>
      <vt:lpstr>Summary!OSRRefT22_10x_0</vt:lpstr>
      <vt:lpstr>'203'!OSRRefT22_11x_0</vt:lpstr>
      <vt:lpstr>'300'!OSRRefT22_11x_0</vt:lpstr>
      <vt:lpstr>'300 &amp; 317'!OSRRefT22_11x_0</vt:lpstr>
      <vt:lpstr>'301'!OSRRefT22_11x_0</vt:lpstr>
      <vt:lpstr>'308'!OSRRefT22_11x_0</vt:lpstr>
      <vt:lpstr>'310'!OSRRefT22_11x_0</vt:lpstr>
      <vt:lpstr>'310 &amp; 491'!OSRRefT22_11x_0</vt:lpstr>
      <vt:lpstr>'311'!OSRRefT22_11x_0</vt:lpstr>
      <vt:lpstr>'315'!OSRRefT22_11x_0</vt:lpstr>
      <vt:lpstr>'325'!OSRRefT22_11x_0</vt:lpstr>
      <vt:lpstr>'326'!OSRRefT22_11x_0</vt:lpstr>
      <vt:lpstr>'331'!OSRRefT22_11x_0</vt:lpstr>
      <vt:lpstr>'411'!OSRRefT22_11x_0</vt:lpstr>
      <vt:lpstr>'415'!OSRRefT22_11x_0</vt:lpstr>
      <vt:lpstr>'418'!OSRRefT22_11x_0</vt:lpstr>
      <vt:lpstr>'433'!OSRRefT22_11x_0</vt:lpstr>
      <vt:lpstr>'444'!OSRRefT22_11x_0</vt:lpstr>
      <vt:lpstr>'450'!OSRRefT22_11x_0</vt:lpstr>
      <vt:lpstr>'491'!OSRRefT22_11x_0</vt:lpstr>
      <vt:lpstr>'492'!OSRRefT22_11x_0</vt:lpstr>
      <vt:lpstr>'501'!OSRRefT22_11x_0</vt:lpstr>
      <vt:lpstr>'Div 2'!OSRRefT22_11x_0</vt:lpstr>
      <vt:lpstr>'Div 3'!OSRRefT22_11x_0</vt:lpstr>
      <vt:lpstr>'Div 4'!OSRRefT22_11x_0</vt:lpstr>
      <vt:lpstr>'Div 5'!OSRRefT22_11x_0</vt:lpstr>
      <vt:lpstr>Summary!OSRRefT22_11x_0</vt:lpstr>
      <vt:lpstr>'203'!OSRRefT22_12x_0</vt:lpstr>
      <vt:lpstr>'300'!OSRRefT22_12x_0</vt:lpstr>
      <vt:lpstr>'300 &amp; 317'!OSRRefT22_12x_0</vt:lpstr>
      <vt:lpstr>'301'!OSRRefT22_12x_0</vt:lpstr>
      <vt:lpstr>'310'!OSRRefT22_12x_0</vt:lpstr>
      <vt:lpstr>'310 &amp; 491'!OSRRefT22_12x_0</vt:lpstr>
      <vt:lpstr>'315'!OSRRefT22_12x_0</vt:lpstr>
      <vt:lpstr>'326'!OSRRefT22_12x_0</vt:lpstr>
      <vt:lpstr>'331'!OSRRefT22_12x_0</vt:lpstr>
      <vt:lpstr>'411'!OSRRefT22_12x_0</vt:lpstr>
      <vt:lpstr>'415'!OSRRefT22_12x_0</vt:lpstr>
      <vt:lpstr>'418'!OSRRefT22_12x_0</vt:lpstr>
      <vt:lpstr>'444'!OSRRefT22_12x_0</vt:lpstr>
      <vt:lpstr>'491'!OSRRefT22_12x_0</vt:lpstr>
      <vt:lpstr>'492'!OSRRefT22_12x_0</vt:lpstr>
      <vt:lpstr>'501'!OSRRefT22_12x_0</vt:lpstr>
      <vt:lpstr>'Div 2'!OSRRefT22_12x_0</vt:lpstr>
      <vt:lpstr>'Div 3'!OSRRefT22_12x_0</vt:lpstr>
      <vt:lpstr>'Div 4'!OSRRefT22_12x_0</vt:lpstr>
      <vt:lpstr>'Div 5'!OSRRefT22_12x_0</vt:lpstr>
      <vt:lpstr>Summary!OSRRefT22_12x_0</vt:lpstr>
      <vt:lpstr>'203'!OSRRefT22_13x_0</vt:lpstr>
      <vt:lpstr>'300'!OSRRefT22_13x_0</vt:lpstr>
      <vt:lpstr>'300 &amp; 317'!OSRRefT22_13x_0</vt:lpstr>
      <vt:lpstr>'301'!OSRRefT22_13x_0</vt:lpstr>
      <vt:lpstr>'310'!OSRRefT22_13x_0</vt:lpstr>
      <vt:lpstr>'310 &amp; 491'!OSRRefT22_13x_0</vt:lpstr>
      <vt:lpstr>'315'!OSRRefT22_13x_0</vt:lpstr>
      <vt:lpstr>'326'!OSRRefT22_13x_0</vt:lpstr>
      <vt:lpstr>'331'!OSRRefT22_13x_0</vt:lpstr>
      <vt:lpstr>'415'!OSRRefT22_13x_0</vt:lpstr>
      <vt:lpstr>'444'!OSRRefT22_13x_0</vt:lpstr>
      <vt:lpstr>'491'!OSRRefT22_13x_0</vt:lpstr>
      <vt:lpstr>'492'!OSRRefT22_13x_0</vt:lpstr>
      <vt:lpstr>'Div 2'!OSRRefT22_13x_0</vt:lpstr>
      <vt:lpstr>'Div 3'!OSRRefT22_13x_0</vt:lpstr>
      <vt:lpstr>'Div 4'!OSRRefT22_13x_0</vt:lpstr>
      <vt:lpstr>Summary!OSRRefT22_13x_0</vt:lpstr>
      <vt:lpstr>'300'!OSRRefT22_14x_0</vt:lpstr>
      <vt:lpstr>'300 &amp; 317'!OSRRefT22_14x_0</vt:lpstr>
      <vt:lpstr>'301'!OSRRefT22_14x_0</vt:lpstr>
      <vt:lpstr>'310 &amp; 491'!OSRRefT22_14x_0</vt:lpstr>
      <vt:lpstr>'315'!OSRRefT22_14x_0</vt:lpstr>
      <vt:lpstr>'326'!OSRRefT22_14x_0</vt:lpstr>
      <vt:lpstr>'331'!OSRRefT22_14x_0</vt:lpstr>
      <vt:lpstr>'415'!OSRRefT22_14x_0</vt:lpstr>
      <vt:lpstr>'491'!OSRRefT22_14x_0</vt:lpstr>
      <vt:lpstr>'492'!OSRRefT22_14x_0</vt:lpstr>
      <vt:lpstr>'Div 2'!OSRRefT22_14x_0</vt:lpstr>
      <vt:lpstr>'Div 3'!OSRRefT22_14x_0</vt:lpstr>
      <vt:lpstr>'Div 4'!OSRRefT22_14x_0</vt:lpstr>
      <vt:lpstr>Summary!OSRRefT22_14x_0</vt:lpstr>
      <vt:lpstr>'300'!OSRRefT22_15x_0</vt:lpstr>
      <vt:lpstr>'300 &amp; 317'!OSRRefT22_15x_0</vt:lpstr>
      <vt:lpstr>'301'!OSRRefT22_15x_0</vt:lpstr>
      <vt:lpstr>'310 &amp; 491'!OSRRefT22_15x_0</vt:lpstr>
      <vt:lpstr>'315'!OSRRefT22_15x_0</vt:lpstr>
      <vt:lpstr>'326'!OSRRefT22_15x_0</vt:lpstr>
      <vt:lpstr>'331'!OSRRefT22_15x_0</vt:lpstr>
      <vt:lpstr>'415'!OSRRefT22_15x_0</vt:lpstr>
      <vt:lpstr>'491'!OSRRefT22_15x_0</vt:lpstr>
      <vt:lpstr>'492'!OSRRefT22_15x_0</vt:lpstr>
      <vt:lpstr>'Div 2'!OSRRefT22_15x_0</vt:lpstr>
      <vt:lpstr>'Div 3'!OSRRefT22_15x_0</vt:lpstr>
      <vt:lpstr>'Div 4'!OSRRefT22_15x_0</vt:lpstr>
      <vt:lpstr>Summary!OSRRefT22_15x_0</vt:lpstr>
      <vt:lpstr>'300'!OSRRefT22_16x_0</vt:lpstr>
      <vt:lpstr>'300 &amp; 317'!OSRRefT22_16x_0</vt:lpstr>
      <vt:lpstr>'301'!OSRRefT22_16x_0</vt:lpstr>
      <vt:lpstr>'310 &amp; 491'!OSRRefT22_16x_0</vt:lpstr>
      <vt:lpstr>'326'!OSRRefT22_16x_0</vt:lpstr>
      <vt:lpstr>'331'!OSRRefT22_16x_0</vt:lpstr>
      <vt:lpstr>'415'!OSRRefT22_16x_0</vt:lpstr>
      <vt:lpstr>'491'!OSRRefT22_16x_0</vt:lpstr>
      <vt:lpstr>'Div 2'!OSRRefT22_16x_0</vt:lpstr>
      <vt:lpstr>'Div 3'!OSRRefT22_16x_0</vt:lpstr>
      <vt:lpstr>'Div 4'!OSRRefT22_16x_0</vt:lpstr>
      <vt:lpstr>Summary!OSRRefT22_16x_0</vt:lpstr>
      <vt:lpstr>'300'!OSRRefT22_17x_0</vt:lpstr>
      <vt:lpstr>'300 &amp; 317'!OSRRefT22_17x_0</vt:lpstr>
      <vt:lpstr>'301'!OSRRefT22_17x_0</vt:lpstr>
      <vt:lpstr>'310 &amp; 491'!OSRRefT22_17x_0</vt:lpstr>
      <vt:lpstr>'326'!OSRRefT22_17x_0</vt:lpstr>
      <vt:lpstr>'331'!OSRRefT22_17x_0</vt:lpstr>
      <vt:lpstr>'491'!OSRRefT22_17x_0</vt:lpstr>
      <vt:lpstr>'Div 2'!OSRRefT22_17x_0</vt:lpstr>
      <vt:lpstr>'Div 3'!OSRRefT22_17x_0</vt:lpstr>
      <vt:lpstr>'Div 4'!OSRRefT22_17x_0</vt:lpstr>
      <vt:lpstr>Summary!OSRRefT22_17x_0</vt:lpstr>
      <vt:lpstr>'300'!OSRRefT22_18x_0</vt:lpstr>
      <vt:lpstr>'300 &amp; 317'!OSRRefT22_18x_0</vt:lpstr>
      <vt:lpstr>'301'!OSRRefT22_18x_0</vt:lpstr>
      <vt:lpstr>'310 &amp; 491'!OSRRefT22_18x_0</vt:lpstr>
      <vt:lpstr>'331'!OSRRefT22_18x_0</vt:lpstr>
      <vt:lpstr>'Div 2'!OSRRefT22_18x_0</vt:lpstr>
      <vt:lpstr>'Div 3'!OSRRefT22_18x_0</vt:lpstr>
      <vt:lpstr>'Div 4'!OSRRefT22_18x_0</vt:lpstr>
      <vt:lpstr>Summary!OSRRefT22_18x_0</vt:lpstr>
      <vt:lpstr>'300'!OSRRefT22_19x_0</vt:lpstr>
      <vt:lpstr>'300 &amp; 317'!OSRRefT22_19x_0</vt:lpstr>
      <vt:lpstr>'331'!OSRRefT22_19x_0</vt:lpstr>
      <vt:lpstr>'Div 2'!OSRRefT22_19x_0</vt:lpstr>
      <vt:lpstr>'Div 3'!OSRRefT22_19x_0</vt:lpstr>
      <vt:lpstr>'Div 4'!OSRRefT22_19x_0</vt:lpstr>
      <vt:lpstr>Summary!OSRRefT22_19x_0</vt:lpstr>
      <vt:lpstr>'200'!OSRRefT22_1x_0</vt:lpstr>
      <vt:lpstr>'201'!OSRRefT22_1x_0</vt:lpstr>
      <vt:lpstr>'202'!OSRRefT22_1x_0</vt:lpstr>
      <vt:lpstr>'203'!OSRRefT22_1x_0</vt:lpstr>
      <vt:lpstr>'204'!OSRRefT22_1x_0</vt:lpstr>
      <vt:lpstr>'205'!OSRRefT22_1x_0</vt:lpstr>
      <vt:lpstr>'206'!OSRRefT22_1x_0</vt:lpstr>
      <vt:lpstr>'300'!OSRRefT22_1x_0</vt:lpstr>
      <vt:lpstr>'300 &amp; 317'!OSRRefT22_1x_0</vt:lpstr>
      <vt:lpstr>'301'!OSRRefT22_1x_0</vt:lpstr>
      <vt:lpstr>'307'!OSRRefT22_1x_0</vt:lpstr>
      <vt:lpstr>'308'!OSRRefT22_1x_0</vt:lpstr>
      <vt:lpstr>'309'!OSRRefT22_1x_0</vt:lpstr>
      <vt:lpstr>'310'!OSRRefT22_1x_0</vt:lpstr>
      <vt:lpstr>'310 &amp; 491'!OSRRefT22_1x_0</vt:lpstr>
      <vt:lpstr>'311'!OSRRefT22_1x_0</vt:lpstr>
      <vt:lpstr>'315'!OSRRefT22_1x_0</vt:lpstr>
      <vt:lpstr>'316'!OSRRefT22_1x_0</vt:lpstr>
      <vt:lpstr>'317'!OSRRefT22_1x_0</vt:lpstr>
      <vt:lpstr>'321'!OSRRefT22_1x_0</vt:lpstr>
      <vt:lpstr>'325'!OSRRefT22_1x_0</vt:lpstr>
      <vt:lpstr>'326'!OSRRefT22_1x_0</vt:lpstr>
      <vt:lpstr>'330'!OSRRefT22_1x_0</vt:lpstr>
      <vt:lpstr>'331'!OSRRefT22_1x_0</vt:lpstr>
      <vt:lpstr>'332'!OSRRefT22_1x_0</vt:lpstr>
      <vt:lpstr>'405'!OSRRefT22_1x_0</vt:lpstr>
      <vt:lpstr>'411'!OSRRefT22_1x_0</vt:lpstr>
      <vt:lpstr>'412'!OSRRefT22_1x_0</vt:lpstr>
      <vt:lpstr>'413'!OSRRefT22_1x_0</vt:lpstr>
      <vt:lpstr>'415'!OSRRefT22_1x_0</vt:lpstr>
      <vt:lpstr>'418'!OSRRefT22_1x_0</vt:lpstr>
      <vt:lpstr>'423'!OSRRefT22_1x_0</vt:lpstr>
      <vt:lpstr>'424'!OSRRefT22_1x_0</vt:lpstr>
      <vt:lpstr>'425'!OSRRefT22_1x_0</vt:lpstr>
      <vt:lpstr>'430'!OSRRefT22_1x_0</vt:lpstr>
      <vt:lpstr>'433'!OSRRefT22_1x_0</vt:lpstr>
      <vt:lpstr>'444'!OSRRefT22_1x_0</vt:lpstr>
      <vt:lpstr>'450'!OSRRefT22_1x_0</vt:lpstr>
      <vt:lpstr>'491'!OSRRefT22_1x_0</vt:lpstr>
      <vt:lpstr>'492'!OSRRefT22_1x_0</vt:lpstr>
      <vt:lpstr>'501'!OSRRefT22_1x_0</vt:lpstr>
      <vt:lpstr>'Div 2'!OSRRefT22_1x_0</vt:lpstr>
      <vt:lpstr>'Div 3'!OSRRefT22_1x_0</vt:lpstr>
      <vt:lpstr>'Div 4'!OSRRefT22_1x_0</vt:lpstr>
      <vt:lpstr>'Div 5'!OSRRefT22_1x_0</vt:lpstr>
      <vt:lpstr>'Div 6'!OSRRefT22_1x_0</vt:lpstr>
      <vt:lpstr>Summary!OSRRefT22_1x_0</vt:lpstr>
      <vt:lpstr>'300'!OSRRefT22_20x_0</vt:lpstr>
      <vt:lpstr>'300 &amp; 317'!OSRRefT22_20x_0</vt:lpstr>
      <vt:lpstr>'Div 3'!OSRRefT22_20x_0</vt:lpstr>
      <vt:lpstr>Summary!OSRRefT22_20x_0</vt:lpstr>
      <vt:lpstr>'300'!OSRRefT22_21x_0</vt:lpstr>
      <vt:lpstr>'300 &amp; 317'!OSRRefT22_21x_0</vt:lpstr>
      <vt:lpstr>'Div 3'!OSRRefT22_21x_0</vt:lpstr>
      <vt:lpstr>Summary!OSRRefT22_21x_0</vt:lpstr>
      <vt:lpstr>'300'!OSRRefT22_22x_0</vt:lpstr>
      <vt:lpstr>'300 &amp; 317'!OSRRefT22_22x_0</vt:lpstr>
      <vt:lpstr>'Div 3'!OSRRefT22_22x_0</vt:lpstr>
      <vt:lpstr>Summary!OSRRefT22_22x_0</vt:lpstr>
      <vt:lpstr>'300'!OSRRefT22_23x_0</vt:lpstr>
      <vt:lpstr>'300 &amp; 317'!OSRRefT22_23x_0</vt:lpstr>
      <vt:lpstr>'Div 3'!OSRRefT22_23x_0</vt:lpstr>
      <vt:lpstr>Summary!OSRRefT22_23x_0</vt:lpstr>
      <vt:lpstr>'Div 3'!OSRRefT22_24x_0</vt:lpstr>
      <vt:lpstr>Summary!OSRRefT22_24x_0</vt:lpstr>
      <vt:lpstr>Summary!OSRRefT22_25x_0</vt:lpstr>
      <vt:lpstr>Summary!OSRRefT22_26x_0</vt:lpstr>
      <vt:lpstr>'200'!OSRRefT22_2x_0</vt:lpstr>
      <vt:lpstr>'201'!OSRRefT22_2x_0</vt:lpstr>
      <vt:lpstr>'202'!OSRRefT22_2x_0</vt:lpstr>
      <vt:lpstr>'203'!OSRRefT22_2x_0</vt:lpstr>
      <vt:lpstr>'204'!OSRRefT22_2x_0</vt:lpstr>
      <vt:lpstr>'205'!OSRRefT22_2x_0</vt:lpstr>
      <vt:lpstr>'206'!OSRRefT22_2x_0</vt:lpstr>
      <vt:lpstr>'300'!OSRRefT22_2x_0</vt:lpstr>
      <vt:lpstr>'300 &amp; 317'!OSRRefT22_2x_0</vt:lpstr>
      <vt:lpstr>'301'!OSRRefT22_2x_0</vt:lpstr>
      <vt:lpstr>'307'!OSRRefT22_2x_0</vt:lpstr>
      <vt:lpstr>'308'!OSRRefT22_2x_0</vt:lpstr>
      <vt:lpstr>'309'!OSRRefT22_2x_0</vt:lpstr>
      <vt:lpstr>'310'!OSRRefT22_2x_0</vt:lpstr>
      <vt:lpstr>'310 &amp; 491'!OSRRefT22_2x_0</vt:lpstr>
      <vt:lpstr>'311'!OSRRefT22_2x_0</vt:lpstr>
      <vt:lpstr>'315'!OSRRefT22_2x_0</vt:lpstr>
      <vt:lpstr>'316'!OSRRefT22_2x_0</vt:lpstr>
      <vt:lpstr>'317'!OSRRefT22_2x_0</vt:lpstr>
      <vt:lpstr>'321'!OSRRefT22_2x_0</vt:lpstr>
      <vt:lpstr>'325'!OSRRefT22_2x_0</vt:lpstr>
      <vt:lpstr>'326'!OSRRefT22_2x_0</vt:lpstr>
      <vt:lpstr>'330'!OSRRefT22_2x_0</vt:lpstr>
      <vt:lpstr>'331'!OSRRefT22_2x_0</vt:lpstr>
      <vt:lpstr>'332'!OSRRefT22_2x_0</vt:lpstr>
      <vt:lpstr>'405'!OSRRefT22_2x_0</vt:lpstr>
      <vt:lpstr>'411'!OSRRefT22_2x_0</vt:lpstr>
      <vt:lpstr>'412'!OSRRefT22_2x_0</vt:lpstr>
      <vt:lpstr>'415'!OSRRefT22_2x_0</vt:lpstr>
      <vt:lpstr>'418'!OSRRefT22_2x_0</vt:lpstr>
      <vt:lpstr>'423'!OSRRefT22_2x_0</vt:lpstr>
      <vt:lpstr>'430'!OSRRefT22_2x_0</vt:lpstr>
      <vt:lpstr>'433'!OSRRefT22_2x_0</vt:lpstr>
      <vt:lpstr>'444'!OSRRefT22_2x_0</vt:lpstr>
      <vt:lpstr>'450'!OSRRefT22_2x_0</vt:lpstr>
      <vt:lpstr>'491'!OSRRefT22_2x_0</vt:lpstr>
      <vt:lpstr>'492'!OSRRefT22_2x_0</vt:lpstr>
      <vt:lpstr>'501'!OSRRefT22_2x_0</vt:lpstr>
      <vt:lpstr>'Div 2'!OSRRefT22_2x_0</vt:lpstr>
      <vt:lpstr>'Div 3'!OSRRefT22_2x_0</vt:lpstr>
      <vt:lpstr>'Div 4'!OSRRefT22_2x_0</vt:lpstr>
      <vt:lpstr>'Div 5'!OSRRefT22_2x_0</vt:lpstr>
      <vt:lpstr>'Div 6'!OSRRefT22_2x_0</vt:lpstr>
      <vt:lpstr>Summary!OSRRefT22_2x_0</vt:lpstr>
      <vt:lpstr>'200'!OSRRefT22_3x_0</vt:lpstr>
      <vt:lpstr>'201'!OSRRefT22_3x_0</vt:lpstr>
      <vt:lpstr>'202'!OSRRefT22_3x_0</vt:lpstr>
      <vt:lpstr>'203'!OSRRefT22_3x_0</vt:lpstr>
      <vt:lpstr>'204'!OSRRefT22_3x_0</vt:lpstr>
      <vt:lpstr>'205'!OSRRefT22_3x_0</vt:lpstr>
      <vt:lpstr>'206'!OSRRefT22_3x_0</vt:lpstr>
      <vt:lpstr>'300'!OSRRefT22_3x_0</vt:lpstr>
      <vt:lpstr>'300 &amp; 317'!OSRRefT22_3x_0</vt:lpstr>
      <vt:lpstr>'301'!OSRRefT22_3x_0</vt:lpstr>
      <vt:lpstr>'307'!OSRRefT22_3x_0</vt:lpstr>
      <vt:lpstr>'308'!OSRRefT22_3x_0</vt:lpstr>
      <vt:lpstr>'310'!OSRRefT22_3x_0</vt:lpstr>
      <vt:lpstr>'310 &amp; 491'!OSRRefT22_3x_0</vt:lpstr>
      <vt:lpstr>'311'!OSRRefT22_3x_0</vt:lpstr>
      <vt:lpstr>'315'!OSRRefT22_3x_0</vt:lpstr>
      <vt:lpstr>'316'!OSRRefT22_3x_0</vt:lpstr>
      <vt:lpstr>'317'!OSRRefT22_3x_0</vt:lpstr>
      <vt:lpstr>'321'!OSRRefT22_3x_0</vt:lpstr>
      <vt:lpstr>'325'!OSRRefT22_3x_0</vt:lpstr>
      <vt:lpstr>'326'!OSRRefT22_3x_0</vt:lpstr>
      <vt:lpstr>'330'!OSRRefT22_3x_0</vt:lpstr>
      <vt:lpstr>'331'!OSRRefT22_3x_0</vt:lpstr>
      <vt:lpstr>'332'!OSRRefT22_3x_0</vt:lpstr>
      <vt:lpstr>'405'!OSRRefT22_3x_0</vt:lpstr>
      <vt:lpstr>'411'!OSRRefT22_3x_0</vt:lpstr>
      <vt:lpstr>'415'!OSRRefT22_3x_0</vt:lpstr>
      <vt:lpstr>'418'!OSRRefT22_3x_0</vt:lpstr>
      <vt:lpstr>'423'!OSRRefT22_3x_0</vt:lpstr>
      <vt:lpstr>'430'!OSRRefT22_3x_0</vt:lpstr>
      <vt:lpstr>'433'!OSRRefT22_3x_0</vt:lpstr>
      <vt:lpstr>'444'!OSRRefT22_3x_0</vt:lpstr>
      <vt:lpstr>'450'!OSRRefT22_3x_0</vt:lpstr>
      <vt:lpstr>'491'!OSRRefT22_3x_0</vt:lpstr>
      <vt:lpstr>'492'!OSRRefT22_3x_0</vt:lpstr>
      <vt:lpstr>'501'!OSRRefT22_3x_0</vt:lpstr>
      <vt:lpstr>'Div 2'!OSRRefT22_3x_0</vt:lpstr>
      <vt:lpstr>'Div 3'!OSRRefT22_3x_0</vt:lpstr>
      <vt:lpstr>'Div 4'!OSRRefT22_3x_0</vt:lpstr>
      <vt:lpstr>'Div 5'!OSRRefT22_3x_0</vt:lpstr>
      <vt:lpstr>'Div 6'!OSRRefT22_3x_0</vt:lpstr>
      <vt:lpstr>Summary!OSRRefT22_3x_0</vt:lpstr>
      <vt:lpstr>'201'!OSRRefT22_4x_0</vt:lpstr>
      <vt:lpstr>'202'!OSRRefT22_4x_0</vt:lpstr>
      <vt:lpstr>'203'!OSRRefT22_4x_0</vt:lpstr>
      <vt:lpstr>'204'!OSRRefT22_4x_0</vt:lpstr>
      <vt:lpstr>'205'!OSRRefT22_4x_0</vt:lpstr>
      <vt:lpstr>'206'!OSRRefT22_4x_0</vt:lpstr>
      <vt:lpstr>'300'!OSRRefT22_4x_0</vt:lpstr>
      <vt:lpstr>'300 &amp; 317'!OSRRefT22_4x_0</vt:lpstr>
      <vt:lpstr>'301'!OSRRefT22_4x_0</vt:lpstr>
      <vt:lpstr>'307'!OSRRefT22_4x_0</vt:lpstr>
      <vt:lpstr>'308'!OSRRefT22_4x_0</vt:lpstr>
      <vt:lpstr>'310'!OSRRefT22_4x_0</vt:lpstr>
      <vt:lpstr>'310 &amp; 491'!OSRRefT22_4x_0</vt:lpstr>
      <vt:lpstr>'311'!OSRRefT22_4x_0</vt:lpstr>
      <vt:lpstr>'315'!OSRRefT22_4x_0</vt:lpstr>
      <vt:lpstr>'316'!OSRRefT22_4x_0</vt:lpstr>
      <vt:lpstr>'317'!OSRRefT22_4x_0</vt:lpstr>
      <vt:lpstr>'321'!OSRRefT22_4x_0</vt:lpstr>
      <vt:lpstr>'325'!OSRRefT22_4x_0</vt:lpstr>
      <vt:lpstr>'326'!OSRRefT22_4x_0</vt:lpstr>
      <vt:lpstr>'330'!OSRRefT22_4x_0</vt:lpstr>
      <vt:lpstr>'331'!OSRRefT22_4x_0</vt:lpstr>
      <vt:lpstr>'332'!OSRRefT22_4x_0</vt:lpstr>
      <vt:lpstr>'405'!OSRRefT22_4x_0</vt:lpstr>
      <vt:lpstr>'411'!OSRRefT22_4x_0</vt:lpstr>
      <vt:lpstr>'415'!OSRRefT22_4x_0</vt:lpstr>
      <vt:lpstr>'418'!OSRRefT22_4x_0</vt:lpstr>
      <vt:lpstr>'423'!OSRRefT22_4x_0</vt:lpstr>
      <vt:lpstr>'430'!OSRRefT22_4x_0</vt:lpstr>
      <vt:lpstr>'433'!OSRRefT22_4x_0</vt:lpstr>
      <vt:lpstr>'444'!OSRRefT22_4x_0</vt:lpstr>
      <vt:lpstr>'450'!OSRRefT22_4x_0</vt:lpstr>
      <vt:lpstr>'491'!OSRRefT22_4x_0</vt:lpstr>
      <vt:lpstr>'492'!OSRRefT22_4x_0</vt:lpstr>
      <vt:lpstr>'501'!OSRRefT22_4x_0</vt:lpstr>
      <vt:lpstr>'Div 2'!OSRRefT22_4x_0</vt:lpstr>
      <vt:lpstr>'Div 3'!OSRRefT22_4x_0</vt:lpstr>
      <vt:lpstr>'Div 4'!OSRRefT22_4x_0</vt:lpstr>
      <vt:lpstr>'Div 5'!OSRRefT22_4x_0</vt:lpstr>
      <vt:lpstr>'Div 6'!OSRRefT22_4x_0</vt:lpstr>
      <vt:lpstr>Summary!OSRRefT22_4x_0</vt:lpstr>
      <vt:lpstr>'201'!OSRRefT22_5x_0</vt:lpstr>
      <vt:lpstr>'202'!OSRRefT22_5x_0</vt:lpstr>
      <vt:lpstr>'203'!OSRRefT22_5x_0</vt:lpstr>
      <vt:lpstr>'204'!OSRRefT22_5x_0</vt:lpstr>
      <vt:lpstr>'205'!OSRRefT22_5x_0</vt:lpstr>
      <vt:lpstr>'206'!OSRRefT22_5x_0</vt:lpstr>
      <vt:lpstr>'300'!OSRRefT22_5x_0</vt:lpstr>
      <vt:lpstr>'300 &amp; 317'!OSRRefT22_5x_0</vt:lpstr>
      <vt:lpstr>'301'!OSRRefT22_5x_0</vt:lpstr>
      <vt:lpstr>'307'!OSRRefT22_5x_0</vt:lpstr>
      <vt:lpstr>'308'!OSRRefT22_5x_0</vt:lpstr>
      <vt:lpstr>'310'!OSRRefT22_5x_0</vt:lpstr>
      <vt:lpstr>'310 &amp; 491'!OSRRefT22_5x_0</vt:lpstr>
      <vt:lpstr>'311'!OSRRefT22_5x_0</vt:lpstr>
      <vt:lpstr>'315'!OSRRefT22_5x_0</vt:lpstr>
      <vt:lpstr>'316'!OSRRefT22_5x_0</vt:lpstr>
      <vt:lpstr>'317'!OSRRefT22_5x_0</vt:lpstr>
      <vt:lpstr>'321'!OSRRefT22_5x_0</vt:lpstr>
      <vt:lpstr>'325'!OSRRefT22_5x_0</vt:lpstr>
      <vt:lpstr>'326'!OSRRefT22_5x_0</vt:lpstr>
      <vt:lpstr>'330'!OSRRefT22_5x_0</vt:lpstr>
      <vt:lpstr>'331'!OSRRefT22_5x_0</vt:lpstr>
      <vt:lpstr>'332'!OSRRefT22_5x_0</vt:lpstr>
      <vt:lpstr>'405'!OSRRefT22_5x_0</vt:lpstr>
      <vt:lpstr>'411'!OSRRefT22_5x_0</vt:lpstr>
      <vt:lpstr>'415'!OSRRefT22_5x_0</vt:lpstr>
      <vt:lpstr>'418'!OSRRefT22_5x_0</vt:lpstr>
      <vt:lpstr>'430'!OSRRefT22_5x_0</vt:lpstr>
      <vt:lpstr>'433'!OSRRefT22_5x_0</vt:lpstr>
      <vt:lpstr>'444'!OSRRefT22_5x_0</vt:lpstr>
      <vt:lpstr>'450'!OSRRefT22_5x_0</vt:lpstr>
      <vt:lpstr>'491'!OSRRefT22_5x_0</vt:lpstr>
      <vt:lpstr>'492'!OSRRefT22_5x_0</vt:lpstr>
      <vt:lpstr>'501'!OSRRefT22_5x_0</vt:lpstr>
      <vt:lpstr>'Div 2'!OSRRefT22_5x_0</vt:lpstr>
      <vt:lpstr>'Div 3'!OSRRefT22_5x_0</vt:lpstr>
      <vt:lpstr>'Div 4'!OSRRefT22_5x_0</vt:lpstr>
      <vt:lpstr>'Div 5'!OSRRefT22_5x_0</vt:lpstr>
      <vt:lpstr>'Div 6'!OSRRefT22_5x_0</vt:lpstr>
      <vt:lpstr>Summary!OSRRefT22_5x_0</vt:lpstr>
      <vt:lpstr>'201'!OSRRefT22_6x_0</vt:lpstr>
      <vt:lpstr>'202'!OSRRefT22_6x_0</vt:lpstr>
      <vt:lpstr>'203'!OSRRefT22_6x_0</vt:lpstr>
      <vt:lpstr>'204'!OSRRefT22_6x_0</vt:lpstr>
      <vt:lpstr>'205'!OSRRefT22_6x_0</vt:lpstr>
      <vt:lpstr>'206'!OSRRefT22_6x_0</vt:lpstr>
      <vt:lpstr>'300'!OSRRefT22_6x_0</vt:lpstr>
      <vt:lpstr>'300 &amp; 317'!OSRRefT22_6x_0</vt:lpstr>
      <vt:lpstr>'301'!OSRRefT22_6x_0</vt:lpstr>
      <vt:lpstr>'307'!OSRRefT22_6x_0</vt:lpstr>
      <vt:lpstr>'308'!OSRRefT22_6x_0</vt:lpstr>
      <vt:lpstr>'310'!OSRRefT22_6x_0</vt:lpstr>
      <vt:lpstr>'310 &amp; 491'!OSRRefT22_6x_0</vt:lpstr>
      <vt:lpstr>'311'!OSRRefT22_6x_0</vt:lpstr>
      <vt:lpstr>'315'!OSRRefT22_6x_0</vt:lpstr>
      <vt:lpstr>'316'!OSRRefT22_6x_0</vt:lpstr>
      <vt:lpstr>'317'!OSRRefT22_6x_0</vt:lpstr>
      <vt:lpstr>'321'!OSRRefT22_6x_0</vt:lpstr>
      <vt:lpstr>'325'!OSRRefT22_6x_0</vt:lpstr>
      <vt:lpstr>'326'!OSRRefT22_6x_0</vt:lpstr>
      <vt:lpstr>'330'!OSRRefT22_6x_0</vt:lpstr>
      <vt:lpstr>'331'!OSRRefT22_6x_0</vt:lpstr>
      <vt:lpstr>'332'!OSRRefT22_6x_0</vt:lpstr>
      <vt:lpstr>'405'!OSRRefT22_6x_0</vt:lpstr>
      <vt:lpstr>'411'!OSRRefT22_6x_0</vt:lpstr>
      <vt:lpstr>'415'!OSRRefT22_6x_0</vt:lpstr>
      <vt:lpstr>'418'!OSRRefT22_6x_0</vt:lpstr>
      <vt:lpstr>'430'!OSRRefT22_6x_0</vt:lpstr>
      <vt:lpstr>'433'!OSRRefT22_6x_0</vt:lpstr>
      <vt:lpstr>'444'!OSRRefT22_6x_0</vt:lpstr>
      <vt:lpstr>'450'!OSRRefT22_6x_0</vt:lpstr>
      <vt:lpstr>'491'!OSRRefT22_6x_0</vt:lpstr>
      <vt:lpstr>'492'!OSRRefT22_6x_0</vt:lpstr>
      <vt:lpstr>'501'!OSRRefT22_6x_0</vt:lpstr>
      <vt:lpstr>'Div 2'!OSRRefT22_6x_0</vt:lpstr>
      <vt:lpstr>'Div 3'!OSRRefT22_6x_0</vt:lpstr>
      <vt:lpstr>'Div 4'!OSRRefT22_6x_0</vt:lpstr>
      <vt:lpstr>'Div 5'!OSRRefT22_6x_0</vt:lpstr>
      <vt:lpstr>'Div 6'!OSRRefT22_6x_0</vt:lpstr>
      <vt:lpstr>Summary!OSRRefT22_6x_0</vt:lpstr>
      <vt:lpstr>'201'!OSRRefT22_7x_0</vt:lpstr>
      <vt:lpstr>'202'!OSRRefT22_7x_0</vt:lpstr>
      <vt:lpstr>'203'!OSRRefT22_7x_0</vt:lpstr>
      <vt:lpstr>'204'!OSRRefT22_7x_0</vt:lpstr>
      <vt:lpstr>'205'!OSRRefT22_7x_0</vt:lpstr>
      <vt:lpstr>'206'!OSRRefT22_7x_0</vt:lpstr>
      <vt:lpstr>'300'!OSRRefT22_7x_0</vt:lpstr>
      <vt:lpstr>'300 &amp; 317'!OSRRefT22_7x_0</vt:lpstr>
      <vt:lpstr>'301'!OSRRefT22_7x_0</vt:lpstr>
      <vt:lpstr>'307'!OSRRefT22_7x_0</vt:lpstr>
      <vt:lpstr>'308'!OSRRefT22_7x_0</vt:lpstr>
      <vt:lpstr>'310'!OSRRefT22_7x_0</vt:lpstr>
      <vt:lpstr>'310 &amp; 491'!OSRRefT22_7x_0</vt:lpstr>
      <vt:lpstr>'311'!OSRRefT22_7x_0</vt:lpstr>
      <vt:lpstr>'315'!OSRRefT22_7x_0</vt:lpstr>
      <vt:lpstr>'316'!OSRRefT22_7x_0</vt:lpstr>
      <vt:lpstr>'317'!OSRRefT22_7x_0</vt:lpstr>
      <vt:lpstr>'321'!OSRRefT22_7x_0</vt:lpstr>
      <vt:lpstr>'325'!OSRRefT22_7x_0</vt:lpstr>
      <vt:lpstr>'326'!OSRRefT22_7x_0</vt:lpstr>
      <vt:lpstr>'330'!OSRRefT22_7x_0</vt:lpstr>
      <vt:lpstr>'331'!OSRRefT22_7x_0</vt:lpstr>
      <vt:lpstr>'332'!OSRRefT22_7x_0</vt:lpstr>
      <vt:lpstr>'405'!OSRRefT22_7x_0</vt:lpstr>
      <vt:lpstr>'411'!OSRRefT22_7x_0</vt:lpstr>
      <vt:lpstr>'415'!OSRRefT22_7x_0</vt:lpstr>
      <vt:lpstr>'418'!OSRRefT22_7x_0</vt:lpstr>
      <vt:lpstr>'433'!OSRRefT22_7x_0</vt:lpstr>
      <vt:lpstr>'444'!OSRRefT22_7x_0</vt:lpstr>
      <vt:lpstr>'450'!OSRRefT22_7x_0</vt:lpstr>
      <vt:lpstr>'491'!OSRRefT22_7x_0</vt:lpstr>
      <vt:lpstr>'492'!OSRRefT22_7x_0</vt:lpstr>
      <vt:lpstr>'501'!OSRRefT22_7x_0</vt:lpstr>
      <vt:lpstr>'Div 2'!OSRRefT22_7x_0</vt:lpstr>
      <vt:lpstr>'Div 3'!OSRRefT22_7x_0</vt:lpstr>
      <vt:lpstr>'Div 4'!OSRRefT22_7x_0</vt:lpstr>
      <vt:lpstr>'Div 5'!OSRRefT22_7x_0</vt:lpstr>
      <vt:lpstr>'Div 6'!OSRRefT22_7x_0</vt:lpstr>
      <vt:lpstr>Summary!OSRRefT22_7x_0</vt:lpstr>
      <vt:lpstr>'201'!OSRRefT22_8x_0</vt:lpstr>
      <vt:lpstr>'202'!OSRRefT22_8x_0</vt:lpstr>
      <vt:lpstr>'203'!OSRRefT22_8x_0</vt:lpstr>
      <vt:lpstr>'300'!OSRRefT22_8x_0</vt:lpstr>
      <vt:lpstr>'300 &amp; 317'!OSRRefT22_8x_0</vt:lpstr>
      <vt:lpstr>'301'!OSRRefT22_8x_0</vt:lpstr>
      <vt:lpstr>'307'!OSRRefT22_8x_0</vt:lpstr>
      <vt:lpstr>'308'!OSRRefT22_8x_0</vt:lpstr>
      <vt:lpstr>'310'!OSRRefT22_8x_0</vt:lpstr>
      <vt:lpstr>'310 &amp; 491'!OSRRefT22_8x_0</vt:lpstr>
      <vt:lpstr>'311'!OSRRefT22_8x_0</vt:lpstr>
      <vt:lpstr>'315'!OSRRefT22_8x_0</vt:lpstr>
      <vt:lpstr>'316'!OSRRefT22_8x_0</vt:lpstr>
      <vt:lpstr>'317'!OSRRefT22_8x_0</vt:lpstr>
      <vt:lpstr>'325'!OSRRefT22_8x_0</vt:lpstr>
      <vt:lpstr>'326'!OSRRefT22_8x_0</vt:lpstr>
      <vt:lpstr>'330'!OSRRefT22_8x_0</vt:lpstr>
      <vt:lpstr>'331'!OSRRefT22_8x_0</vt:lpstr>
      <vt:lpstr>'332'!OSRRefT22_8x_0</vt:lpstr>
      <vt:lpstr>'405'!OSRRefT22_8x_0</vt:lpstr>
      <vt:lpstr>'411'!OSRRefT22_8x_0</vt:lpstr>
      <vt:lpstr>'415'!OSRRefT22_8x_0</vt:lpstr>
      <vt:lpstr>'418'!OSRRefT22_8x_0</vt:lpstr>
      <vt:lpstr>'433'!OSRRefT22_8x_0</vt:lpstr>
      <vt:lpstr>'444'!OSRRefT22_8x_0</vt:lpstr>
      <vt:lpstr>'450'!OSRRefT22_8x_0</vt:lpstr>
      <vt:lpstr>'491'!OSRRefT22_8x_0</vt:lpstr>
      <vt:lpstr>'492'!OSRRefT22_8x_0</vt:lpstr>
      <vt:lpstr>'501'!OSRRefT22_8x_0</vt:lpstr>
      <vt:lpstr>'Div 2'!OSRRefT22_8x_0</vt:lpstr>
      <vt:lpstr>'Div 3'!OSRRefT22_8x_0</vt:lpstr>
      <vt:lpstr>'Div 4'!OSRRefT22_8x_0</vt:lpstr>
      <vt:lpstr>'Div 5'!OSRRefT22_8x_0</vt:lpstr>
      <vt:lpstr>'Div 6'!OSRRefT22_8x_0</vt:lpstr>
      <vt:lpstr>Summary!OSRRefT22_8x_0</vt:lpstr>
      <vt:lpstr>'201'!OSRRefT22_9x_0</vt:lpstr>
      <vt:lpstr>'202'!OSRRefT22_9x_0</vt:lpstr>
      <vt:lpstr>'203'!OSRRefT22_9x_0</vt:lpstr>
      <vt:lpstr>'300'!OSRRefT22_9x_0</vt:lpstr>
      <vt:lpstr>'300 &amp; 317'!OSRRefT22_9x_0</vt:lpstr>
      <vt:lpstr>'301'!OSRRefT22_9x_0</vt:lpstr>
      <vt:lpstr>'307'!OSRRefT22_9x_0</vt:lpstr>
      <vt:lpstr>'308'!OSRRefT22_9x_0</vt:lpstr>
      <vt:lpstr>'310'!OSRRefT22_9x_0</vt:lpstr>
      <vt:lpstr>'310 &amp; 491'!OSRRefT22_9x_0</vt:lpstr>
      <vt:lpstr>'311'!OSRRefT22_9x_0</vt:lpstr>
      <vt:lpstr>'315'!OSRRefT22_9x_0</vt:lpstr>
      <vt:lpstr>'316'!OSRRefT22_9x_0</vt:lpstr>
      <vt:lpstr>'317'!OSRRefT22_9x_0</vt:lpstr>
      <vt:lpstr>'325'!OSRRefT22_9x_0</vt:lpstr>
      <vt:lpstr>'326'!OSRRefT22_9x_0</vt:lpstr>
      <vt:lpstr>'330'!OSRRefT22_9x_0</vt:lpstr>
      <vt:lpstr>'331'!OSRRefT22_9x_0</vt:lpstr>
      <vt:lpstr>'332'!OSRRefT22_9x_0</vt:lpstr>
      <vt:lpstr>'405'!OSRRefT22_9x_0</vt:lpstr>
      <vt:lpstr>'411'!OSRRefT22_9x_0</vt:lpstr>
      <vt:lpstr>'415'!OSRRefT22_9x_0</vt:lpstr>
      <vt:lpstr>'418'!OSRRefT22_9x_0</vt:lpstr>
      <vt:lpstr>'433'!OSRRefT22_9x_0</vt:lpstr>
      <vt:lpstr>'444'!OSRRefT22_9x_0</vt:lpstr>
      <vt:lpstr>'450'!OSRRefT22_9x_0</vt:lpstr>
      <vt:lpstr>'491'!OSRRefT22_9x_0</vt:lpstr>
      <vt:lpstr>'492'!OSRRefT22_9x_0</vt:lpstr>
      <vt:lpstr>'501'!OSRRefT22_9x_0</vt:lpstr>
      <vt:lpstr>'Div 2'!OSRRefT22_9x_0</vt:lpstr>
      <vt:lpstr>'Div 3'!OSRRefT22_9x_0</vt:lpstr>
      <vt:lpstr>'Div 4'!OSRRefT22_9x_0</vt:lpstr>
      <vt:lpstr>'Div 5'!OSRRefT22_9x_0</vt:lpstr>
      <vt:lpstr>'Div 6'!OSRRefT22_9x_0</vt:lpstr>
      <vt:lpstr>Summary!OSRRefT22_9x_0</vt:lpstr>
      <vt:lpstr>'200'!OSRRefT22x_0</vt:lpstr>
      <vt:lpstr>'201'!OSRRefT22x_0</vt:lpstr>
      <vt:lpstr>'202'!OSRRefT22x_0</vt:lpstr>
      <vt:lpstr>'203'!OSRRefT22x_0</vt:lpstr>
      <vt:lpstr>'204'!OSRRefT22x_0</vt:lpstr>
      <vt:lpstr>'205'!OSRRefT22x_0</vt:lpstr>
      <vt:lpstr>'206'!OSRRefT22x_0</vt:lpstr>
      <vt:lpstr>'300'!OSRRefT22x_0</vt:lpstr>
      <vt:lpstr>'300 &amp; 317'!OSRRefT22x_0</vt:lpstr>
      <vt:lpstr>'301'!OSRRefT22x_0</vt:lpstr>
      <vt:lpstr>'307'!OSRRefT22x_0</vt:lpstr>
      <vt:lpstr>'308'!OSRRefT22x_0</vt:lpstr>
      <vt:lpstr>'309'!OSRRefT22x_0</vt:lpstr>
      <vt:lpstr>'310'!OSRRefT22x_0</vt:lpstr>
      <vt:lpstr>'310 &amp; 491'!OSRRefT22x_0</vt:lpstr>
      <vt:lpstr>'311'!OSRRefT22x_0</vt:lpstr>
      <vt:lpstr>'313'!OSRRefT22x_0</vt:lpstr>
      <vt:lpstr>'315'!OSRRefT22x_0</vt:lpstr>
      <vt:lpstr>'316'!OSRRefT22x_0</vt:lpstr>
      <vt:lpstr>'317'!OSRRefT22x_0</vt:lpstr>
      <vt:lpstr>'321'!OSRRefT22x_0</vt:lpstr>
      <vt:lpstr>'325'!OSRRefT22x_0</vt:lpstr>
      <vt:lpstr>'326'!OSRRefT22x_0</vt:lpstr>
      <vt:lpstr>'330'!OSRRefT22x_0</vt:lpstr>
      <vt:lpstr>'331'!OSRRefT22x_0</vt:lpstr>
      <vt:lpstr>'332'!OSRRefT22x_0</vt:lpstr>
      <vt:lpstr>'405'!OSRRefT22x_0</vt:lpstr>
      <vt:lpstr>'411'!OSRRefT22x_0</vt:lpstr>
      <vt:lpstr>'412'!OSRRefT22x_0</vt:lpstr>
      <vt:lpstr>'413'!OSRRefT22x_0</vt:lpstr>
      <vt:lpstr>'415'!OSRRefT22x_0</vt:lpstr>
      <vt:lpstr>'418'!OSRRefT22x_0</vt:lpstr>
      <vt:lpstr>'423'!OSRRefT22x_0</vt:lpstr>
      <vt:lpstr>'424'!OSRRefT22x_0</vt:lpstr>
      <vt:lpstr>'425'!OSRRefT22x_0</vt:lpstr>
      <vt:lpstr>'430'!OSRRefT22x_0</vt:lpstr>
      <vt:lpstr>'433'!OSRRefT22x_0</vt:lpstr>
      <vt:lpstr>'444'!OSRRefT22x_0</vt:lpstr>
      <vt:lpstr>'450'!OSRRefT22x_0</vt:lpstr>
      <vt:lpstr>'491'!OSRRefT22x_0</vt:lpstr>
      <vt:lpstr>'492'!OSRRefT22x_0</vt:lpstr>
      <vt:lpstr>'501'!OSRRefT22x_0</vt:lpstr>
      <vt:lpstr>'Div 2'!OSRRefT22x_0</vt:lpstr>
      <vt:lpstr>'Div 3'!OSRRefT22x_0</vt:lpstr>
      <vt:lpstr>'Div 4'!OSRRefT22x_0</vt:lpstr>
      <vt:lpstr>'Div 5'!OSRRefT22x_0</vt:lpstr>
      <vt:lpstr>'Div 6'!OSRRefT22x_0</vt:lpstr>
      <vt:lpstr>Summary!OSRRefT22x_0</vt:lpstr>
      <vt:lpstr>'300'!OSRRefT25x_0</vt:lpstr>
      <vt:lpstr>'300 &amp; 317'!OSRRefT25x_0</vt:lpstr>
      <vt:lpstr>'301'!OSRRefT25x_0</vt:lpstr>
      <vt:lpstr>'308'!OSRRefT25x_0</vt:lpstr>
      <vt:lpstr>'310 &amp; 491'!OSRRefT25x_0</vt:lpstr>
      <vt:lpstr>'311'!OSRRefT25x_0</vt:lpstr>
      <vt:lpstr>'315'!OSRRefT25x_0</vt:lpstr>
      <vt:lpstr>'316'!OSRRefT25x_0</vt:lpstr>
      <vt:lpstr>'317'!OSRRefT25x_0</vt:lpstr>
      <vt:lpstr>'331'!OSRRefT25x_0</vt:lpstr>
      <vt:lpstr>'332'!OSRRefT25x_0</vt:lpstr>
      <vt:lpstr>'411'!OSRRefT25x_0</vt:lpstr>
      <vt:lpstr>'415'!OSRRefT25x_0</vt:lpstr>
      <vt:lpstr>'455'!OSRRefT25x_0</vt:lpstr>
      <vt:lpstr>'491'!OSRRefT25x_0</vt:lpstr>
      <vt:lpstr>'501'!OSRRefT25x_0</vt:lpstr>
      <vt:lpstr>'Div 3'!OSRRefT25x_0</vt:lpstr>
      <vt:lpstr>'Div 4'!OSRRefT25x_0</vt:lpstr>
      <vt:lpstr>'Div 5'!OSRRefT25x_0</vt:lpstr>
      <vt:lpstr>'Div 6'!OSRRefT25x_0</vt:lpstr>
      <vt:lpstr>Summary!OSRRefT25x_0</vt:lpstr>
      <vt:lpstr>'100'!Print_Area</vt:lpstr>
      <vt:lpstr>'200'!Print_Area</vt:lpstr>
      <vt:lpstr>'201'!Print_Area</vt:lpstr>
      <vt:lpstr>'202'!Print_Area</vt:lpstr>
      <vt:lpstr>'203'!Print_Area</vt:lpstr>
      <vt:lpstr>'204'!Print_Area</vt:lpstr>
      <vt:lpstr>'205'!Print_Area</vt:lpstr>
      <vt:lpstr>'206'!Print_Area</vt:lpstr>
      <vt:lpstr>'300'!Print_Area</vt:lpstr>
      <vt:lpstr>'300 &amp; 317'!Print_Area</vt:lpstr>
      <vt:lpstr>'301'!Print_Area</vt:lpstr>
      <vt:lpstr>'307'!Print_Area</vt:lpstr>
      <vt:lpstr>'308'!Print_Area</vt:lpstr>
      <vt:lpstr>'309'!Print_Area</vt:lpstr>
      <vt:lpstr>'310'!Print_Area</vt:lpstr>
      <vt:lpstr>'310 &amp; 491'!Print_Area</vt:lpstr>
      <vt:lpstr>'311'!Print_Area</vt:lpstr>
      <vt:lpstr>'313'!Print_Area</vt:lpstr>
      <vt:lpstr>'315'!Print_Area</vt:lpstr>
      <vt:lpstr>'316'!Print_Area</vt:lpstr>
      <vt:lpstr>'317'!Print_Area</vt:lpstr>
      <vt:lpstr>'321'!Print_Area</vt:lpstr>
      <vt:lpstr>'324'!Print_Area</vt:lpstr>
      <vt:lpstr>'325'!Print_Area</vt:lpstr>
      <vt:lpstr>'326'!Print_Area</vt:lpstr>
      <vt:lpstr>'330'!Print_Area</vt:lpstr>
      <vt:lpstr>'331'!Print_Area</vt:lpstr>
      <vt:lpstr>'332'!Print_Area</vt:lpstr>
      <vt:lpstr>'405'!Print_Area</vt:lpstr>
      <vt:lpstr>'411'!Print_Area</vt:lpstr>
      <vt:lpstr>'412'!Print_Area</vt:lpstr>
      <vt:lpstr>'413'!Print_Area</vt:lpstr>
      <vt:lpstr>'415'!Print_Area</vt:lpstr>
      <vt:lpstr>'418'!Print_Area</vt:lpstr>
      <vt:lpstr>'423'!Print_Area</vt:lpstr>
      <vt:lpstr>'424'!Print_Area</vt:lpstr>
      <vt:lpstr>'425'!Print_Area</vt:lpstr>
      <vt:lpstr>'430'!Print_Area</vt:lpstr>
      <vt:lpstr>'433'!Print_Area</vt:lpstr>
      <vt:lpstr>'444'!Print_Area</vt:lpstr>
      <vt:lpstr>'450'!Print_Area</vt:lpstr>
      <vt:lpstr>'455'!Print_Area</vt:lpstr>
      <vt:lpstr>'491'!Print_Area</vt:lpstr>
      <vt:lpstr>'492'!Print_Area</vt:lpstr>
      <vt:lpstr>'501'!Print_Area</vt:lpstr>
      <vt:lpstr>Dept!Print_Area</vt:lpstr>
      <vt:lpstr>'Div 1'!Print_Area</vt:lpstr>
      <vt:lpstr>'Div 2'!Print_Area</vt:lpstr>
      <vt:lpstr>'Div 3'!Print_Area</vt:lpstr>
      <vt:lpstr>'Div 4'!Print_Area</vt:lpstr>
      <vt:lpstr>'Div 5'!Print_Area</vt:lpstr>
      <vt:lpstr>'Div 6'!Print_Area</vt:lpstr>
      <vt:lpstr>'OSR_300 &amp; 317_1C00ID4'!Print_Area</vt:lpstr>
      <vt:lpstr>'OSR_300 (2)_...6aa5a22d_14M6XO4'!Print_Area</vt:lpstr>
      <vt:lpstr>'OSR_300 (2)_7...54cb56fc_UFX0O2'!Print_Area</vt:lpstr>
      <vt:lpstr>'OSR_300 (2)_e...5d0da5bf_6BPGAO'!Print_Area</vt:lpstr>
      <vt:lpstr>OSR_300_IYZXI6!Print_Area</vt:lpstr>
      <vt:lpstr>'OSR_308 (2)_...47685838_1YQW4QY'!Print_Area</vt:lpstr>
      <vt:lpstr>OSR_308_UAWDAG!Print_Area</vt:lpstr>
      <vt:lpstr>'OSR_310 &amp; 491_1NGRCS9'!Print_Area</vt:lpstr>
      <vt:lpstr>'OSR_310 (2)_...6e684f08_1FLCNJG'!Print_Area</vt:lpstr>
      <vt:lpstr>'OSR_310 (2)_...8cac1423_1JTU33X'!Print_Area</vt:lpstr>
      <vt:lpstr>'OSR_310 (2)_5...3d931dee_QNK8R2'!Print_Area</vt:lpstr>
      <vt:lpstr>OSR_310_1CMTOSB!Print_Area</vt:lpstr>
      <vt:lpstr>'OSR_330 (2)_...8a14c83e_1NSH7XI'!Print_Area</vt:lpstr>
      <vt:lpstr>OSR_330_10VFP5Y!Print_Area</vt:lpstr>
      <vt:lpstr>'OSR_331 (2)_...7280af70_1P5SPLT'!Print_Area</vt:lpstr>
      <vt:lpstr>OSR_331_10VKQAJ!Print_Area</vt:lpstr>
      <vt:lpstr>OSR_332_6NDVBW!Print_Area</vt:lpstr>
      <vt:lpstr>'OSR_491 (2)_...853a34aa_1UNC34K'!Print_Area</vt:lpstr>
      <vt:lpstr>OSR_491_9Z9JH5!Print_Area</vt:lpstr>
      <vt:lpstr>'OSR_492 (2)_...cd97c6a6_13HYXEV'!Print_Area</vt:lpstr>
      <vt:lpstr>OSR_492_943FP1!Print_Area</vt:lpstr>
      <vt:lpstr>'OSR_Current ...69b7dd8c_1IEQKFK'!Print_Area</vt:lpstr>
      <vt:lpstr>OSR_Dept_Y0WUKY!Print_Area</vt:lpstr>
      <vt:lpstr>'OSR_Div 1 (2)...789fe994_2NV3KA'!Print_Area</vt:lpstr>
      <vt:lpstr>'OSR_Div 1_7H47HR'!Print_Area</vt:lpstr>
      <vt:lpstr>'OSR_Div 2_1PQ800A'!Print_Area</vt:lpstr>
      <vt:lpstr>'OSR_Div 3 (2)...4cb81c06_PBSMLS'!Print_Area</vt:lpstr>
      <vt:lpstr>'OSR_Div 3_18723PH'!Print_Area</vt:lpstr>
      <vt:lpstr>'OSR_Div 4 (2)...1a9a4454_CQFRNE'!Print_Area</vt:lpstr>
      <vt:lpstr>'OSR_Div 4 (2...2533da42_174R6QX'!Print_Area</vt:lpstr>
      <vt:lpstr>'OSR_Div 4_1740TMT'!Print_Area</vt:lpstr>
      <vt:lpstr>'OSR_Div 5 (2)...32d16c57_IVJ1QO'!Print_Area</vt:lpstr>
      <vt:lpstr>'OSR_Div 5_16NAZO2'!Print_Area</vt:lpstr>
      <vt:lpstr>'OSR_Div 6_P37YY7'!Print_Area</vt:lpstr>
      <vt:lpstr>'OSR_Summary (...56e5d78f_5JEYZH'!Print_Area</vt:lpstr>
      <vt:lpstr>OSR_Summary_18VAVWG!Print_Area</vt:lpstr>
      <vt:lpstr>Summary!Print_Area</vt:lpstr>
      <vt:lpstr>'100'!Print_Titles</vt:lpstr>
      <vt:lpstr>'200'!Print_Titles</vt:lpstr>
      <vt:lpstr>'201'!Print_Titles</vt:lpstr>
      <vt:lpstr>'202'!Print_Titles</vt:lpstr>
      <vt:lpstr>'203'!Print_Titles</vt:lpstr>
      <vt:lpstr>'204'!Print_Titles</vt:lpstr>
      <vt:lpstr>'205'!Print_Titles</vt:lpstr>
      <vt:lpstr>'206'!Print_Titles</vt:lpstr>
      <vt:lpstr>'300'!Print_Titles</vt:lpstr>
      <vt:lpstr>'300 &amp; 317'!Print_Titles</vt:lpstr>
      <vt:lpstr>'301'!Print_Titles</vt:lpstr>
      <vt:lpstr>'307'!Print_Titles</vt:lpstr>
      <vt:lpstr>'308'!Print_Titles</vt:lpstr>
      <vt:lpstr>'309'!Print_Titles</vt:lpstr>
      <vt:lpstr>'310'!Print_Titles</vt:lpstr>
      <vt:lpstr>'310 &amp; 491'!Print_Titles</vt:lpstr>
      <vt:lpstr>'311'!Print_Titles</vt:lpstr>
      <vt:lpstr>'313'!Print_Titles</vt:lpstr>
      <vt:lpstr>'315'!Print_Titles</vt:lpstr>
      <vt:lpstr>'316'!Print_Titles</vt:lpstr>
      <vt:lpstr>'317'!Print_Titles</vt:lpstr>
      <vt:lpstr>'321'!Print_Titles</vt:lpstr>
      <vt:lpstr>'324'!Print_Titles</vt:lpstr>
      <vt:lpstr>'325'!Print_Titles</vt:lpstr>
      <vt:lpstr>'326'!Print_Titles</vt:lpstr>
      <vt:lpstr>'330'!Print_Titles</vt:lpstr>
      <vt:lpstr>'331'!Print_Titles</vt:lpstr>
      <vt:lpstr>'332'!Print_Titles</vt:lpstr>
      <vt:lpstr>'405'!Print_Titles</vt:lpstr>
      <vt:lpstr>'411'!Print_Titles</vt:lpstr>
      <vt:lpstr>'412'!Print_Titles</vt:lpstr>
      <vt:lpstr>'413'!Print_Titles</vt:lpstr>
      <vt:lpstr>'415'!Print_Titles</vt:lpstr>
      <vt:lpstr>'418'!Print_Titles</vt:lpstr>
      <vt:lpstr>'423'!Print_Titles</vt:lpstr>
      <vt:lpstr>'424'!Print_Titles</vt:lpstr>
      <vt:lpstr>'425'!Print_Titles</vt:lpstr>
      <vt:lpstr>'430'!Print_Titles</vt:lpstr>
      <vt:lpstr>'433'!Print_Titles</vt:lpstr>
      <vt:lpstr>'444'!Print_Titles</vt:lpstr>
      <vt:lpstr>'450'!Print_Titles</vt:lpstr>
      <vt:lpstr>'455'!Print_Titles</vt:lpstr>
      <vt:lpstr>'491'!Print_Titles</vt:lpstr>
      <vt:lpstr>'492'!Print_Titles</vt:lpstr>
      <vt:lpstr>'501'!Print_Titles</vt:lpstr>
      <vt:lpstr>Dept!Print_Titles</vt:lpstr>
      <vt:lpstr>'Div 1'!Print_Titles</vt:lpstr>
      <vt:lpstr>'Div 2'!Print_Titles</vt:lpstr>
      <vt:lpstr>'Div 3'!Print_Titles</vt:lpstr>
      <vt:lpstr>'Div 4'!Print_Titles</vt:lpstr>
      <vt:lpstr>'Div 5'!Print_Titles</vt:lpstr>
      <vt:lpstr>'Div 6'!Print_Titles</vt:lpstr>
      <vt:lpstr>'OSR_300 &amp; 317_1C00ID4'!Print_Titles</vt:lpstr>
      <vt:lpstr>'OSR_300 (2)_...6aa5a22d_14M6XO4'!Print_Titles</vt:lpstr>
      <vt:lpstr>'OSR_300 (2)_7...54cb56fc_UFX0O2'!Print_Titles</vt:lpstr>
      <vt:lpstr>'OSR_300 (2)_e...5d0da5bf_6BPGAO'!Print_Titles</vt:lpstr>
      <vt:lpstr>OSR_300_IYZXI6!Print_Titles</vt:lpstr>
      <vt:lpstr>'OSR_308 (2)_...47685838_1YQW4QY'!Print_Titles</vt:lpstr>
      <vt:lpstr>OSR_308_UAWDAG!Print_Titles</vt:lpstr>
      <vt:lpstr>'OSR_310 &amp; 491_1NGRCS9'!Print_Titles</vt:lpstr>
      <vt:lpstr>'OSR_310 (2)_...6e684f08_1FLCNJG'!Print_Titles</vt:lpstr>
      <vt:lpstr>'OSR_310 (2)_...8cac1423_1JTU33X'!Print_Titles</vt:lpstr>
      <vt:lpstr>'OSR_310 (2)_5...3d931dee_QNK8R2'!Print_Titles</vt:lpstr>
      <vt:lpstr>OSR_310_1CMTOSB!Print_Titles</vt:lpstr>
      <vt:lpstr>'OSR_330 (2)_...8a14c83e_1NSH7XI'!Print_Titles</vt:lpstr>
      <vt:lpstr>OSR_330_10VFP5Y!Print_Titles</vt:lpstr>
      <vt:lpstr>'OSR_331 (2)_...7280af70_1P5SPLT'!Print_Titles</vt:lpstr>
      <vt:lpstr>OSR_331_10VKQAJ!Print_Titles</vt:lpstr>
      <vt:lpstr>OSR_332_6NDVBW!Print_Titles</vt:lpstr>
      <vt:lpstr>'OSR_491 (2)_...853a34aa_1UNC34K'!Print_Titles</vt:lpstr>
      <vt:lpstr>OSR_491_9Z9JH5!Print_Titles</vt:lpstr>
      <vt:lpstr>'OSR_492 (2)_...cd97c6a6_13HYXEV'!Print_Titles</vt:lpstr>
      <vt:lpstr>OSR_492_943FP1!Print_Titles</vt:lpstr>
      <vt:lpstr>'OSR_Current ...69b7dd8c_1IEQKFK'!Print_Titles</vt:lpstr>
      <vt:lpstr>OSR_Dept_Y0WUKY!Print_Titles</vt:lpstr>
      <vt:lpstr>'OSR_Div 1 (2)...789fe994_2NV3KA'!Print_Titles</vt:lpstr>
      <vt:lpstr>'OSR_Div 1_7H47HR'!Print_Titles</vt:lpstr>
      <vt:lpstr>'OSR_Div 2_1PQ800A'!Print_Titles</vt:lpstr>
      <vt:lpstr>'OSR_Div 3 (2)...4cb81c06_PBSMLS'!Print_Titles</vt:lpstr>
      <vt:lpstr>'OSR_Div 3_18723PH'!Print_Titles</vt:lpstr>
      <vt:lpstr>'OSR_Div 4 (2)...1a9a4454_CQFRNE'!Print_Titles</vt:lpstr>
      <vt:lpstr>'OSR_Div 4 (2...2533da42_174R6QX'!Print_Titles</vt:lpstr>
      <vt:lpstr>'OSR_Div 4_1740TMT'!Print_Titles</vt:lpstr>
      <vt:lpstr>'OSR_Div 5 (2)...32d16c57_IVJ1QO'!Print_Titles</vt:lpstr>
      <vt:lpstr>'OSR_Div 5_16NAZO2'!Print_Titles</vt:lpstr>
      <vt:lpstr>'OSR_Div 6_P37YY7'!Print_Titles</vt:lpstr>
      <vt:lpstr>'OSR_Summary (...56e5d78f_5JEYZH'!Print_Titles</vt:lpstr>
      <vt:lpstr>OSR_Summary_18VAVWG!Print_Titles</vt:lpstr>
      <vt:lpstr>Summary!Print_Titles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Tess Monzon</dc:creator>
  <cp:lastModifiedBy>Tess Monzon</cp:lastModifiedBy>
  <dcterms:created xsi:type="dcterms:W3CDTF">2021-09-23T15:47:43Z</dcterms:created>
  <dcterms:modified xsi:type="dcterms:W3CDTF">2021-09-23T16:21:07Z</dcterms:modified>
</cp:coreProperties>
</file>